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5" ContentType="application/binary"/>
  <Override PartName="/xl/commentsmeta0" ContentType="application/binary"/>
  <Override PartName="/xl/commentsmeta3" ContentType="application/binary"/>
  <Override PartName="/xl/commentsmeta1" ContentType="application/binary"/>
  <Override PartName="/xl/commentsmeta2"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uzan\OneDrive\DOCUME~1\Adulting\Jobs\AIDDAT~1\UNHABI~1\Report\COLOMB~1\"/>
    </mc:Choice>
  </mc:AlternateContent>
  <xr:revisionPtr revIDLastSave="0" documentId="8_{1FCB5B86-1256-4B46-94D6-61EEB4201C3B}" xr6:coauthVersionLast="44" xr6:coauthVersionMax="44" xr10:uidLastSave="{00000000-0000-0000-0000-000000000000}"/>
  <bookViews>
    <workbookView xWindow="-110" yWindow="-110" windowWidth="19420" windowHeight="10420" activeTab="1" xr2:uid="{00000000-000D-0000-FFFF-FFFF00000000}"/>
  </bookViews>
  <sheets>
    <sheet name="Summary Sheet - Transportation" sheetId="1" r:id="rId1"/>
    <sheet name="Cost Calculations" sheetId="2" r:id="rId2"/>
    <sheet name="Budget" sheetId="3" state="hidden" r:id="rId3"/>
    <sheet name="Road data" sheetId="4" state="hidden" r:id="rId4"/>
    <sheet name="Variables" sheetId="5" r:id="rId5"/>
    <sheet name="Population" sheetId="6" state="hidden" r:id="rId6"/>
    <sheet name="Household Information" sheetId="7" state="hidden" r:id="rId7"/>
    <sheet name="Area" sheetId="8" state="hidden" r:id="rId8"/>
    <sheet name="CPI" sheetId="9" state="hidden" r:id="rId9"/>
    <sheet name="Road Pavement Percentage" sheetId="10" state="hidden" r:id="rId10"/>
  </sheets>
  <definedNames>
    <definedName name="_xlnm._FilterDatabase" localSheetId="7" hidden="1">Area!$A$1:$G$1</definedName>
    <definedName name="_xlnm._FilterDatabase" localSheetId="1" hidden="1">'Cost Calculations'!$A$3:$H$567</definedName>
    <definedName name="_xlnm._FilterDatabase" localSheetId="9" hidden="1">'Road Pavement Percentage'!$A$1:$F$48</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5" roundtripDataSignature="AMtx7mjAPHQjHVti8jVwOS1cbowagVLuvQ=="/>
    </ext>
  </extLst>
</workbook>
</file>

<file path=xl/calcChain.xml><?xml version="1.0" encoding="utf-8"?>
<calcChain xmlns="http://schemas.openxmlformats.org/spreadsheetml/2006/main">
  <c r="M5" i="2" l="1"/>
  <c r="N5" i="2" s="1"/>
  <c r="M6" i="2"/>
  <c r="N6" i="2"/>
  <c r="M7" i="2"/>
  <c r="N7" i="2" s="1"/>
  <c r="M8" i="2"/>
  <c r="N8" i="2"/>
  <c r="M9" i="2"/>
  <c r="N9" i="2" s="1"/>
  <c r="M10" i="2"/>
  <c r="N10" i="2"/>
  <c r="M11" i="2"/>
  <c r="N11" i="2" s="1"/>
  <c r="M12" i="2"/>
  <c r="N12" i="2"/>
  <c r="M13" i="2"/>
  <c r="N13" i="2" s="1"/>
  <c r="M14" i="2"/>
  <c r="N14" i="2"/>
  <c r="M15" i="2"/>
  <c r="N15" i="2" s="1"/>
  <c r="M16" i="2"/>
  <c r="N16" i="2"/>
  <c r="M17" i="2"/>
  <c r="N17" i="2" s="1"/>
  <c r="M18" i="2"/>
  <c r="N18" i="2"/>
  <c r="M19" i="2"/>
  <c r="N19" i="2" s="1"/>
  <c r="M20" i="2"/>
  <c r="N20" i="2"/>
  <c r="M21" i="2"/>
  <c r="N21" i="2" s="1"/>
  <c r="M22" i="2"/>
  <c r="N22" i="2"/>
  <c r="M23" i="2"/>
  <c r="N23" i="2" s="1"/>
  <c r="M24" i="2"/>
  <c r="N24" i="2"/>
  <c r="M25" i="2"/>
  <c r="N25" i="2" s="1"/>
  <c r="M26" i="2"/>
  <c r="N26" i="2"/>
  <c r="M27" i="2"/>
  <c r="N27" i="2" s="1"/>
  <c r="M28" i="2"/>
  <c r="N28" i="2"/>
  <c r="M29" i="2"/>
  <c r="N29" i="2" s="1"/>
  <c r="M30" i="2"/>
  <c r="N30" i="2"/>
  <c r="M31" i="2"/>
  <c r="N31" i="2" s="1"/>
  <c r="M32" i="2"/>
  <c r="N32" i="2"/>
  <c r="M33" i="2"/>
  <c r="N33" i="2" s="1"/>
  <c r="M34" i="2"/>
  <c r="N34" i="2"/>
  <c r="M35" i="2"/>
  <c r="N35" i="2" s="1"/>
  <c r="M36" i="2"/>
  <c r="N36" i="2"/>
  <c r="M37" i="2"/>
  <c r="N37" i="2" s="1"/>
  <c r="M38" i="2"/>
  <c r="N38" i="2"/>
  <c r="M39" i="2"/>
  <c r="N39" i="2" s="1"/>
  <c r="M40" i="2"/>
  <c r="N40" i="2"/>
  <c r="M41" i="2"/>
  <c r="N41" i="2" s="1"/>
  <c r="M42" i="2"/>
  <c r="N42" i="2"/>
  <c r="M43" i="2"/>
  <c r="N43" i="2" s="1"/>
  <c r="M44" i="2"/>
  <c r="N44" i="2"/>
  <c r="M45" i="2"/>
  <c r="N45" i="2" s="1"/>
  <c r="M46" i="2"/>
  <c r="N46" i="2"/>
  <c r="M47" i="2"/>
  <c r="N47" i="2" s="1"/>
  <c r="M48" i="2"/>
  <c r="N48" i="2"/>
  <c r="M49" i="2"/>
  <c r="N49" i="2" s="1"/>
  <c r="N4" i="2"/>
  <c r="M4" i="2"/>
  <c r="J4" i="1" l="1"/>
  <c r="J5" i="1"/>
  <c r="J3" i="1"/>
  <c r="H4" i="1"/>
  <c r="H5" i="1"/>
  <c r="H3" i="1"/>
  <c r="R16" i="2" l="1"/>
  <c r="O41" i="2"/>
  <c r="R44" i="2"/>
  <c r="R48" i="2"/>
  <c r="O49" i="2"/>
  <c r="M50" i="2"/>
  <c r="D10" i="3"/>
  <c r="E10" i="3" s="1"/>
  <c r="F10" i="3" s="1"/>
  <c r="E39" i="5" s="1"/>
  <c r="C10" i="3"/>
  <c r="B10" i="3"/>
  <c r="F48" i="8"/>
  <c r="H50" i="2" s="1"/>
  <c r="C48" i="8"/>
  <c r="F47" i="8"/>
  <c r="F46" i="8"/>
  <c r="F45" i="8"/>
  <c r="H47" i="2" s="1"/>
  <c r="J47" i="2" s="1"/>
  <c r="F44" i="8"/>
  <c r="F43" i="8"/>
  <c r="F42" i="8"/>
  <c r="F41" i="8"/>
  <c r="H43" i="2" s="1"/>
  <c r="F40" i="8"/>
  <c r="F39" i="8"/>
  <c r="F38" i="8"/>
  <c r="F37" i="8"/>
  <c r="F36" i="8"/>
  <c r="F35" i="8"/>
  <c r="F34" i="8"/>
  <c r="F33" i="8"/>
  <c r="F32" i="8"/>
  <c r="F31" i="8"/>
  <c r="F30" i="8"/>
  <c r="F29" i="8"/>
  <c r="E28" i="8"/>
  <c r="F28" i="8" s="1"/>
  <c r="F27" i="8"/>
  <c r="F26" i="8"/>
  <c r="F25" i="8"/>
  <c r="H27" i="2" s="1"/>
  <c r="AE27" i="2" s="1"/>
  <c r="AG27" i="2" s="1"/>
  <c r="F24" i="8"/>
  <c r="F23" i="8"/>
  <c r="F22" i="8"/>
  <c r="F21" i="8"/>
  <c r="F20" i="8"/>
  <c r="F19" i="8"/>
  <c r="F18" i="8"/>
  <c r="F17" i="8"/>
  <c r="H19" i="2" s="1"/>
  <c r="F16" i="8"/>
  <c r="F15" i="8"/>
  <c r="F14" i="8"/>
  <c r="F13" i="8"/>
  <c r="H15" i="2" s="1"/>
  <c r="AE15" i="2" s="1"/>
  <c r="AG15" i="2" s="1"/>
  <c r="F12" i="8"/>
  <c r="E12" i="8"/>
  <c r="F11" i="8"/>
  <c r="F10" i="8"/>
  <c r="H12" i="2" s="1"/>
  <c r="AE12" i="2" s="1"/>
  <c r="AG12" i="2" s="1"/>
  <c r="F9" i="8"/>
  <c r="F8" i="8"/>
  <c r="F7" i="8"/>
  <c r="F6" i="8"/>
  <c r="F5" i="8"/>
  <c r="F4" i="8"/>
  <c r="F3" i="8"/>
  <c r="F2" i="8"/>
  <c r="E43" i="7"/>
  <c r="F37" i="7"/>
  <c r="F18" i="7"/>
  <c r="F14" i="7"/>
  <c r="F13" i="7"/>
  <c r="F11" i="7"/>
  <c r="F9" i="7"/>
  <c r="F8" i="7"/>
  <c r="F7" i="7"/>
  <c r="F6" i="7"/>
  <c r="F5" i="7"/>
  <c r="F4" i="7"/>
  <c r="F3" i="7"/>
  <c r="F2" i="7"/>
  <c r="O48" i="6"/>
  <c r="D567" i="2" s="1"/>
  <c r="E567" i="2" s="1"/>
  <c r="N48" i="6"/>
  <c r="M48" i="6"/>
  <c r="L48" i="6"/>
  <c r="K48" i="6"/>
  <c r="D379" i="2" s="1"/>
  <c r="E379" i="2" s="1"/>
  <c r="J48" i="6"/>
  <c r="I48" i="6"/>
  <c r="H48" i="6"/>
  <c r="G48" i="6"/>
  <c r="D191" i="2" s="1"/>
  <c r="F48" i="6"/>
  <c r="E48" i="6"/>
  <c r="O47" i="6"/>
  <c r="D566" i="2" s="1"/>
  <c r="E566" i="2" s="1"/>
  <c r="N47" i="6"/>
  <c r="D519" i="2" s="1"/>
  <c r="E519" i="2" s="1"/>
  <c r="M47" i="6"/>
  <c r="L47" i="6"/>
  <c r="K47" i="6"/>
  <c r="D378" i="2" s="1"/>
  <c r="E378" i="2" s="1"/>
  <c r="J47" i="6"/>
  <c r="D331" i="2" s="1"/>
  <c r="I47" i="6"/>
  <c r="H47" i="6"/>
  <c r="G47" i="6"/>
  <c r="F47" i="6"/>
  <c r="D143" i="2" s="1"/>
  <c r="E47" i="6"/>
  <c r="D47" i="6"/>
  <c r="C47" i="8" s="1"/>
  <c r="O46" i="6"/>
  <c r="D565" i="2" s="1"/>
  <c r="E565" i="2" s="1"/>
  <c r="N46" i="6"/>
  <c r="D518" i="2" s="1"/>
  <c r="M46" i="6"/>
  <c r="L46" i="6"/>
  <c r="K46" i="6"/>
  <c r="J46" i="6"/>
  <c r="D330" i="2" s="1"/>
  <c r="E330" i="2" s="1"/>
  <c r="I46" i="6"/>
  <c r="H46" i="6"/>
  <c r="G46" i="6"/>
  <c r="F46" i="6"/>
  <c r="E46" i="6"/>
  <c r="D46" i="6"/>
  <c r="C46" i="8" s="1"/>
  <c r="D45" i="6"/>
  <c r="H45" i="6" s="1"/>
  <c r="D235" i="2" s="1"/>
  <c r="E235" i="2" s="1"/>
  <c r="O44" i="6"/>
  <c r="N44" i="6"/>
  <c r="M44" i="6"/>
  <c r="L44" i="6"/>
  <c r="D422" i="2" s="1"/>
  <c r="K44" i="6"/>
  <c r="J44" i="6"/>
  <c r="I44" i="6"/>
  <c r="H44" i="6"/>
  <c r="D234" i="2" s="1"/>
  <c r="E234" i="2" s="1"/>
  <c r="G44" i="6"/>
  <c r="F44" i="6"/>
  <c r="E44" i="6"/>
  <c r="D44" i="6"/>
  <c r="C44" i="8" s="1"/>
  <c r="O43" i="6"/>
  <c r="N43" i="6"/>
  <c r="M43" i="6"/>
  <c r="L43" i="6"/>
  <c r="K43" i="6"/>
  <c r="J43" i="6"/>
  <c r="I43" i="6"/>
  <c r="H43" i="6"/>
  <c r="D233" i="2" s="1"/>
  <c r="E233" i="2" s="1"/>
  <c r="G43" i="6"/>
  <c r="F43" i="6"/>
  <c r="E43" i="6"/>
  <c r="D43" i="6"/>
  <c r="C43" i="8" s="1"/>
  <c r="O42" i="6"/>
  <c r="N42" i="6"/>
  <c r="M42" i="6"/>
  <c r="D467" i="2" s="1"/>
  <c r="E467" i="2" s="1"/>
  <c r="L42" i="6"/>
  <c r="D420" i="2" s="1"/>
  <c r="K42" i="6"/>
  <c r="J42" i="6"/>
  <c r="I42" i="6"/>
  <c r="H42" i="6"/>
  <c r="D232" i="2" s="1"/>
  <c r="E232" i="2" s="1"/>
  <c r="G42" i="6"/>
  <c r="F42" i="6"/>
  <c r="E42" i="6"/>
  <c r="D42" i="6"/>
  <c r="C42" i="8" s="1"/>
  <c r="O41" i="6"/>
  <c r="N41" i="6"/>
  <c r="M41" i="6"/>
  <c r="L41" i="6"/>
  <c r="K41" i="6"/>
  <c r="J41" i="6"/>
  <c r="I41" i="6"/>
  <c r="H41" i="6"/>
  <c r="D231" i="2" s="1"/>
  <c r="E231" i="2" s="1"/>
  <c r="G41" i="6"/>
  <c r="F41" i="6"/>
  <c r="E41" i="6"/>
  <c r="D41" i="6"/>
  <c r="C41" i="8" s="1"/>
  <c r="O40" i="6"/>
  <c r="N40" i="6"/>
  <c r="M40" i="6"/>
  <c r="D465" i="2" s="1"/>
  <c r="E465" i="2" s="1"/>
  <c r="L40" i="6"/>
  <c r="D418" i="2" s="1"/>
  <c r="K40" i="6"/>
  <c r="J40" i="6"/>
  <c r="I40" i="6"/>
  <c r="H40" i="6"/>
  <c r="G40" i="6"/>
  <c r="F40" i="6"/>
  <c r="E40" i="6"/>
  <c r="D40" i="6"/>
  <c r="C40" i="8" s="1"/>
  <c r="O39" i="6"/>
  <c r="N39" i="6"/>
  <c r="M39" i="6"/>
  <c r="D464" i="2" s="1"/>
  <c r="E464" i="2" s="1"/>
  <c r="L39" i="6"/>
  <c r="K39" i="6"/>
  <c r="J39" i="6"/>
  <c r="I39" i="6"/>
  <c r="H39" i="6"/>
  <c r="G39" i="6"/>
  <c r="F39" i="6"/>
  <c r="E39" i="6"/>
  <c r="D39" i="6"/>
  <c r="C39" i="8" s="1"/>
  <c r="O38" i="6"/>
  <c r="N38" i="6"/>
  <c r="M38" i="6"/>
  <c r="L38" i="6"/>
  <c r="D416" i="2" s="1"/>
  <c r="K38" i="6"/>
  <c r="J38" i="6"/>
  <c r="I38" i="6"/>
  <c r="H38" i="6"/>
  <c r="G38" i="6"/>
  <c r="F38" i="6"/>
  <c r="E38" i="6"/>
  <c r="D38" i="6"/>
  <c r="C38" i="8" s="1"/>
  <c r="O37" i="6"/>
  <c r="N37" i="6"/>
  <c r="M37" i="6"/>
  <c r="L37" i="6"/>
  <c r="D415" i="2" s="1"/>
  <c r="K37" i="6"/>
  <c r="J37" i="6"/>
  <c r="I37" i="6"/>
  <c r="H37" i="6"/>
  <c r="G37" i="6"/>
  <c r="F37" i="6"/>
  <c r="E37" i="6"/>
  <c r="D37" i="6"/>
  <c r="C37" i="8" s="1"/>
  <c r="O36" i="6"/>
  <c r="N36" i="6"/>
  <c r="M36" i="6"/>
  <c r="D461" i="2" s="1"/>
  <c r="E461" i="2" s="1"/>
  <c r="L36" i="6"/>
  <c r="D414" i="2" s="1"/>
  <c r="K36" i="6"/>
  <c r="J36" i="6"/>
  <c r="I36" i="6"/>
  <c r="H36" i="6"/>
  <c r="G36" i="6"/>
  <c r="F36" i="6"/>
  <c r="E36" i="6"/>
  <c r="D36" i="6"/>
  <c r="C36" i="8" s="1"/>
  <c r="O35" i="6"/>
  <c r="N35" i="6"/>
  <c r="M35" i="6"/>
  <c r="L35" i="6"/>
  <c r="D413" i="2" s="1"/>
  <c r="K35" i="6"/>
  <c r="J35" i="6"/>
  <c r="I35" i="6"/>
  <c r="H35" i="6"/>
  <c r="D225" i="2" s="1"/>
  <c r="G35" i="6"/>
  <c r="F35" i="6"/>
  <c r="E35" i="6"/>
  <c r="D35" i="6"/>
  <c r="C35" i="8" s="1"/>
  <c r="O34" i="6"/>
  <c r="N34" i="6"/>
  <c r="M34" i="6"/>
  <c r="D459" i="2" s="1"/>
  <c r="E459" i="2" s="1"/>
  <c r="L34" i="6"/>
  <c r="K34" i="6"/>
  <c r="J34" i="6"/>
  <c r="I34" i="6"/>
  <c r="H34" i="6"/>
  <c r="G34" i="6"/>
  <c r="F34" i="6"/>
  <c r="E34" i="6"/>
  <c r="D34" i="6"/>
  <c r="C34" i="8" s="1"/>
  <c r="O33" i="6"/>
  <c r="N33" i="6"/>
  <c r="M33" i="6"/>
  <c r="L33" i="6"/>
  <c r="D411" i="2" s="1"/>
  <c r="K33" i="6"/>
  <c r="J33" i="6"/>
  <c r="I33" i="6"/>
  <c r="H33" i="6"/>
  <c r="D223" i="2" s="1"/>
  <c r="G33" i="6"/>
  <c r="F33" i="6"/>
  <c r="E33" i="6"/>
  <c r="D33" i="6"/>
  <c r="C33" i="8" s="1"/>
  <c r="O32" i="6"/>
  <c r="N32" i="6"/>
  <c r="M32" i="6"/>
  <c r="D457" i="2" s="1"/>
  <c r="E457" i="2" s="1"/>
  <c r="L32" i="6"/>
  <c r="K32" i="6"/>
  <c r="J32" i="6"/>
  <c r="I32" i="6"/>
  <c r="H32" i="6"/>
  <c r="G32" i="6"/>
  <c r="F32" i="6"/>
  <c r="E32" i="6"/>
  <c r="D32" i="6"/>
  <c r="C32" i="8" s="1"/>
  <c r="O31" i="6"/>
  <c r="N31" i="6"/>
  <c r="M31" i="6"/>
  <c r="D456" i="2" s="1"/>
  <c r="E456" i="2" s="1"/>
  <c r="L31" i="6"/>
  <c r="D409" i="2" s="1"/>
  <c r="K31" i="6"/>
  <c r="J31" i="6"/>
  <c r="I31" i="6"/>
  <c r="H31" i="6"/>
  <c r="D221" i="2" s="1"/>
  <c r="G31" i="6"/>
  <c r="F31" i="6"/>
  <c r="E31" i="6"/>
  <c r="D31" i="6"/>
  <c r="C31" i="8" s="1"/>
  <c r="O30" i="6"/>
  <c r="N30" i="6"/>
  <c r="M30" i="6"/>
  <c r="D455" i="2" s="1"/>
  <c r="E455" i="2" s="1"/>
  <c r="L30" i="6"/>
  <c r="K30" i="6"/>
  <c r="J30" i="6"/>
  <c r="I30" i="6"/>
  <c r="H30" i="6"/>
  <c r="G30" i="6"/>
  <c r="F30" i="6"/>
  <c r="E30" i="6"/>
  <c r="D30" i="6"/>
  <c r="C30" i="8" s="1"/>
  <c r="O29" i="6"/>
  <c r="N29" i="6"/>
  <c r="M29" i="6"/>
  <c r="L29" i="6"/>
  <c r="D407" i="2" s="1"/>
  <c r="K29" i="6"/>
  <c r="J29" i="6"/>
  <c r="I29" i="6"/>
  <c r="H29" i="6"/>
  <c r="D219" i="2" s="1"/>
  <c r="G29" i="6"/>
  <c r="F29" i="6"/>
  <c r="E29" i="6"/>
  <c r="D29" i="6"/>
  <c r="C29" i="8" s="1"/>
  <c r="O28" i="6"/>
  <c r="N28" i="6"/>
  <c r="M28" i="6"/>
  <c r="D453" i="2" s="1"/>
  <c r="E453" i="2" s="1"/>
  <c r="L28" i="6"/>
  <c r="D406" i="2" s="1"/>
  <c r="K28" i="6"/>
  <c r="J28" i="6"/>
  <c r="I28" i="6"/>
  <c r="H28" i="6"/>
  <c r="G28" i="6"/>
  <c r="F28" i="6"/>
  <c r="E28" i="6"/>
  <c r="D28" i="6"/>
  <c r="C28" i="8" s="1"/>
  <c r="O27" i="6"/>
  <c r="N27" i="6"/>
  <c r="M27" i="6"/>
  <c r="L27" i="6"/>
  <c r="D405" i="2" s="1"/>
  <c r="K27" i="6"/>
  <c r="J27" i="6"/>
  <c r="I27" i="6"/>
  <c r="H27" i="6"/>
  <c r="D217" i="2" s="1"/>
  <c r="G27" i="6"/>
  <c r="F27" i="6"/>
  <c r="E27" i="6"/>
  <c r="D27" i="6"/>
  <c r="C27" i="8" s="1"/>
  <c r="O26" i="6"/>
  <c r="N26" i="6"/>
  <c r="M26" i="6"/>
  <c r="D451" i="2" s="1"/>
  <c r="E451" i="2" s="1"/>
  <c r="L26" i="6"/>
  <c r="K26" i="6"/>
  <c r="J26" i="6"/>
  <c r="I26" i="6"/>
  <c r="H26" i="6"/>
  <c r="G26" i="6"/>
  <c r="F26" i="6"/>
  <c r="E26" i="6"/>
  <c r="D26" i="6"/>
  <c r="C26" i="8" s="1"/>
  <c r="O25" i="6"/>
  <c r="N25" i="6"/>
  <c r="M25" i="6"/>
  <c r="L25" i="6"/>
  <c r="D403" i="2" s="1"/>
  <c r="K25" i="6"/>
  <c r="J25" i="6"/>
  <c r="I25" i="6"/>
  <c r="H25" i="6"/>
  <c r="D215" i="2" s="1"/>
  <c r="G25" i="6"/>
  <c r="F25" i="6"/>
  <c r="E25" i="6"/>
  <c r="D25" i="6"/>
  <c r="C25" i="8" s="1"/>
  <c r="O24" i="6"/>
  <c r="N24" i="6"/>
  <c r="M24" i="6"/>
  <c r="D449" i="2" s="1"/>
  <c r="E449" i="2" s="1"/>
  <c r="L24" i="6"/>
  <c r="K24" i="6"/>
  <c r="J24" i="6"/>
  <c r="I24" i="6"/>
  <c r="H24" i="6"/>
  <c r="G24" i="6"/>
  <c r="F24" i="6"/>
  <c r="E24" i="6"/>
  <c r="D24" i="6"/>
  <c r="C24" i="8" s="1"/>
  <c r="O23" i="6"/>
  <c r="N23" i="6"/>
  <c r="M23" i="6"/>
  <c r="D448" i="2" s="1"/>
  <c r="E448" i="2" s="1"/>
  <c r="L23" i="6"/>
  <c r="D401" i="2" s="1"/>
  <c r="K23" i="6"/>
  <c r="J23" i="6"/>
  <c r="I23" i="6"/>
  <c r="H23" i="6"/>
  <c r="D213" i="2" s="1"/>
  <c r="G23" i="6"/>
  <c r="F23" i="6"/>
  <c r="E23" i="6"/>
  <c r="D23" i="6"/>
  <c r="C23" i="8" s="1"/>
  <c r="O22" i="6"/>
  <c r="N22" i="6"/>
  <c r="M22" i="6"/>
  <c r="D447" i="2" s="1"/>
  <c r="E447" i="2" s="1"/>
  <c r="L22" i="6"/>
  <c r="K22" i="6"/>
  <c r="J22" i="6"/>
  <c r="I22" i="6"/>
  <c r="H22" i="6"/>
  <c r="D212" i="2" s="1"/>
  <c r="G22" i="6"/>
  <c r="F22" i="6"/>
  <c r="E22" i="6"/>
  <c r="D22" i="6"/>
  <c r="C22" i="8" s="1"/>
  <c r="O21" i="6"/>
  <c r="N21" i="6"/>
  <c r="M21" i="6"/>
  <c r="L21" i="6"/>
  <c r="D399" i="2" s="1"/>
  <c r="K21" i="6"/>
  <c r="J21" i="6"/>
  <c r="I21" i="6"/>
  <c r="H21" i="6"/>
  <c r="D211" i="2" s="1"/>
  <c r="G21" i="6"/>
  <c r="F21" i="6"/>
  <c r="E21" i="6"/>
  <c r="D21" i="6"/>
  <c r="C21" i="8" s="1"/>
  <c r="O20" i="6"/>
  <c r="N20" i="6"/>
  <c r="M20" i="6"/>
  <c r="D445" i="2" s="1"/>
  <c r="E445" i="2" s="1"/>
  <c r="L20" i="6"/>
  <c r="D398" i="2" s="1"/>
  <c r="K20" i="6"/>
  <c r="J20" i="6"/>
  <c r="I20" i="6"/>
  <c r="H20" i="6"/>
  <c r="G20" i="6"/>
  <c r="F20" i="6"/>
  <c r="E20" i="6"/>
  <c r="D20" i="6"/>
  <c r="C20" i="8" s="1"/>
  <c r="O19" i="6"/>
  <c r="N19" i="6"/>
  <c r="M19" i="6"/>
  <c r="L19" i="6"/>
  <c r="D397" i="2" s="1"/>
  <c r="K19" i="6"/>
  <c r="J19" i="6"/>
  <c r="I19" i="6"/>
  <c r="H19" i="6"/>
  <c r="D209" i="2" s="1"/>
  <c r="G19" i="6"/>
  <c r="F19" i="6"/>
  <c r="E19" i="6"/>
  <c r="D19" i="6"/>
  <c r="C19" i="8" s="1"/>
  <c r="O18" i="6"/>
  <c r="N18" i="6"/>
  <c r="M18" i="6"/>
  <c r="L18" i="6"/>
  <c r="D396" i="2" s="1"/>
  <c r="K18" i="6"/>
  <c r="J18" i="6"/>
  <c r="I18" i="6"/>
  <c r="H18" i="6"/>
  <c r="D208" i="2" s="1"/>
  <c r="E208" i="2" s="1"/>
  <c r="G18" i="6"/>
  <c r="F18" i="6"/>
  <c r="E18" i="6"/>
  <c r="D18" i="6"/>
  <c r="C18" i="8" s="1"/>
  <c r="O17" i="6"/>
  <c r="N17" i="6"/>
  <c r="M17" i="6"/>
  <c r="D442" i="2" s="1"/>
  <c r="E442" i="2" s="1"/>
  <c r="L17" i="6"/>
  <c r="D395" i="2" s="1"/>
  <c r="K17" i="6"/>
  <c r="J17" i="6"/>
  <c r="I17" i="6"/>
  <c r="H17" i="6"/>
  <c r="D207" i="2" s="1"/>
  <c r="G17" i="6"/>
  <c r="F17" i="6"/>
  <c r="E17" i="6"/>
  <c r="D17" i="6"/>
  <c r="C17" i="8" s="1"/>
  <c r="O16" i="6"/>
  <c r="N16" i="6"/>
  <c r="M16" i="6"/>
  <c r="D441" i="2" s="1"/>
  <c r="E441" i="2" s="1"/>
  <c r="L16" i="6"/>
  <c r="D394" i="2" s="1"/>
  <c r="K16" i="6"/>
  <c r="J16" i="6"/>
  <c r="I16" i="6"/>
  <c r="H16" i="6"/>
  <c r="D206" i="2" s="1"/>
  <c r="G16" i="6"/>
  <c r="F16" i="6"/>
  <c r="E16" i="6"/>
  <c r="D16" i="6"/>
  <c r="C16" i="8" s="1"/>
  <c r="O15" i="6"/>
  <c r="N15" i="6"/>
  <c r="M15" i="6"/>
  <c r="D440" i="2" s="1"/>
  <c r="E440" i="2" s="1"/>
  <c r="L15" i="6"/>
  <c r="D393" i="2" s="1"/>
  <c r="K15" i="6"/>
  <c r="J15" i="6"/>
  <c r="I15" i="6"/>
  <c r="H15" i="6"/>
  <c r="G15" i="6"/>
  <c r="F15" i="6"/>
  <c r="E15" i="6"/>
  <c r="D15" i="6"/>
  <c r="C15" i="8" s="1"/>
  <c r="O14" i="6"/>
  <c r="N14" i="6"/>
  <c r="M14" i="6"/>
  <c r="D439" i="2" s="1"/>
  <c r="E439" i="2" s="1"/>
  <c r="L14" i="6"/>
  <c r="D392" i="2" s="1"/>
  <c r="E392" i="2" s="1"/>
  <c r="K14" i="6"/>
  <c r="J14" i="6"/>
  <c r="I14" i="6"/>
  <c r="H14" i="6"/>
  <c r="D204" i="2" s="1"/>
  <c r="G14" i="6"/>
  <c r="F14" i="6"/>
  <c r="E14" i="6"/>
  <c r="D14" i="6"/>
  <c r="C14" i="8" s="1"/>
  <c r="O13" i="6"/>
  <c r="N13" i="6"/>
  <c r="M13" i="6"/>
  <c r="L13" i="6"/>
  <c r="D391" i="2" s="1"/>
  <c r="E391" i="2" s="1"/>
  <c r="K13" i="6"/>
  <c r="J13" i="6"/>
  <c r="I13" i="6"/>
  <c r="H13" i="6"/>
  <c r="G13" i="6"/>
  <c r="F13" i="6"/>
  <c r="E13" i="6"/>
  <c r="D13" i="6"/>
  <c r="C13" i="8" s="1"/>
  <c r="O12" i="6"/>
  <c r="N12" i="6"/>
  <c r="M12" i="6"/>
  <c r="D437" i="2" s="1"/>
  <c r="E437" i="2" s="1"/>
  <c r="L12" i="6"/>
  <c r="D390" i="2" s="1"/>
  <c r="E390" i="2" s="1"/>
  <c r="K12" i="6"/>
  <c r="J12" i="6"/>
  <c r="I12" i="6"/>
  <c r="H12" i="6"/>
  <c r="D202" i="2" s="1"/>
  <c r="G12" i="6"/>
  <c r="F12" i="6"/>
  <c r="E12" i="6"/>
  <c r="D12" i="6"/>
  <c r="C12" i="8" s="1"/>
  <c r="O11" i="6"/>
  <c r="N11" i="6"/>
  <c r="M11" i="6"/>
  <c r="L11" i="6"/>
  <c r="D389" i="2" s="1"/>
  <c r="E389" i="2" s="1"/>
  <c r="K11" i="6"/>
  <c r="J11" i="6"/>
  <c r="I11" i="6"/>
  <c r="H11" i="6"/>
  <c r="G11" i="6"/>
  <c r="F11" i="6"/>
  <c r="E11" i="6"/>
  <c r="D11" i="6"/>
  <c r="C11" i="8" s="1"/>
  <c r="O10" i="6"/>
  <c r="N10" i="6"/>
  <c r="M10" i="6"/>
  <c r="D435" i="2" s="1"/>
  <c r="E435" i="2" s="1"/>
  <c r="L10" i="6"/>
  <c r="D388" i="2" s="1"/>
  <c r="E388" i="2" s="1"/>
  <c r="K10" i="6"/>
  <c r="J10" i="6"/>
  <c r="I10" i="6"/>
  <c r="H10" i="6"/>
  <c r="D200" i="2" s="1"/>
  <c r="E200" i="2" s="1"/>
  <c r="G10" i="6"/>
  <c r="F10" i="6"/>
  <c r="E10" i="6"/>
  <c r="D10" i="6"/>
  <c r="C10" i="8" s="1"/>
  <c r="O9" i="6"/>
  <c r="N9" i="6"/>
  <c r="M9" i="6"/>
  <c r="D434" i="2" s="1"/>
  <c r="E434" i="2" s="1"/>
  <c r="L9" i="6"/>
  <c r="K9" i="6"/>
  <c r="J9" i="6"/>
  <c r="I9" i="6"/>
  <c r="H9" i="6"/>
  <c r="D199" i="2" s="1"/>
  <c r="G9" i="6"/>
  <c r="F9" i="6"/>
  <c r="E9" i="6"/>
  <c r="D9" i="6"/>
  <c r="C9" i="8" s="1"/>
  <c r="O8" i="6"/>
  <c r="N8" i="6"/>
  <c r="M8" i="6"/>
  <c r="L8" i="6"/>
  <c r="D386" i="2" s="1"/>
  <c r="E386" i="2" s="1"/>
  <c r="K8" i="6"/>
  <c r="J8" i="6"/>
  <c r="I8" i="6"/>
  <c r="H8" i="6"/>
  <c r="D198" i="2" s="1"/>
  <c r="G8" i="6"/>
  <c r="F8" i="6"/>
  <c r="E8" i="6"/>
  <c r="D8" i="6"/>
  <c r="C8" i="8" s="1"/>
  <c r="O7" i="6"/>
  <c r="N7" i="6"/>
  <c r="M7" i="6"/>
  <c r="D432" i="2" s="1"/>
  <c r="E432" i="2" s="1"/>
  <c r="L7" i="6"/>
  <c r="D385" i="2" s="1"/>
  <c r="E385" i="2" s="1"/>
  <c r="K7" i="6"/>
  <c r="J7" i="6"/>
  <c r="I7" i="6"/>
  <c r="H7" i="6"/>
  <c r="G7" i="6"/>
  <c r="F7" i="6"/>
  <c r="E7" i="6"/>
  <c r="D7" i="6"/>
  <c r="C7" i="8" s="1"/>
  <c r="O6" i="6"/>
  <c r="N6" i="6"/>
  <c r="M6" i="6"/>
  <c r="D431" i="2" s="1"/>
  <c r="E431" i="2" s="1"/>
  <c r="L6" i="6"/>
  <c r="D384" i="2" s="1"/>
  <c r="E384" i="2" s="1"/>
  <c r="K6" i="6"/>
  <c r="J6" i="6"/>
  <c r="I6" i="6"/>
  <c r="H6" i="6"/>
  <c r="D196" i="2" s="1"/>
  <c r="E196" i="2" s="1"/>
  <c r="G6" i="6"/>
  <c r="F6" i="6"/>
  <c r="E6" i="6"/>
  <c r="D6" i="6"/>
  <c r="C6" i="8" s="1"/>
  <c r="O5" i="6"/>
  <c r="N5" i="6"/>
  <c r="M5" i="6"/>
  <c r="D430" i="2" s="1"/>
  <c r="E430" i="2" s="1"/>
  <c r="L5" i="6"/>
  <c r="K5" i="6"/>
  <c r="J5" i="6"/>
  <c r="I5" i="6"/>
  <c r="H5" i="6"/>
  <c r="G5" i="6"/>
  <c r="F5" i="6"/>
  <c r="E5" i="6"/>
  <c r="D5" i="6"/>
  <c r="C5" i="8" s="1"/>
  <c r="O4" i="6"/>
  <c r="N4" i="6"/>
  <c r="M4" i="6"/>
  <c r="L4" i="6"/>
  <c r="D382" i="2" s="1"/>
  <c r="E382" i="2" s="1"/>
  <c r="K4" i="6"/>
  <c r="J4" i="6"/>
  <c r="I4" i="6"/>
  <c r="H4" i="6"/>
  <c r="D194" i="2" s="1"/>
  <c r="G4" i="6"/>
  <c r="F4" i="6"/>
  <c r="E4" i="6"/>
  <c r="D4" i="6"/>
  <c r="C4" i="8" s="1"/>
  <c r="O3" i="6"/>
  <c r="N3" i="6"/>
  <c r="M3" i="6"/>
  <c r="L3" i="6"/>
  <c r="D381" i="2" s="1"/>
  <c r="E381" i="2" s="1"/>
  <c r="K3" i="6"/>
  <c r="J3" i="6"/>
  <c r="I3" i="6"/>
  <c r="H3" i="6"/>
  <c r="D193" i="2" s="1"/>
  <c r="E193" i="2" s="1"/>
  <c r="G3" i="6"/>
  <c r="F3" i="6"/>
  <c r="E3" i="6"/>
  <c r="D3" i="6"/>
  <c r="C3" i="8" s="1"/>
  <c r="O2" i="6"/>
  <c r="N2" i="6"/>
  <c r="M2" i="6"/>
  <c r="D427" i="2" s="1"/>
  <c r="E427" i="2" s="1"/>
  <c r="L2" i="6"/>
  <c r="D380" i="2" s="1"/>
  <c r="E380" i="2" s="1"/>
  <c r="K2" i="6"/>
  <c r="J2" i="6"/>
  <c r="I2" i="6"/>
  <c r="H2" i="6"/>
  <c r="D192" i="2" s="1"/>
  <c r="G2" i="6"/>
  <c r="F2" i="6"/>
  <c r="E2" i="6"/>
  <c r="D2" i="6"/>
  <c r="C2" i="8" s="1"/>
  <c r="E47" i="5"/>
  <c r="E36" i="7" s="1"/>
  <c r="F36" i="7" s="1"/>
  <c r="E46" i="5"/>
  <c r="E43" i="5"/>
  <c r="C43" i="5"/>
  <c r="C42" i="5"/>
  <c r="E42" i="5" s="1"/>
  <c r="E41" i="5"/>
  <c r="C40" i="5"/>
  <c r="C39" i="5"/>
  <c r="E33" i="5"/>
  <c r="E32" i="5"/>
  <c r="C31" i="5"/>
  <c r="E31" i="5" s="1"/>
  <c r="E30" i="5"/>
  <c r="E29" i="5"/>
  <c r="E28" i="5"/>
  <c r="E27" i="5"/>
  <c r="E26" i="5"/>
  <c r="C26" i="5"/>
  <c r="C24" i="5"/>
  <c r="C23" i="5"/>
  <c r="C22" i="4"/>
  <c r="C21" i="4"/>
  <c r="C25" i="5" s="1"/>
  <c r="C20" i="4"/>
  <c r="C19" i="4"/>
  <c r="C18" i="4"/>
  <c r="C17" i="4"/>
  <c r="C22" i="5" s="1"/>
  <c r="AA576" i="2"/>
  <c r="AA575" i="2"/>
  <c r="AA574" i="2"/>
  <c r="F567" i="2"/>
  <c r="F566" i="2"/>
  <c r="F565" i="2"/>
  <c r="F564" i="2"/>
  <c r="F563" i="2"/>
  <c r="D563" i="2"/>
  <c r="E563" i="2" s="1"/>
  <c r="F562" i="2"/>
  <c r="D562" i="2"/>
  <c r="E562" i="2" s="1"/>
  <c r="F561" i="2"/>
  <c r="D561" i="2"/>
  <c r="F560" i="2"/>
  <c r="D560" i="2"/>
  <c r="F559" i="2"/>
  <c r="D559" i="2"/>
  <c r="F558" i="2"/>
  <c r="D558" i="2"/>
  <c r="F557" i="2"/>
  <c r="D557" i="2"/>
  <c r="AQ556" i="2"/>
  <c r="F556" i="2"/>
  <c r="D556" i="2"/>
  <c r="E556" i="2" s="1"/>
  <c r="AQ555" i="2"/>
  <c r="F555" i="2"/>
  <c r="D555" i="2"/>
  <c r="F554" i="2"/>
  <c r="D554" i="2"/>
  <c r="F553" i="2"/>
  <c r="D553" i="2"/>
  <c r="E553" i="2" s="1"/>
  <c r="F552" i="2"/>
  <c r="D552" i="2"/>
  <c r="E552" i="2" s="1"/>
  <c r="F551" i="2"/>
  <c r="D551" i="2"/>
  <c r="E551" i="2" s="1"/>
  <c r="F550" i="2"/>
  <c r="D550" i="2"/>
  <c r="F549" i="2"/>
  <c r="D549" i="2"/>
  <c r="F548" i="2"/>
  <c r="D548" i="2"/>
  <c r="F547" i="2"/>
  <c r="D547" i="2"/>
  <c r="F546" i="2"/>
  <c r="D546" i="2"/>
  <c r="F545" i="2"/>
  <c r="D545" i="2"/>
  <c r="F544" i="2"/>
  <c r="D544" i="2"/>
  <c r="E544" i="2" s="1"/>
  <c r="F543" i="2"/>
  <c r="D543" i="2"/>
  <c r="E543" i="2" s="1"/>
  <c r="F542" i="2"/>
  <c r="D542" i="2"/>
  <c r="F541" i="2"/>
  <c r="D541" i="2"/>
  <c r="F540" i="2"/>
  <c r="D540" i="2"/>
  <c r="F539" i="2"/>
  <c r="D539" i="2"/>
  <c r="E539" i="2" s="1"/>
  <c r="F538" i="2"/>
  <c r="D538" i="2"/>
  <c r="AQ537" i="2"/>
  <c r="F537" i="2"/>
  <c r="D537" i="2"/>
  <c r="F536" i="2"/>
  <c r="D536" i="2"/>
  <c r="F535" i="2"/>
  <c r="D535" i="2"/>
  <c r="E535" i="2" s="1"/>
  <c r="F534" i="2"/>
  <c r="D534" i="2"/>
  <c r="AQ533" i="2"/>
  <c r="F533" i="2"/>
  <c r="D533" i="2"/>
  <c r="E533" i="2" s="1"/>
  <c r="AQ532" i="2"/>
  <c r="F532" i="2"/>
  <c r="D532" i="2"/>
  <c r="F531" i="2"/>
  <c r="D531" i="2"/>
  <c r="E531" i="2" s="1"/>
  <c r="AQ530" i="2"/>
  <c r="F530" i="2"/>
  <c r="D530" i="2"/>
  <c r="F529" i="2"/>
  <c r="D529" i="2"/>
  <c r="E529" i="2" s="1"/>
  <c r="AQ528" i="2"/>
  <c r="F528" i="2"/>
  <c r="D528" i="2"/>
  <c r="E528" i="2" s="1"/>
  <c r="AQ527" i="2"/>
  <c r="F527" i="2"/>
  <c r="D527" i="2"/>
  <c r="AQ526" i="2"/>
  <c r="F526" i="2"/>
  <c r="D526" i="2"/>
  <c r="E526" i="2" s="1"/>
  <c r="AQ525" i="2"/>
  <c r="F525" i="2"/>
  <c r="D525" i="2"/>
  <c r="AQ524" i="2"/>
  <c r="F524" i="2"/>
  <c r="D524" i="2"/>
  <c r="AQ523" i="2"/>
  <c r="F523" i="2"/>
  <c r="D523" i="2"/>
  <c r="AQ522" i="2"/>
  <c r="F522" i="2"/>
  <c r="D522" i="2"/>
  <c r="AQ521" i="2"/>
  <c r="F521" i="2"/>
  <c r="D521" i="2"/>
  <c r="F520" i="2"/>
  <c r="D520" i="2"/>
  <c r="AA519" i="2"/>
  <c r="AI519" i="2" s="1"/>
  <c r="F519" i="2"/>
  <c r="F518" i="2"/>
  <c r="F517" i="2"/>
  <c r="F516" i="2"/>
  <c r="D516" i="2"/>
  <c r="E516" i="2" s="1"/>
  <c r="AQ515" i="2"/>
  <c r="F515" i="2"/>
  <c r="D515" i="2"/>
  <c r="E515" i="2" s="1"/>
  <c r="F514" i="2"/>
  <c r="D514" i="2"/>
  <c r="E514" i="2" s="1"/>
  <c r="F513" i="2"/>
  <c r="D513" i="2"/>
  <c r="F512" i="2"/>
  <c r="G512" i="2" s="1"/>
  <c r="D512" i="2"/>
  <c r="F511" i="2"/>
  <c r="D511" i="2"/>
  <c r="F510" i="2"/>
  <c r="G510" i="2" s="1"/>
  <c r="D510" i="2"/>
  <c r="AQ509" i="2"/>
  <c r="F509" i="2"/>
  <c r="D509" i="2"/>
  <c r="E509" i="2" s="1"/>
  <c r="AQ508" i="2"/>
  <c r="F508" i="2"/>
  <c r="D508" i="2"/>
  <c r="F507" i="2"/>
  <c r="D507" i="2"/>
  <c r="F506" i="2"/>
  <c r="D506" i="2"/>
  <c r="E506" i="2" s="1"/>
  <c r="F505" i="2"/>
  <c r="D505" i="2"/>
  <c r="E505" i="2" s="1"/>
  <c r="F504" i="2"/>
  <c r="D504" i="2"/>
  <c r="E504" i="2" s="1"/>
  <c r="F503" i="2"/>
  <c r="D503" i="2"/>
  <c r="E503" i="2" s="1"/>
  <c r="F502" i="2"/>
  <c r="D502" i="2"/>
  <c r="E502" i="2" s="1"/>
  <c r="F501" i="2"/>
  <c r="D501" i="2"/>
  <c r="F500" i="2"/>
  <c r="D500" i="2"/>
  <c r="F499" i="2"/>
  <c r="D499" i="2"/>
  <c r="E499" i="2" s="1"/>
  <c r="F498" i="2"/>
  <c r="D498" i="2"/>
  <c r="E498" i="2" s="1"/>
  <c r="F497" i="2"/>
  <c r="D497" i="2"/>
  <c r="E497" i="2" s="1"/>
  <c r="F496" i="2"/>
  <c r="D496" i="2"/>
  <c r="E496" i="2" s="1"/>
  <c r="F495" i="2"/>
  <c r="D495" i="2"/>
  <c r="E495" i="2" s="1"/>
  <c r="F494" i="2"/>
  <c r="D494" i="2"/>
  <c r="E494" i="2" s="1"/>
  <c r="F493" i="2"/>
  <c r="D493" i="2"/>
  <c r="E493" i="2" s="1"/>
  <c r="F492" i="2"/>
  <c r="D492" i="2"/>
  <c r="E492" i="2" s="1"/>
  <c r="F491" i="2"/>
  <c r="D491" i="2"/>
  <c r="E491" i="2" s="1"/>
  <c r="AQ490" i="2"/>
  <c r="F490" i="2"/>
  <c r="D490" i="2"/>
  <c r="E490" i="2" s="1"/>
  <c r="F489" i="2"/>
  <c r="D489" i="2"/>
  <c r="E489" i="2" s="1"/>
  <c r="F488" i="2"/>
  <c r="D488" i="2"/>
  <c r="E488" i="2" s="1"/>
  <c r="F487" i="2"/>
  <c r="D487" i="2"/>
  <c r="E487" i="2" s="1"/>
  <c r="AQ486" i="2"/>
  <c r="F486" i="2"/>
  <c r="D486" i="2"/>
  <c r="E486" i="2" s="1"/>
  <c r="AQ485" i="2"/>
  <c r="F485" i="2"/>
  <c r="D485" i="2"/>
  <c r="E485" i="2" s="1"/>
  <c r="F484" i="2"/>
  <c r="D484" i="2"/>
  <c r="E484" i="2" s="1"/>
  <c r="AQ483" i="2"/>
  <c r="F483" i="2"/>
  <c r="D483" i="2"/>
  <c r="E483" i="2" s="1"/>
  <c r="F482" i="2"/>
  <c r="D482" i="2"/>
  <c r="E482" i="2" s="1"/>
  <c r="AQ481" i="2"/>
  <c r="F481" i="2"/>
  <c r="D481" i="2"/>
  <c r="E481" i="2" s="1"/>
  <c r="AQ480" i="2"/>
  <c r="F480" i="2"/>
  <c r="D480" i="2"/>
  <c r="E480" i="2" s="1"/>
  <c r="AQ479" i="2"/>
  <c r="F479" i="2"/>
  <c r="D479" i="2"/>
  <c r="E479" i="2" s="1"/>
  <c r="AQ478" i="2"/>
  <c r="F478" i="2"/>
  <c r="D478" i="2"/>
  <c r="E478" i="2" s="1"/>
  <c r="AQ477" i="2"/>
  <c r="F477" i="2"/>
  <c r="D477" i="2"/>
  <c r="E477" i="2" s="1"/>
  <c r="AQ476" i="2"/>
  <c r="F476" i="2"/>
  <c r="D476" i="2"/>
  <c r="E476" i="2" s="1"/>
  <c r="AQ475" i="2"/>
  <c r="F475" i="2"/>
  <c r="D475" i="2"/>
  <c r="E475" i="2" s="1"/>
  <c r="AQ474" i="2"/>
  <c r="F474" i="2"/>
  <c r="D474" i="2"/>
  <c r="E474" i="2" s="1"/>
  <c r="F473" i="2"/>
  <c r="D473" i="2"/>
  <c r="E473" i="2" s="1"/>
  <c r="F472" i="2"/>
  <c r="D472" i="2"/>
  <c r="E472" i="2" s="1"/>
  <c r="F471" i="2"/>
  <c r="D471" i="2"/>
  <c r="E471" i="2" s="1"/>
  <c r="F470" i="2"/>
  <c r="F469" i="2"/>
  <c r="D469" i="2"/>
  <c r="E469" i="2" s="1"/>
  <c r="F468" i="2"/>
  <c r="D468" i="2"/>
  <c r="E468" i="2" s="1"/>
  <c r="F467" i="2"/>
  <c r="F466" i="2"/>
  <c r="D466" i="2"/>
  <c r="E466" i="2" s="1"/>
  <c r="F465" i="2"/>
  <c r="F464" i="2"/>
  <c r="F463" i="2"/>
  <c r="D463" i="2"/>
  <c r="E463" i="2" s="1"/>
  <c r="AQ462" i="2"/>
  <c r="F462" i="2"/>
  <c r="D462" i="2"/>
  <c r="E462" i="2" s="1"/>
  <c r="AQ461" i="2"/>
  <c r="F461" i="2"/>
  <c r="F460" i="2"/>
  <c r="D460" i="2"/>
  <c r="E460" i="2" s="1"/>
  <c r="F459" i="2"/>
  <c r="F458" i="2"/>
  <c r="D458" i="2"/>
  <c r="E458" i="2" s="1"/>
  <c r="F457" i="2"/>
  <c r="F456" i="2"/>
  <c r="F455" i="2"/>
  <c r="F454" i="2"/>
  <c r="D454" i="2"/>
  <c r="E454" i="2" s="1"/>
  <c r="F453" i="2"/>
  <c r="F452" i="2"/>
  <c r="D452" i="2"/>
  <c r="E452" i="2" s="1"/>
  <c r="F451" i="2"/>
  <c r="F450" i="2"/>
  <c r="D450" i="2"/>
  <c r="E450" i="2" s="1"/>
  <c r="F449" i="2"/>
  <c r="F448" i="2"/>
  <c r="F447" i="2"/>
  <c r="F446" i="2"/>
  <c r="D446" i="2"/>
  <c r="E446" i="2" s="1"/>
  <c r="F445" i="2"/>
  <c r="F444" i="2"/>
  <c r="D444" i="2"/>
  <c r="E444" i="2" s="1"/>
  <c r="AQ443" i="2"/>
  <c r="F443" i="2"/>
  <c r="D443" i="2"/>
  <c r="E443" i="2" s="1"/>
  <c r="F442" i="2"/>
  <c r="F441" i="2"/>
  <c r="F440" i="2"/>
  <c r="AQ439" i="2"/>
  <c r="F439" i="2"/>
  <c r="AQ438" i="2"/>
  <c r="F438" i="2"/>
  <c r="D438" i="2"/>
  <c r="E438" i="2" s="1"/>
  <c r="F437" i="2"/>
  <c r="AQ436" i="2"/>
  <c r="F436" i="2"/>
  <c r="D436" i="2"/>
  <c r="E436" i="2" s="1"/>
  <c r="F435" i="2"/>
  <c r="AQ434" i="2"/>
  <c r="F434" i="2"/>
  <c r="AQ433" i="2"/>
  <c r="F433" i="2"/>
  <c r="D433" i="2"/>
  <c r="E433" i="2" s="1"/>
  <c r="AQ432" i="2"/>
  <c r="F432" i="2"/>
  <c r="AQ431" i="2"/>
  <c r="F431" i="2"/>
  <c r="AQ430" i="2"/>
  <c r="F430" i="2"/>
  <c r="AQ429" i="2"/>
  <c r="F429" i="2"/>
  <c r="D429" i="2"/>
  <c r="E429" i="2" s="1"/>
  <c r="AQ428" i="2"/>
  <c r="F428" i="2"/>
  <c r="D428" i="2"/>
  <c r="E428" i="2" s="1"/>
  <c r="AQ427" i="2"/>
  <c r="F427" i="2"/>
  <c r="F426" i="2"/>
  <c r="D426" i="2"/>
  <c r="E426" i="2" s="1"/>
  <c r="F425" i="2"/>
  <c r="D425" i="2"/>
  <c r="F424" i="2"/>
  <c r="D424" i="2"/>
  <c r="F423" i="2"/>
  <c r="F422" i="2"/>
  <c r="G422" i="2" s="1"/>
  <c r="AQ421" i="2"/>
  <c r="F421" i="2"/>
  <c r="D421" i="2"/>
  <c r="F420" i="2"/>
  <c r="F419" i="2"/>
  <c r="D419" i="2"/>
  <c r="F418" i="2"/>
  <c r="F417" i="2"/>
  <c r="D417" i="2"/>
  <c r="F416" i="2"/>
  <c r="AQ415" i="2"/>
  <c r="F415" i="2"/>
  <c r="AQ414" i="2"/>
  <c r="F414" i="2"/>
  <c r="F413" i="2"/>
  <c r="F412" i="2"/>
  <c r="D412" i="2"/>
  <c r="F411" i="2"/>
  <c r="F410" i="2"/>
  <c r="D410" i="2"/>
  <c r="F409" i="2"/>
  <c r="F408" i="2"/>
  <c r="D408" i="2"/>
  <c r="F407" i="2"/>
  <c r="F406" i="2"/>
  <c r="F405" i="2"/>
  <c r="F404" i="2"/>
  <c r="D404" i="2"/>
  <c r="F403" i="2"/>
  <c r="F402" i="2"/>
  <c r="D402" i="2"/>
  <c r="F401" i="2"/>
  <c r="F400" i="2"/>
  <c r="D400" i="2"/>
  <c r="F399" i="2"/>
  <c r="F398" i="2"/>
  <c r="F397" i="2"/>
  <c r="AQ396" i="2"/>
  <c r="F396" i="2"/>
  <c r="F395" i="2"/>
  <c r="F394" i="2"/>
  <c r="F393" i="2"/>
  <c r="AQ392" i="2"/>
  <c r="F392" i="2"/>
  <c r="AQ391" i="2"/>
  <c r="F391" i="2"/>
  <c r="F390" i="2"/>
  <c r="AQ389" i="2"/>
  <c r="F389" i="2"/>
  <c r="F388" i="2"/>
  <c r="AQ387" i="2"/>
  <c r="F387" i="2"/>
  <c r="D387" i="2"/>
  <c r="E387" i="2" s="1"/>
  <c r="AQ386" i="2"/>
  <c r="F386" i="2"/>
  <c r="AQ385" i="2"/>
  <c r="F385" i="2"/>
  <c r="AQ384" i="2"/>
  <c r="F384" i="2"/>
  <c r="AQ383" i="2"/>
  <c r="F383" i="2"/>
  <c r="D383" i="2"/>
  <c r="E383" i="2" s="1"/>
  <c r="AQ382" i="2"/>
  <c r="F382" i="2"/>
  <c r="AQ381" i="2"/>
  <c r="F381" i="2"/>
  <c r="AQ380" i="2"/>
  <c r="F380" i="2"/>
  <c r="F379" i="2"/>
  <c r="AA378" i="2"/>
  <c r="AI378" i="2" s="1"/>
  <c r="F378" i="2"/>
  <c r="F377" i="2"/>
  <c r="D377" i="2"/>
  <c r="E377" i="2" s="1"/>
  <c r="F376" i="2"/>
  <c r="F375" i="2"/>
  <c r="D375" i="2"/>
  <c r="F374" i="2"/>
  <c r="D374" i="2"/>
  <c r="F373" i="2"/>
  <c r="D373" i="2"/>
  <c r="E373" i="2" s="1"/>
  <c r="F372" i="2"/>
  <c r="D372" i="2"/>
  <c r="F371" i="2"/>
  <c r="D371" i="2"/>
  <c r="F370" i="2"/>
  <c r="D370" i="2"/>
  <c r="F369" i="2"/>
  <c r="D369" i="2"/>
  <c r="AQ368" i="2"/>
  <c r="F368" i="2"/>
  <c r="D368" i="2"/>
  <c r="AQ367" i="2"/>
  <c r="F367" i="2"/>
  <c r="D367" i="2"/>
  <c r="E367" i="2" s="1"/>
  <c r="F366" i="2"/>
  <c r="D366" i="2"/>
  <c r="F365" i="2"/>
  <c r="D365" i="2"/>
  <c r="F364" i="2"/>
  <c r="D364" i="2"/>
  <c r="E364" i="2" s="1"/>
  <c r="F363" i="2"/>
  <c r="D363" i="2"/>
  <c r="F362" i="2"/>
  <c r="D362" i="2"/>
  <c r="E362" i="2" s="1"/>
  <c r="F361" i="2"/>
  <c r="D361" i="2"/>
  <c r="E361" i="2" s="1"/>
  <c r="F360" i="2"/>
  <c r="D360" i="2"/>
  <c r="E360" i="2" s="1"/>
  <c r="F359" i="2"/>
  <c r="D359" i="2"/>
  <c r="E359" i="2" s="1"/>
  <c r="F358" i="2"/>
  <c r="D358" i="2"/>
  <c r="F357" i="2"/>
  <c r="D357" i="2"/>
  <c r="F356" i="2"/>
  <c r="D356" i="2"/>
  <c r="F355" i="2"/>
  <c r="D355" i="2"/>
  <c r="E355" i="2" s="1"/>
  <c r="F354" i="2"/>
  <c r="D354" i="2"/>
  <c r="E354" i="2" s="1"/>
  <c r="F353" i="2"/>
  <c r="D353" i="2"/>
  <c r="E353" i="2" s="1"/>
  <c r="F352" i="2"/>
  <c r="D352" i="2"/>
  <c r="E352" i="2" s="1"/>
  <c r="F351" i="2"/>
  <c r="D351" i="2"/>
  <c r="E351" i="2" s="1"/>
  <c r="F350" i="2"/>
  <c r="D350" i="2"/>
  <c r="E350" i="2" s="1"/>
  <c r="AQ349" i="2"/>
  <c r="F349" i="2"/>
  <c r="D349" i="2"/>
  <c r="E349" i="2" s="1"/>
  <c r="F348" i="2"/>
  <c r="D348" i="2"/>
  <c r="F347" i="2"/>
  <c r="D347" i="2"/>
  <c r="F346" i="2"/>
  <c r="D346" i="2"/>
  <c r="AQ345" i="2"/>
  <c r="F345" i="2"/>
  <c r="D345" i="2"/>
  <c r="E345" i="2" s="1"/>
  <c r="AQ344" i="2"/>
  <c r="F344" i="2"/>
  <c r="D344" i="2"/>
  <c r="F343" i="2"/>
  <c r="D343" i="2"/>
  <c r="AQ342" i="2"/>
  <c r="F342" i="2"/>
  <c r="D342" i="2"/>
  <c r="E342" i="2" s="1"/>
  <c r="F341" i="2"/>
  <c r="D341" i="2"/>
  <c r="AQ340" i="2"/>
  <c r="F340" i="2"/>
  <c r="D340" i="2"/>
  <c r="AQ339" i="2"/>
  <c r="F339" i="2"/>
  <c r="D339" i="2"/>
  <c r="AQ338" i="2"/>
  <c r="F338" i="2"/>
  <c r="D338" i="2"/>
  <c r="AQ337" i="2"/>
  <c r="F337" i="2"/>
  <c r="D337" i="2"/>
  <c r="E337" i="2" s="1"/>
  <c r="AQ336" i="2"/>
  <c r="F336" i="2"/>
  <c r="D336" i="2"/>
  <c r="E336" i="2" s="1"/>
  <c r="AQ335" i="2"/>
  <c r="F335" i="2"/>
  <c r="D335" i="2"/>
  <c r="E335" i="2" s="1"/>
  <c r="AQ334" i="2"/>
  <c r="F334" i="2"/>
  <c r="D334" i="2"/>
  <c r="E334" i="2" s="1"/>
  <c r="AQ333" i="2"/>
  <c r="F333" i="2"/>
  <c r="D333" i="2"/>
  <c r="E333" i="2" s="1"/>
  <c r="F332" i="2"/>
  <c r="D332" i="2"/>
  <c r="E332" i="2" s="1"/>
  <c r="F331" i="2"/>
  <c r="F330" i="2"/>
  <c r="F329" i="2"/>
  <c r="F328" i="2"/>
  <c r="D328" i="2"/>
  <c r="E328" i="2" s="1"/>
  <c r="F327" i="2"/>
  <c r="D327" i="2"/>
  <c r="E327" i="2" s="1"/>
  <c r="F326" i="2"/>
  <c r="D326" i="2"/>
  <c r="E326" i="2" s="1"/>
  <c r="F325" i="2"/>
  <c r="D325" i="2"/>
  <c r="F324" i="2"/>
  <c r="D324" i="2"/>
  <c r="E324" i="2" s="1"/>
  <c r="F323" i="2"/>
  <c r="D323" i="2"/>
  <c r="E323" i="2" s="1"/>
  <c r="F322" i="2"/>
  <c r="D322" i="2"/>
  <c r="AQ321" i="2"/>
  <c r="F321" i="2"/>
  <c r="D321" i="2"/>
  <c r="E321" i="2" s="1"/>
  <c r="AQ320" i="2"/>
  <c r="F320" i="2"/>
  <c r="D320" i="2"/>
  <c r="F319" i="2"/>
  <c r="D319" i="2"/>
  <c r="F318" i="2"/>
  <c r="D318" i="2"/>
  <c r="F317" i="2"/>
  <c r="D317" i="2"/>
  <c r="F316" i="2"/>
  <c r="D316" i="2"/>
  <c r="F315" i="2"/>
  <c r="D315" i="2"/>
  <c r="F314" i="2"/>
  <c r="D314" i="2"/>
  <c r="F313" i="2"/>
  <c r="D313" i="2"/>
  <c r="F312" i="2"/>
  <c r="D312" i="2"/>
  <c r="F311" i="2"/>
  <c r="D311" i="2"/>
  <c r="E311" i="2" s="1"/>
  <c r="F310" i="2"/>
  <c r="D310" i="2"/>
  <c r="E310" i="2" s="1"/>
  <c r="F309" i="2"/>
  <c r="D309" i="2"/>
  <c r="E309" i="2" s="1"/>
  <c r="F308" i="2"/>
  <c r="D308" i="2"/>
  <c r="E308" i="2" s="1"/>
  <c r="F307" i="2"/>
  <c r="D307" i="2"/>
  <c r="E307" i="2" s="1"/>
  <c r="F306" i="2"/>
  <c r="D306" i="2"/>
  <c r="E306" i="2" s="1"/>
  <c r="F305" i="2"/>
  <c r="D305" i="2"/>
  <c r="F304" i="2"/>
  <c r="D304" i="2"/>
  <c r="F303" i="2"/>
  <c r="D303" i="2"/>
  <c r="E303" i="2" s="1"/>
  <c r="AQ302" i="2"/>
  <c r="F302" i="2"/>
  <c r="D302" i="2"/>
  <c r="F301" i="2"/>
  <c r="D301" i="2"/>
  <c r="E301" i="2" s="1"/>
  <c r="F300" i="2"/>
  <c r="D300" i="2"/>
  <c r="E300" i="2" s="1"/>
  <c r="F299" i="2"/>
  <c r="D299" i="2"/>
  <c r="E299" i="2" s="1"/>
  <c r="AQ298" i="2"/>
  <c r="F298" i="2"/>
  <c r="D298" i="2"/>
  <c r="E298" i="2" s="1"/>
  <c r="AQ297" i="2"/>
  <c r="F297" i="2"/>
  <c r="D297" i="2"/>
  <c r="E297" i="2" s="1"/>
  <c r="F296" i="2"/>
  <c r="D296" i="2"/>
  <c r="E296" i="2" s="1"/>
  <c r="AQ295" i="2"/>
  <c r="F295" i="2"/>
  <c r="D295" i="2"/>
  <c r="E295" i="2" s="1"/>
  <c r="F294" i="2"/>
  <c r="D294" i="2"/>
  <c r="E294" i="2" s="1"/>
  <c r="AQ293" i="2"/>
  <c r="F293" i="2"/>
  <c r="D293" i="2"/>
  <c r="E293" i="2" s="1"/>
  <c r="AQ292" i="2"/>
  <c r="F292" i="2"/>
  <c r="D292" i="2"/>
  <c r="E292" i="2" s="1"/>
  <c r="AQ291" i="2"/>
  <c r="F291" i="2"/>
  <c r="D291" i="2"/>
  <c r="E291" i="2" s="1"/>
  <c r="AQ290" i="2"/>
  <c r="F290" i="2"/>
  <c r="D290" i="2"/>
  <c r="E290" i="2" s="1"/>
  <c r="AQ289" i="2"/>
  <c r="F289" i="2"/>
  <c r="D289" i="2"/>
  <c r="E289" i="2" s="1"/>
  <c r="AQ288" i="2"/>
  <c r="F288" i="2"/>
  <c r="D288" i="2"/>
  <c r="E288" i="2" s="1"/>
  <c r="AQ287" i="2"/>
  <c r="F287" i="2"/>
  <c r="D287" i="2"/>
  <c r="E287" i="2" s="1"/>
  <c r="AQ286" i="2"/>
  <c r="F286" i="2"/>
  <c r="D286" i="2"/>
  <c r="E286" i="2" s="1"/>
  <c r="F285" i="2"/>
  <c r="D285" i="2"/>
  <c r="E285" i="2" s="1"/>
  <c r="F284" i="2"/>
  <c r="D284" i="2"/>
  <c r="E284" i="2" s="1"/>
  <c r="F283" i="2"/>
  <c r="D283" i="2"/>
  <c r="E283" i="2" s="1"/>
  <c r="F282" i="2"/>
  <c r="F281" i="2"/>
  <c r="D281" i="2"/>
  <c r="E281" i="2" s="1"/>
  <c r="AQ280" i="2"/>
  <c r="F280" i="2"/>
  <c r="D280" i="2"/>
  <c r="E280" i="2" s="1"/>
  <c r="F279" i="2"/>
  <c r="D279" i="2"/>
  <c r="E279" i="2" s="1"/>
  <c r="F278" i="2"/>
  <c r="D278" i="2"/>
  <c r="E278" i="2" s="1"/>
  <c r="F277" i="2"/>
  <c r="D277" i="2"/>
  <c r="E277" i="2" s="1"/>
  <c r="F276" i="2"/>
  <c r="D276" i="2"/>
  <c r="E276" i="2" s="1"/>
  <c r="F275" i="2"/>
  <c r="D275" i="2"/>
  <c r="E275" i="2" s="1"/>
  <c r="AQ274" i="2"/>
  <c r="F274" i="2"/>
  <c r="D274" i="2"/>
  <c r="E274" i="2" s="1"/>
  <c r="AQ273" i="2"/>
  <c r="F273" i="2"/>
  <c r="D273" i="2"/>
  <c r="F272" i="2"/>
  <c r="D272" i="2"/>
  <c r="E272" i="2" s="1"/>
  <c r="F271" i="2"/>
  <c r="D271" i="2"/>
  <c r="E271" i="2" s="1"/>
  <c r="F270" i="2"/>
  <c r="D270" i="2"/>
  <c r="E270" i="2" s="1"/>
  <c r="F269" i="2"/>
  <c r="D269" i="2"/>
  <c r="E269" i="2" s="1"/>
  <c r="F268" i="2"/>
  <c r="D268" i="2"/>
  <c r="F267" i="2"/>
  <c r="D267" i="2"/>
  <c r="AA267" i="2" s="1"/>
  <c r="AI267" i="2" s="1"/>
  <c r="F266" i="2"/>
  <c r="D266" i="2"/>
  <c r="E266" i="2" s="1"/>
  <c r="F265" i="2"/>
  <c r="D265" i="2"/>
  <c r="F264" i="2"/>
  <c r="D264" i="2"/>
  <c r="E264" i="2" s="1"/>
  <c r="F263" i="2"/>
  <c r="D263" i="2"/>
  <c r="E263" i="2" s="1"/>
  <c r="F262" i="2"/>
  <c r="D262" i="2"/>
  <c r="E262" i="2" s="1"/>
  <c r="F261" i="2"/>
  <c r="D261" i="2"/>
  <c r="E261" i="2" s="1"/>
  <c r="F260" i="2"/>
  <c r="D260" i="2"/>
  <c r="E260" i="2" s="1"/>
  <c r="F259" i="2"/>
  <c r="D259" i="2"/>
  <c r="E259" i="2" s="1"/>
  <c r="F258" i="2"/>
  <c r="D258" i="2"/>
  <c r="F257" i="2"/>
  <c r="D257" i="2"/>
  <c r="F256" i="2"/>
  <c r="D256" i="2"/>
  <c r="AQ255" i="2"/>
  <c r="F255" i="2"/>
  <c r="D255" i="2"/>
  <c r="F254" i="2"/>
  <c r="D254" i="2"/>
  <c r="F253" i="2"/>
  <c r="D253" i="2"/>
  <c r="F252" i="2"/>
  <c r="D252" i="2"/>
  <c r="E252" i="2" s="1"/>
  <c r="AQ251" i="2"/>
  <c r="F251" i="2"/>
  <c r="D251" i="2"/>
  <c r="E251" i="2" s="1"/>
  <c r="AQ250" i="2"/>
  <c r="F250" i="2"/>
  <c r="D250" i="2"/>
  <c r="F249" i="2"/>
  <c r="D249" i="2"/>
  <c r="AQ248" i="2"/>
  <c r="F248" i="2"/>
  <c r="D248" i="2"/>
  <c r="E248" i="2" s="1"/>
  <c r="F247" i="2"/>
  <c r="D247" i="2"/>
  <c r="E247" i="2" s="1"/>
  <c r="AQ246" i="2"/>
  <c r="F246" i="2"/>
  <c r="D246" i="2"/>
  <c r="E246" i="2" s="1"/>
  <c r="AQ245" i="2"/>
  <c r="F245" i="2"/>
  <c r="D245" i="2"/>
  <c r="AQ244" i="2"/>
  <c r="F244" i="2"/>
  <c r="D244" i="2"/>
  <c r="E244" i="2" s="1"/>
  <c r="AQ243" i="2"/>
  <c r="F243" i="2"/>
  <c r="D243" i="2"/>
  <c r="AQ242" i="2"/>
  <c r="F242" i="2"/>
  <c r="D242" i="2"/>
  <c r="AQ241" i="2"/>
  <c r="F241" i="2"/>
  <c r="D241" i="2"/>
  <c r="E241" i="2" s="1"/>
  <c r="AQ240" i="2"/>
  <c r="F240" i="2"/>
  <c r="D240" i="2"/>
  <c r="E240" i="2" s="1"/>
  <c r="AQ239" i="2"/>
  <c r="F239" i="2"/>
  <c r="D239" i="2"/>
  <c r="E239" i="2" s="1"/>
  <c r="F238" i="2"/>
  <c r="D238" i="2"/>
  <c r="E238" i="2" s="1"/>
  <c r="F237" i="2"/>
  <c r="D237" i="2"/>
  <c r="F236" i="2"/>
  <c r="D236" i="2"/>
  <c r="AA235" i="2"/>
  <c r="F235" i="2"/>
  <c r="AA234" i="2"/>
  <c r="F234" i="2"/>
  <c r="G234" i="2" s="1"/>
  <c r="AQ233" i="2"/>
  <c r="AA233" i="2"/>
  <c r="F233" i="2"/>
  <c r="G233" i="2" s="1"/>
  <c r="AA232" i="2"/>
  <c r="F232" i="2"/>
  <c r="G232" i="2" s="1"/>
  <c r="AA231" i="2"/>
  <c r="F231" i="2"/>
  <c r="F230" i="2"/>
  <c r="D230" i="2"/>
  <c r="F229" i="2"/>
  <c r="D229" i="2"/>
  <c r="E229" i="2" s="1"/>
  <c r="F228" i="2"/>
  <c r="D228" i="2"/>
  <c r="E228" i="2" s="1"/>
  <c r="AQ227" i="2"/>
  <c r="F227" i="2"/>
  <c r="D227" i="2"/>
  <c r="E227" i="2" s="1"/>
  <c r="AQ226" i="2"/>
  <c r="F226" i="2"/>
  <c r="D226" i="2"/>
  <c r="F225" i="2"/>
  <c r="F224" i="2"/>
  <c r="D224" i="2"/>
  <c r="F223" i="2"/>
  <c r="F222" i="2"/>
  <c r="D222" i="2"/>
  <c r="F221" i="2"/>
  <c r="F220" i="2"/>
  <c r="D220" i="2"/>
  <c r="F219" i="2"/>
  <c r="F218" i="2"/>
  <c r="D218" i="2"/>
  <c r="F217" i="2"/>
  <c r="F216" i="2"/>
  <c r="D216" i="2"/>
  <c r="F215" i="2"/>
  <c r="F214" i="2"/>
  <c r="D214" i="2"/>
  <c r="F213" i="2"/>
  <c r="F212" i="2"/>
  <c r="F211" i="2"/>
  <c r="F210" i="2"/>
  <c r="D210" i="2"/>
  <c r="F209" i="2"/>
  <c r="AQ208" i="2"/>
  <c r="AA208" i="2"/>
  <c r="F208" i="2"/>
  <c r="G208" i="2" s="1"/>
  <c r="F207" i="2"/>
  <c r="F206" i="2"/>
  <c r="G206" i="2" s="1"/>
  <c r="F205" i="2"/>
  <c r="D205" i="2"/>
  <c r="E205" i="2" s="1"/>
  <c r="AQ204" i="2"/>
  <c r="F204" i="2"/>
  <c r="AQ203" i="2"/>
  <c r="F203" i="2"/>
  <c r="D203" i="2"/>
  <c r="F202" i="2"/>
  <c r="AQ201" i="2"/>
  <c r="F201" i="2"/>
  <c r="D201" i="2"/>
  <c r="F200" i="2"/>
  <c r="AQ199" i="2"/>
  <c r="F199" i="2"/>
  <c r="AQ198" i="2"/>
  <c r="F198" i="2"/>
  <c r="AQ197" i="2"/>
  <c r="F197" i="2"/>
  <c r="D197" i="2"/>
  <c r="AQ196" i="2"/>
  <c r="F196" i="2"/>
  <c r="AQ195" i="2"/>
  <c r="F195" i="2"/>
  <c r="D195" i="2"/>
  <c r="AQ194" i="2"/>
  <c r="F194" i="2"/>
  <c r="AQ193" i="2"/>
  <c r="F193" i="2"/>
  <c r="AQ192" i="2"/>
  <c r="F192" i="2"/>
  <c r="G192" i="2" s="1"/>
  <c r="F191" i="2"/>
  <c r="F190" i="2"/>
  <c r="D190" i="2"/>
  <c r="F189" i="2"/>
  <c r="D189" i="2"/>
  <c r="F188" i="2"/>
  <c r="F187" i="2"/>
  <c r="D187" i="2"/>
  <c r="AQ186" i="2"/>
  <c r="F186" i="2"/>
  <c r="D186" i="2"/>
  <c r="E186" i="2" s="1"/>
  <c r="F185" i="2"/>
  <c r="D185" i="2"/>
  <c r="E185" i="2" s="1"/>
  <c r="F184" i="2"/>
  <c r="D184" i="2"/>
  <c r="F183" i="2"/>
  <c r="D183" i="2"/>
  <c r="F182" i="2"/>
  <c r="D182" i="2"/>
  <c r="E182" i="2" s="1"/>
  <c r="F181" i="2"/>
  <c r="D181" i="2"/>
  <c r="E181" i="2" s="1"/>
  <c r="AQ180" i="2"/>
  <c r="F180" i="2"/>
  <c r="D180" i="2"/>
  <c r="E180" i="2" s="1"/>
  <c r="AQ179" i="2"/>
  <c r="F179" i="2"/>
  <c r="D179" i="2"/>
  <c r="F178" i="2"/>
  <c r="D178" i="2"/>
  <c r="F177" i="2"/>
  <c r="D177" i="2"/>
  <c r="F176" i="2"/>
  <c r="D176" i="2"/>
  <c r="F175" i="2"/>
  <c r="D175" i="2"/>
  <c r="F174" i="2"/>
  <c r="D174" i="2"/>
  <c r="F173" i="2"/>
  <c r="D173" i="2"/>
  <c r="F172" i="2"/>
  <c r="D172" i="2"/>
  <c r="F171" i="2"/>
  <c r="D171" i="2"/>
  <c r="F170" i="2"/>
  <c r="D170" i="2"/>
  <c r="F169" i="2"/>
  <c r="D169" i="2"/>
  <c r="E169" i="2" s="1"/>
  <c r="F168" i="2"/>
  <c r="D168" i="2"/>
  <c r="F167" i="2"/>
  <c r="D167" i="2"/>
  <c r="E167" i="2" s="1"/>
  <c r="F166" i="2"/>
  <c r="D166" i="2"/>
  <c r="F165" i="2"/>
  <c r="D165" i="2"/>
  <c r="F164" i="2"/>
  <c r="D164" i="2"/>
  <c r="F163" i="2"/>
  <c r="D163" i="2"/>
  <c r="E163" i="2" s="1"/>
  <c r="F162" i="2"/>
  <c r="D162" i="2"/>
  <c r="E162" i="2" s="1"/>
  <c r="AQ161" i="2"/>
  <c r="F161" i="2"/>
  <c r="D161" i="2"/>
  <c r="E161" i="2" s="1"/>
  <c r="F160" i="2"/>
  <c r="D160" i="2"/>
  <c r="F159" i="2"/>
  <c r="D159" i="2"/>
  <c r="F158" i="2"/>
  <c r="D158" i="2"/>
  <c r="E158" i="2" s="1"/>
  <c r="AQ157" i="2"/>
  <c r="F157" i="2"/>
  <c r="D157" i="2"/>
  <c r="AQ156" i="2"/>
  <c r="F156" i="2"/>
  <c r="D156" i="2"/>
  <c r="E156" i="2" s="1"/>
  <c r="F155" i="2"/>
  <c r="D155" i="2"/>
  <c r="E155" i="2" s="1"/>
  <c r="AQ154" i="2"/>
  <c r="F154" i="2"/>
  <c r="D154" i="2"/>
  <c r="E154" i="2" s="1"/>
  <c r="F153" i="2"/>
  <c r="D153" i="2"/>
  <c r="AQ152" i="2"/>
  <c r="F152" i="2"/>
  <c r="D152" i="2"/>
  <c r="AQ151" i="2"/>
  <c r="F151" i="2"/>
  <c r="D151" i="2"/>
  <c r="AQ150" i="2"/>
  <c r="F150" i="2"/>
  <c r="D150" i="2"/>
  <c r="AQ149" i="2"/>
  <c r="F149" i="2"/>
  <c r="D149" i="2"/>
  <c r="AQ148" i="2"/>
  <c r="F148" i="2"/>
  <c r="D148" i="2"/>
  <c r="AQ147" i="2"/>
  <c r="F147" i="2"/>
  <c r="D147" i="2"/>
  <c r="AQ146" i="2"/>
  <c r="F146" i="2"/>
  <c r="D146" i="2"/>
  <c r="AQ145" i="2"/>
  <c r="F145" i="2"/>
  <c r="D145" i="2"/>
  <c r="F144" i="2"/>
  <c r="D144" i="2"/>
  <c r="F143" i="2"/>
  <c r="F142" i="2"/>
  <c r="D142" i="2"/>
  <c r="E142" i="2" s="1"/>
  <c r="F141" i="2"/>
  <c r="F140" i="2"/>
  <c r="D140" i="2"/>
  <c r="AQ139" i="2"/>
  <c r="F139" i="2"/>
  <c r="D139" i="2"/>
  <c r="F138" i="2"/>
  <c r="D138" i="2"/>
  <c r="E138" i="2" s="1"/>
  <c r="F137" i="2"/>
  <c r="D137" i="2"/>
  <c r="F136" i="2"/>
  <c r="D136" i="2"/>
  <c r="F135" i="2"/>
  <c r="D135" i="2"/>
  <c r="F134" i="2"/>
  <c r="D134" i="2"/>
  <c r="E134" i="2" s="1"/>
  <c r="AQ133" i="2"/>
  <c r="F133" i="2"/>
  <c r="D133" i="2"/>
  <c r="E133" i="2" s="1"/>
  <c r="AQ132" i="2"/>
  <c r="F132" i="2"/>
  <c r="D132" i="2"/>
  <c r="E132" i="2" s="1"/>
  <c r="F131" i="2"/>
  <c r="D131" i="2"/>
  <c r="F130" i="2"/>
  <c r="D130" i="2"/>
  <c r="E130" i="2" s="1"/>
  <c r="F129" i="2"/>
  <c r="D129" i="2"/>
  <c r="E129" i="2" s="1"/>
  <c r="F128" i="2"/>
  <c r="D128" i="2"/>
  <c r="F127" i="2"/>
  <c r="D127" i="2"/>
  <c r="F126" i="2"/>
  <c r="D126" i="2"/>
  <c r="F125" i="2"/>
  <c r="D125" i="2"/>
  <c r="F124" i="2"/>
  <c r="D124" i="2"/>
  <c r="F123" i="2"/>
  <c r="D123" i="2"/>
  <c r="F122" i="2"/>
  <c r="D122" i="2"/>
  <c r="F121" i="2"/>
  <c r="D121" i="2"/>
  <c r="F120" i="2"/>
  <c r="D120" i="2"/>
  <c r="F119" i="2"/>
  <c r="D119" i="2"/>
  <c r="F118" i="2"/>
  <c r="D118" i="2"/>
  <c r="F117" i="2"/>
  <c r="D117" i="2"/>
  <c r="E117" i="2" s="1"/>
  <c r="F116" i="2"/>
  <c r="D116" i="2"/>
  <c r="E116" i="2" s="1"/>
  <c r="F115" i="2"/>
  <c r="D115" i="2"/>
  <c r="AQ114" i="2"/>
  <c r="F114" i="2"/>
  <c r="D114" i="2"/>
  <c r="E114" i="2" s="1"/>
  <c r="F113" i="2"/>
  <c r="D113" i="2"/>
  <c r="E113" i="2" s="1"/>
  <c r="F112" i="2"/>
  <c r="D112" i="2"/>
  <c r="F111" i="2"/>
  <c r="D111" i="2"/>
  <c r="AQ110" i="2"/>
  <c r="F110" i="2"/>
  <c r="D110" i="2"/>
  <c r="AQ109" i="2"/>
  <c r="F109" i="2"/>
  <c r="D109" i="2"/>
  <c r="E109" i="2" s="1"/>
  <c r="F108" i="2"/>
  <c r="D108" i="2"/>
  <c r="E108" i="2" s="1"/>
  <c r="AQ107" i="2"/>
  <c r="F107" i="2"/>
  <c r="D107" i="2"/>
  <c r="F106" i="2"/>
  <c r="D106" i="2"/>
  <c r="AQ105" i="2"/>
  <c r="F105" i="2"/>
  <c r="D105" i="2"/>
  <c r="AQ104" i="2"/>
  <c r="F104" i="2"/>
  <c r="D104" i="2"/>
  <c r="AQ103" i="2"/>
  <c r="F103" i="2"/>
  <c r="D103" i="2"/>
  <c r="E103" i="2" s="1"/>
  <c r="AQ102" i="2"/>
  <c r="F102" i="2"/>
  <c r="D102" i="2"/>
  <c r="AQ101" i="2"/>
  <c r="F101" i="2"/>
  <c r="D101" i="2"/>
  <c r="AQ100" i="2"/>
  <c r="F100" i="2"/>
  <c r="D100" i="2"/>
  <c r="AQ99" i="2"/>
  <c r="F99" i="2"/>
  <c r="D99" i="2"/>
  <c r="E99" i="2" s="1"/>
  <c r="AQ98" i="2"/>
  <c r="F98" i="2"/>
  <c r="D98" i="2"/>
  <c r="F97" i="2"/>
  <c r="D97" i="2"/>
  <c r="F96" i="2"/>
  <c r="D96" i="2"/>
  <c r="F95" i="2"/>
  <c r="D95" i="2"/>
  <c r="E95" i="2" s="1"/>
  <c r="F94" i="2"/>
  <c r="F93" i="2"/>
  <c r="D93" i="2"/>
  <c r="E93" i="2" s="1"/>
  <c r="AQ92" i="2"/>
  <c r="F92" i="2"/>
  <c r="D92" i="2"/>
  <c r="F91" i="2"/>
  <c r="D91" i="2"/>
  <c r="F90" i="2"/>
  <c r="D90" i="2"/>
  <c r="E90" i="2" s="1"/>
  <c r="F89" i="2"/>
  <c r="D89" i="2"/>
  <c r="E89" i="2" s="1"/>
  <c r="F88" i="2"/>
  <c r="D88" i="2"/>
  <c r="E88" i="2" s="1"/>
  <c r="F87" i="2"/>
  <c r="D87" i="2"/>
  <c r="AQ86" i="2"/>
  <c r="F86" i="2"/>
  <c r="D86" i="2"/>
  <c r="E86" i="2" s="1"/>
  <c r="AQ85" i="2"/>
  <c r="F85" i="2"/>
  <c r="D85" i="2"/>
  <c r="E85" i="2" s="1"/>
  <c r="F84" i="2"/>
  <c r="D84" i="2"/>
  <c r="F83" i="2"/>
  <c r="D83" i="2"/>
  <c r="F82" i="2"/>
  <c r="D82" i="2"/>
  <c r="F81" i="2"/>
  <c r="D81" i="2"/>
  <c r="F80" i="2"/>
  <c r="D80" i="2"/>
  <c r="F79" i="2"/>
  <c r="D79" i="2"/>
  <c r="E79" i="2" s="1"/>
  <c r="F78" i="2"/>
  <c r="D78" i="2"/>
  <c r="E78" i="2" s="1"/>
  <c r="F77" i="2"/>
  <c r="D77" i="2"/>
  <c r="E77" i="2" s="1"/>
  <c r="F76" i="2"/>
  <c r="D76" i="2"/>
  <c r="E76" i="2" s="1"/>
  <c r="F75" i="2"/>
  <c r="D75" i="2"/>
  <c r="F74" i="2"/>
  <c r="D74" i="2"/>
  <c r="F73" i="2"/>
  <c r="D73" i="2"/>
  <c r="F72" i="2"/>
  <c r="D72" i="2"/>
  <c r="F71" i="2"/>
  <c r="D71" i="2"/>
  <c r="F70" i="2"/>
  <c r="D70" i="2"/>
  <c r="F69" i="2"/>
  <c r="D69" i="2"/>
  <c r="F68" i="2"/>
  <c r="D68" i="2"/>
  <c r="AQ67" i="2"/>
  <c r="F67" i="2"/>
  <c r="D67" i="2"/>
  <c r="F66" i="2"/>
  <c r="D66" i="2"/>
  <c r="F65" i="2"/>
  <c r="D65" i="2"/>
  <c r="F64" i="2"/>
  <c r="D64" i="2"/>
  <c r="AQ63" i="2"/>
  <c r="F63" i="2"/>
  <c r="D63" i="2"/>
  <c r="AQ62" i="2"/>
  <c r="F62" i="2"/>
  <c r="D62" i="2"/>
  <c r="F61" i="2"/>
  <c r="D61" i="2"/>
  <c r="AQ60" i="2"/>
  <c r="F60" i="2"/>
  <c r="D60" i="2"/>
  <c r="F59" i="2"/>
  <c r="D59" i="2"/>
  <c r="AQ58" i="2"/>
  <c r="F58" i="2"/>
  <c r="D58" i="2"/>
  <c r="AQ57" i="2"/>
  <c r="F57" i="2"/>
  <c r="D57" i="2"/>
  <c r="AQ56" i="2"/>
  <c r="F56" i="2"/>
  <c r="D56" i="2"/>
  <c r="AQ55" i="2"/>
  <c r="F55" i="2"/>
  <c r="D55" i="2"/>
  <c r="AQ54" i="2"/>
  <c r="F54" i="2"/>
  <c r="D54" i="2"/>
  <c r="AQ53" i="2"/>
  <c r="F53" i="2"/>
  <c r="D53" i="2"/>
  <c r="AQ52" i="2"/>
  <c r="F52" i="2"/>
  <c r="D52" i="2"/>
  <c r="AQ51" i="2"/>
  <c r="F51" i="2"/>
  <c r="D51" i="2"/>
  <c r="F50" i="2"/>
  <c r="D50" i="2"/>
  <c r="AT50" i="2" s="1"/>
  <c r="H49" i="2"/>
  <c r="F49" i="2"/>
  <c r="D49" i="2"/>
  <c r="AT49" i="2" s="1"/>
  <c r="H48" i="2"/>
  <c r="F48" i="2"/>
  <c r="D48" i="2"/>
  <c r="AT48" i="2" s="1"/>
  <c r="AB47" i="2"/>
  <c r="O47" i="2"/>
  <c r="F47" i="2"/>
  <c r="D47" i="2"/>
  <c r="AT47" i="2" s="1"/>
  <c r="R46" i="2"/>
  <c r="H46" i="2"/>
  <c r="J46" i="2" s="1"/>
  <c r="L46" i="2" s="1"/>
  <c r="F46" i="2"/>
  <c r="D46" i="2"/>
  <c r="AT46" i="2" s="1"/>
  <c r="AQ45" i="2"/>
  <c r="H45" i="2"/>
  <c r="F45" i="2"/>
  <c r="D45" i="2"/>
  <c r="AT45" i="2" s="1"/>
  <c r="H44" i="2"/>
  <c r="F44" i="2"/>
  <c r="D44" i="2"/>
  <c r="AT44" i="2" s="1"/>
  <c r="R43" i="2"/>
  <c r="F43" i="2"/>
  <c r="D43" i="2"/>
  <c r="AT43" i="2" s="1"/>
  <c r="H42" i="2"/>
  <c r="F42" i="2"/>
  <c r="D42" i="2"/>
  <c r="AT42" i="2" s="1"/>
  <c r="H41" i="2"/>
  <c r="H88" i="2" s="1"/>
  <c r="F41" i="2"/>
  <c r="D41" i="2"/>
  <c r="AT41" i="2" s="1"/>
  <c r="H40" i="2"/>
  <c r="F40" i="2"/>
  <c r="D40" i="2"/>
  <c r="AT40" i="2" s="1"/>
  <c r="AQ39" i="2"/>
  <c r="H39" i="2"/>
  <c r="AE39" i="2" s="1"/>
  <c r="AG39" i="2" s="1"/>
  <c r="F39" i="2"/>
  <c r="D39" i="2"/>
  <c r="AT39" i="2" s="1"/>
  <c r="AQ38" i="2"/>
  <c r="R38" i="2"/>
  <c r="H38" i="2"/>
  <c r="J38" i="2" s="1"/>
  <c r="F38" i="2"/>
  <c r="D38" i="2"/>
  <c r="AT38" i="2" s="1"/>
  <c r="R37" i="2"/>
  <c r="H37" i="2"/>
  <c r="J37" i="2" s="1"/>
  <c r="F37" i="2"/>
  <c r="D37" i="2"/>
  <c r="AT37" i="2" s="1"/>
  <c r="H36" i="2"/>
  <c r="F36" i="2"/>
  <c r="D36" i="2"/>
  <c r="AT36" i="2" s="1"/>
  <c r="R35" i="2"/>
  <c r="H35" i="2"/>
  <c r="AE35" i="2" s="1"/>
  <c r="AG35" i="2" s="1"/>
  <c r="F35" i="2"/>
  <c r="D35" i="2"/>
  <c r="AT35" i="2" s="1"/>
  <c r="R34" i="2"/>
  <c r="H34" i="2"/>
  <c r="J34" i="2" s="1"/>
  <c r="F34" i="2"/>
  <c r="D34" i="2"/>
  <c r="AT34" i="2" s="1"/>
  <c r="R33" i="2"/>
  <c r="H33" i="2"/>
  <c r="F33" i="2"/>
  <c r="D33" i="2"/>
  <c r="AT33" i="2" s="1"/>
  <c r="H32" i="2"/>
  <c r="F32" i="2"/>
  <c r="D32" i="2"/>
  <c r="AT32" i="2" s="1"/>
  <c r="R31" i="2"/>
  <c r="H31" i="2"/>
  <c r="AE31" i="2" s="1"/>
  <c r="AG31" i="2" s="1"/>
  <c r="F31" i="2"/>
  <c r="D31" i="2"/>
  <c r="AT31" i="2" s="1"/>
  <c r="AB30" i="2"/>
  <c r="R30" i="2"/>
  <c r="H30" i="2"/>
  <c r="J30" i="2" s="1"/>
  <c r="Y30" i="2" s="1"/>
  <c r="F30" i="2"/>
  <c r="D30" i="2"/>
  <c r="AT30" i="2" s="1"/>
  <c r="R29" i="2"/>
  <c r="H29" i="2"/>
  <c r="J29" i="2" s="1"/>
  <c r="L29" i="2" s="1"/>
  <c r="K76" i="2" s="1"/>
  <c r="F29" i="2"/>
  <c r="D29" i="2"/>
  <c r="AT29" i="2" s="1"/>
  <c r="R28" i="2"/>
  <c r="Q28" i="2"/>
  <c r="P28" i="2"/>
  <c r="O28" i="2"/>
  <c r="K28" i="2"/>
  <c r="H28" i="2"/>
  <c r="AE28" i="2" s="1"/>
  <c r="AG28" i="2" s="1"/>
  <c r="F28" i="2"/>
  <c r="D28" i="2"/>
  <c r="AT28" i="2" s="1"/>
  <c r="R27" i="2"/>
  <c r="F27" i="2"/>
  <c r="D27" i="2"/>
  <c r="AT27" i="2" s="1"/>
  <c r="AB26" i="2"/>
  <c r="R26" i="2"/>
  <c r="H26" i="2"/>
  <c r="AE26" i="2" s="1"/>
  <c r="AG26" i="2" s="1"/>
  <c r="F26" i="2"/>
  <c r="D26" i="2"/>
  <c r="AT26" i="2" s="1"/>
  <c r="AB25" i="2"/>
  <c r="R25" i="2"/>
  <c r="H25" i="2"/>
  <c r="AE25" i="2" s="1"/>
  <c r="AG25" i="2" s="1"/>
  <c r="F25" i="2"/>
  <c r="D25" i="2"/>
  <c r="AT25" i="2" s="1"/>
  <c r="AB24" i="2"/>
  <c r="H24" i="2"/>
  <c r="AE24" i="2" s="1"/>
  <c r="AG24" i="2" s="1"/>
  <c r="F24" i="2"/>
  <c r="D24" i="2"/>
  <c r="AT24" i="2" s="1"/>
  <c r="AB23" i="2"/>
  <c r="R23" i="2"/>
  <c r="H23" i="2"/>
  <c r="AE23" i="2" s="1"/>
  <c r="AG23" i="2" s="1"/>
  <c r="F23" i="2"/>
  <c r="D23" i="2"/>
  <c r="AT23" i="2" s="1"/>
  <c r="AB22" i="2"/>
  <c r="R22" i="2"/>
  <c r="H22" i="2"/>
  <c r="AE22" i="2" s="1"/>
  <c r="AG22" i="2" s="1"/>
  <c r="F22" i="2"/>
  <c r="D22" i="2"/>
  <c r="AB21" i="2"/>
  <c r="H21" i="2"/>
  <c r="J21" i="2" s="1"/>
  <c r="F21" i="2"/>
  <c r="D21" i="2"/>
  <c r="AQ20" i="2"/>
  <c r="AB20" i="2"/>
  <c r="K20" i="2"/>
  <c r="H20" i="2"/>
  <c r="AE20" i="2" s="1"/>
  <c r="AG20" i="2" s="1"/>
  <c r="F20" i="2"/>
  <c r="D20" i="2"/>
  <c r="AB19" i="2"/>
  <c r="F19" i="2"/>
  <c r="AB18" i="2"/>
  <c r="K18" i="2"/>
  <c r="H18" i="2"/>
  <c r="AE18" i="2" s="1"/>
  <c r="AG18" i="2" s="1"/>
  <c r="F18" i="2"/>
  <c r="D18" i="2"/>
  <c r="AB17" i="2"/>
  <c r="R17" i="2"/>
  <c r="H17" i="2"/>
  <c r="AE17" i="2" s="1"/>
  <c r="AG17" i="2" s="1"/>
  <c r="F17" i="2"/>
  <c r="AQ16" i="2"/>
  <c r="AB16" i="2"/>
  <c r="H16" i="2"/>
  <c r="AE16" i="2" s="1"/>
  <c r="AG16" i="2" s="1"/>
  <c r="F16" i="2"/>
  <c r="D16" i="2"/>
  <c r="AQ15" i="2"/>
  <c r="AB15" i="2"/>
  <c r="F15" i="2"/>
  <c r="D15" i="2"/>
  <c r="AB14" i="2"/>
  <c r="R14" i="2"/>
  <c r="H14" i="2"/>
  <c r="AE14" i="2" s="1"/>
  <c r="AG14" i="2" s="1"/>
  <c r="F14" i="2"/>
  <c r="D14" i="2"/>
  <c r="AQ13" i="2"/>
  <c r="AB13" i="2"/>
  <c r="R13" i="2"/>
  <c r="H13" i="2"/>
  <c r="J13" i="2" s="1"/>
  <c r="F13" i="2"/>
  <c r="D13" i="2"/>
  <c r="AB12" i="2"/>
  <c r="F12" i="2"/>
  <c r="D12" i="2"/>
  <c r="E12" i="2" s="1"/>
  <c r="AQ11" i="2"/>
  <c r="AO11" i="2"/>
  <c r="AO58" i="2" s="1"/>
  <c r="AB11" i="2"/>
  <c r="H11" i="2"/>
  <c r="AE11" i="2" s="1"/>
  <c r="AG11" i="2" s="1"/>
  <c r="F11" i="2"/>
  <c r="D11" i="2"/>
  <c r="AQ10" i="2"/>
  <c r="AB10" i="2"/>
  <c r="R10" i="2"/>
  <c r="H10" i="2"/>
  <c r="AE10" i="2" s="1"/>
  <c r="AG10" i="2" s="1"/>
  <c r="F10" i="2"/>
  <c r="D10" i="2"/>
  <c r="AQ9" i="2"/>
  <c r="AO9" i="2"/>
  <c r="AO56" i="2" s="1"/>
  <c r="AB9" i="2"/>
  <c r="R9" i="2"/>
  <c r="H9" i="2"/>
  <c r="AE9" i="2" s="1"/>
  <c r="AG9" i="2" s="1"/>
  <c r="F9" i="2"/>
  <c r="AP9" i="2" s="1"/>
  <c r="D9" i="2"/>
  <c r="AQ8" i="2"/>
  <c r="AO8" i="2"/>
  <c r="AO55" i="2" s="1"/>
  <c r="AB8" i="2"/>
  <c r="H8" i="2"/>
  <c r="AE8" i="2" s="1"/>
  <c r="AG8" i="2" s="1"/>
  <c r="F8" i="2"/>
  <c r="D8" i="2"/>
  <c r="AT8" i="2" s="1"/>
  <c r="AQ7" i="2"/>
  <c r="AO7" i="2"/>
  <c r="AO54" i="2" s="1"/>
  <c r="AB7" i="2"/>
  <c r="H7" i="2"/>
  <c r="AE7" i="2" s="1"/>
  <c r="AG7" i="2" s="1"/>
  <c r="F7" i="2"/>
  <c r="D7" i="2"/>
  <c r="AQ6" i="2"/>
  <c r="AO6" i="2"/>
  <c r="AO53" i="2" s="1"/>
  <c r="AB6" i="2"/>
  <c r="R6" i="2"/>
  <c r="H6" i="2"/>
  <c r="F6" i="2"/>
  <c r="AP6" i="2" s="1"/>
  <c r="D6" i="2"/>
  <c r="AQ5" i="2"/>
  <c r="AO5" i="2"/>
  <c r="AO52" i="2" s="1"/>
  <c r="AB5" i="2"/>
  <c r="O5" i="2"/>
  <c r="H5" i="2"/>
  <c r="F5" i="2"/>
  <c r="AQ4" i="2"/>
  <c r="AO4" i="2"/>
  <c r="AB4" i="2"/>
  <c r="H4" i="2"/>
  <c r="F4" i="2"/>
  <c r="D4" i="2"/>
  <c r="AA380" i="2" l="1"/>
  <c r="AI380" i="2" s="1"/>
  <c r="AA193" i="2"/>
  <c r="G388" i="2"/>
  <c r="G507" i="2"/>
  <c r="O20" i="2"/>
  <c r="H83" i="2"/>
  <c r="G98" i="2"/>
  <c r="AA364" i="2"/>
  <c r="AM364" i="2" s="1"/>
  <c r="G424" i="2"/>
  <c r="G50" i="2"/>
  <c r="J26" i="2"/>
  <c r="Y26" i="2" s="1"/>
  <c r="H95" i="2"/>
  <c r="J95" i="2" s="1"/>
  <c r="G107" i="2"/>
  <c r="AA285" i="2"/>
  <c r="AM285" i="2" s="1"/>
  <c r="AA355" i="2"/>
  <c r="AI355" i="2" s="1"/>
  <c r="AA373" i="2"/>
  <c r="AI373" i="2" s="1"/>
  <c r="AA504" i="2"/>
  <c r="AM504" i="2" s="1"/>
  <c r="AA90" i="2"/>
  <c r="AI90" i="2" s="1"/>
  <c r="AA186" i="2"/>
  <c r="AM186" i="2" s="1"/>
  <c r="G187" i="2"/>
  <c r="AA251" i="2"/>
  <c r="AI251" i="2" s="1"/>
  <c r="AA252" i="2"/>
  <c r="AI252" i="2" s="1"/>
  <c r="AA95" i="2"/>
  <c r="AM95" i="2" s="1"/>
  <c r="AA132" i="2"/>
  <c r="AM132" i="2" s="1"/>
  <c r="AA133" i="2"/>
  <c r="AM133" i="2" s="1"/>
  <c r="AA134" i="2"/>
  <c r="AM134" i="2" s="1"/>
  <c r="AA154" i="2"/>
  <c r="AI154" i="2" s="1"/>
  <c r="AA155" i="2"/>
  <c r="AM155" i="2" s="1"/>
  <c r="J18" i="2"/>
  <c r="Y18" i="2" s="1"/>
  <c r="J28" i="2"/>
  <c r="Y28" i="2" s="1"/>
  <c r="AA310" i="2"/>
  <c r="AI310" i="2" s="1"/>
  <c r="H51" i="2"/>
  <c r="J51" i="2" s="1"/>
  <c r="O34" i="2"/>
  <c r="AA161" i="2"/>
  <c r="AM161" i="2" s="1"/>
  <c r="AA162" i="2"/>
  <c r="AM162" i="2" s="1"/>
  <c r="G176" i="2"/>
  <c r="G185" i="2"/>
  <c r="H96" i="2"/>
  <c r="H143" i="2" s="1"/>
  <c r="AA52" i="2"/>
  <c r="AM52" i="2" s="1"/>
  <c r="E52" i="2"/>
  <c r="AA56" i="2"/>
  <c r="AM56" i="2" s="1"/>
  <c r="E56" i="2"/>
  <c r="AA62" i="2"/>
  <c r="AM62" i="2" s="1"/>
  <c r="E62" i="2"/>
  <c r="AA65" i="2"/>
  <c r="AI65" i="2" s="1"/>
  <c r="E65" i="2"/>
  <c r="AA67" i="2"/>
  <c r="AI67" i="2" s="1"/>
  <c r="E67" i="2"/>
  <c r="AA91" i="2"/>
  <c r="AM91" i="2" s="1"/>
  <c r="E91" i="2"/>
  <c r="AA102" i="2"/>
  <c r="AI102" i="2" s="1"/>
  <c r="E102" i="2"/>
  <c r="AA106" i="2"/>
  <c r="E106" i="2"/>
  <c r="AA118" i="2"/>
  <c r="AM118" i="2" s="1"/>
  <c r="E118" i="2"/>
  <c r="AA120" i="2"/>
  <c r="AM120" i="2" s="1"/>
  <c r="E120" i="2"/>
  <c r="AA122" i="2"/>
  <c r="AM122" i="2" s="1"/>
  <c r="E122" i="2"/>
  <c r="AA124" i="2"/>
  <c r="AI124" i="2" s="1"/>
  <c r="E124" i="2"/>
  <c r="AA126" i="2"/>
  <c r="AI126" i="2" s="1"/>
  <c r="E126" i="2"/>
  <c r="AA128" i="2"/>
  <c r="AM128" i="2" s="1"/>
  <c r="E128" i="2"/>
  <c r="AA129" i="2"/>
  <c r="AM129" i="2" s="1"/>
  <c r="AA135" i="2"/>
  <c r="AM135" i="2" s="1"/>
  <c r="E135" i="2"/>
  <c r="AA137" i="2"/>
  <c r="AM137" i="2" s="1"/>
  <c r="E137" i="2"/>
  <c r="AA139" i="2"/>
  <c r="AM139" i="2" s="1"/>
  <c r="E139" i="2"/>
  <c r="AA148" i="2"/>
  <c r="AM148" i="2" s="1"/>
  <c r="E148" i="2"/>
  <c r="AA152" i="2"/>
  <c r="AM152" i="2" s="1"/>
  <c r="E152" i="2"/>
  <c r="AA159" i="2"/>
  <c r="AM159" i="2" s="1"/>
  <c r="E159" i="2"/>
  <c r="G171" i="2"/>
  <c r="E171" i="2"/>
  <c r="AA173" i="2"/>
  <c r="AM173" i="2" s="1"/>
  <c r="E173" i="2"/>
  <c r="AA175" i="2"/>
  <c r="AI175" i="2" s="1"/>
  <c r="E175" i="2"/>
  <c r="AA177" i="2"/>
  <c r="AM177" i="2" s="1"/>
  <c r="E177" i="2"/>
  <c r="AA179" i="2"/>
  <c r="AI179" i="2" s="1"/>
  <c r="E179" i="2"/>
  <c r="AA184" i="2"/>
  <c r="AM184" i="2" s="1"/>
  <c r="E184" i="2"/>
  <c r="AA185" i="2"/>
  <c r="AM185" i="2" s="1"/>
  <c r="AA210" i="2"/>
  <c r="AM210" i="2" s="1"/>
  <c r="E210" i="2"/>
  <c r="AA216" i="2"/>
  <c r="AI216" i="2" s="1"/>
  <c r="E216" i="2"/>
  <c r="AA224" i="2"/>
  <c r="AI224" i="2" s="1"/>
  <c r="E224" i="2"/>
  <c r="AA245" i="2"/>
  <c r="AM245" i="2" s="1"/>
  <c r="E245" i="2"/>
  <c r="AA257" i="2"/>
  <c r="AI257" i="2" s="1"/>
  <c r="E257" i="2"/>
  <c r="AA265" i="2"/>
  <c r="AI265" i="2" s="1"/>
  <c r="E265" i="2"/>
  <c r="AA266" i="2"/>
  <c r="AI266" i="2" s="1"/>
  <c r="G268" i="2"/>
  <c r="E268" i="2"/>
  <c r="AA276" i="2"/>
  <c r="AI276" i="2" s="1"/>
  <c r="AA288" i="2"/>
  <c r="AM288" i="2" s="1"/>
  <c r="AA289" i="2"/>
  <c r="AI289" i="2" s="1"/>
  <c r="AA290" i="2"/>
  <c r="AI290" i="2" s="1"/>
  <c r="AA291" i="2"/>
  <c r="AI291" i="2" s="1"/>
  <c r="AA304" i="2"/>
  <c r="AI304" i="2" s="1"/>
  <c r="E304" i="2"/>
  <c r="AA313" i="2"/>
  <c r="AI313" i="2" s="1"/>
  <c r="E313" i="2"/>
  <c r="AA315" i="2"/>
  <c r="AM315" i="2" s="1"/>
  <c r="E315" i="2"/>
  <c r="AA317" i="2"/>
  <c r="AM317" i="2" s="1"/>
  <c r="E317" i="2"/>
  <c r="AA319" i="2"/>
  <c r="AI319" i="2" s="1"/>
  <c r="E319" i="2"/>
  <c r="AA322" i="2"/>
  <c r="AI322" i="2" s="1"/>
  <c r="E322" i="2"/>
  <c r="AA323" i="2"/>
  <c r="AI323" i="2" s="1"/>
  <c r="AA341" i="2"/>
  <c r="AI341" i="2" s="1"/>
  <c r="E341" i="2"/>
  <c r="AA350" i="2"/>
  <c r="AM350" i="2" s="1"/>
  <c r="AA356" i="2"/>
  <c r="AM356" i="2" s="1"/>
  <c r="E356" i="2"/>
  <c r="AA358" i="2"/>
  <c r="AI358" i="2" s="1"/>
  <c r="E358" i="2"/>
  <c r="AA374" i="2"/>
  <c r="E374" i="2"/>
  <c r="AA402" i="2"/>
  <c r="AM402" i="2" s="1"/>
  <c r="E402" i="2"/>
  <c r="AA408" i="2"/>
  <c r="AM408" i="2" s="1"/>
  <c r="E408" i="2"/>
  <c r="AA421" i="2"/>
  <c r="AI421" i="2" s="1"/>
  <c r="E421" i="2"/>
  <c r="AA507" i="2"/>
  <c r="AI507" i="2" s="1"/>
  <c r="E507" i="2"/>
  <c r="AA521" i="2"/>
  <c r="AI521" i="2" s="1"/>
  <c r="E521" i="2"/>
  <c r="AA525" i="2"/>
  <c r="AI525" i="2" s="1"/>
  <c r="E525" i="2"/>
  <c r="G526" i="2"/>
  <c r="G527" i="2"/>
  <c r="G530" i="2"/>
  <c r="AA532" i="2"/>
  <c r="AM532" i="2" s="1"/>
  <c r="E532" i="2"/>
  <c r="AA537" i="2"/>
  <c r="AM537" i="2" s="1"/>
  <c r="E537" i="2"/>
  <c r="G544" i="2"/>
  <c r="AA546" i="2"/>
  <c r="AM546" i="2" s="1"/>
  <c r="E546" i="2"/>
  <c r="AA548" i="2"/>
  <c r="AM548" i="2" s="1"/>
  <c r="E548" i="2"/>
  <c r="AA550" i="2"/>
  <c r="AM550" i="2" s="1"/>
  <c r="E550" i="2"/>
  <c r="AA554" i="2"/>
  <c r="AI554" i="2" s="1"/>
  <c r="E554" i="2"/>
  <c r="AA557" i="2"/>
  <c r="AI557" i="2" s="1"/>
  <c r="E557" i="2"/>
  <c r="AA559" i="2"/>
  <c r="AI559" i="2" s="1"/>
  <c r="E559" i="2"/>
  <c r="AA561" i="2"/>
  <c r="AI561" i="2" s="1"/>
  <c r="E561" i="2"/>
  <c r="AA16" i="2"/>
  <c r="AI16" i="2" s="1"/>
  <c r="AK16" i="2" s="1"/>
  <c r="AJ63" i="2" s="1"/>
  <c r="E16" i="2"/>
  <c r="AA26" i="2"/>
  <c r="AM26" i="2" s="1"/>
  <c r="E26" i="2"/>
  <c r="AA32" i="2"/>
  <c r="AI32" i="2" s="1"/>
  <c r="AK32" i="2" s="1"/>
  <c r="E32" i="2"/>
  <c r="AA35" i="2"/>
  <c r="AI35" i="2" s="1"/>
  <c r="AK35" i="2" s="1"/>
  <c r="AJ82" i="2" s="1"/>
  <c r="E35" i="2"/>
  <c r="AA37" i="2"/>
  <c r="AI37" i="2" s="1"/>
  <c r="AK37" i="2" s="1"/>
  <c r="E37" i="2"/>
  <c r="AA60" i="2"/>
  <c r="AI60" i="2" s="1"/>
  <c r="E60" i="2"/>
  <c r="AA70" i="2"/>
  <c r="AM70" i="2" s="1"/>
  <c r="E70" i="2"/>
  <c r="AA82" i="2"/>
  <c r="AI82" i="2" s="1"/>
  <c r="E82" i="2"/>
  <c r="AA96" i="2"/>
  <c r="AM96" i="2" s="1"/>
  <c r="E96" i="2"/>
  <c r="AA112" i="2"/>
  <c r="AI112" i="2" s="1"/>
  <c r="E112" i="2"/>
  <c r="AA145" i="2"/>
  <c r="AM145" i="2" s="1"/>
  <c r="E145" i="2"/>
  <c r="AA149" i="2"/>
  <c r="AM149" i="2" s="1"/>
  <c r="E149" i="2"/>
  <c r="AA153" i="2"/>
  <c r="AM153" i="2" s="1"/>
  <c r="E153" i="2"/>
  <c r="G157" i="2"/>
  <c r="E157" i="2"/>
  <c r="AA218" i="2"/>
  <c r="AM218" i="2" s="1"/>
  <c r="E218" i="2"/>
  <c r="AA226" i="2"/>
  <c r="AI226" i="2" s="1"/>
  <c r="E226" i="2"/>
  <c r="AA242" i="2"/>
  <c r="AI242" i="2" s="1"/>
  <c r="E242" i="2"/>
  <c r="AA249" i="2"/>
  <c r="AM249" i="2" s="1"/>
  <c r="E249" i="2"/>
  <c r="AA6" i="2"/>
  <c r="AM6" i="2" s="1"/>
  <c r="E6" i="2"/>
  <c r="AA11" i="2"/>
  <c r="AM11" i="2" s="1"/>
  <c r="E11" i="2"/>
  <c r="AA14" i="2"/>
  <c r="AM14" i="2" s="1"/>
  <c r="E14" i="2"/>
  <c r="P14" i="2"/>
  <c r="AA18" i="2"/>
  <c r="AI18" i="2" s="1"/>
  <c r="E18" i="2"/>
  <c r="AA22" i="2"/>
  <c r="AI22" i="2" s="1"/>
  <c r="AJ42" i="2" s="1"/>
  <c r="E22" i="2"/>
  <c r="AA28" i="2"/>
  <c r="AM28" i="2" s="1"/>
  <c r="E28" i="2"/>
  <c r="AA39" i="2"/>
  <c r="AI39" i="2" s="1"/>
  <c r="AK39" i="2" s="1"/>
  <c r="E39" i="2"/>
  <c r="AA41" i="2"/>
  <c r="AI41" i="2" s="1"/>
  <c r="AK41" i="2" s="1"/>
  <c r="E41" i="2"/>
  <c r="AA42" i="2"/>
  <c r="AC42" i="2" s="1"/>
  <c r="E42" i="2"/>
  <c r="AA43" i="2"/>
  <c r="AI43" i="2" s="1"/>
  <c r="AK43" i="2" s="1"/>
  <c r="E43" i="2"/>
  <c r="AA46" i="2"/>
  <c r="AM46" i="2" s="1"/>
  <c r="E46" i="2"/>
  <c r="O46" i="2"/>
  <c r="AA10" i="2"/>
  <c r="AC10" i="2" s="1"/>
  <c r="AD10" i="2" s="1"/>
  <c r="E10" i="2"/>
  <c r="P10" i="2"/>
  <c r="AA20" i="2"/>
  <c r="AI20" i="2" s="1"/>
  <c r="AK20" i="2" s="1"/>
  <c r="E20" i="2"/>
  <c r="AA23" i="2"/>
  <c r="AC23" i="2" s="1"/>
  <c r="AD23" i="2" s="1"/>
  <c r="E23" i="2"/>
  <c r="AA27" i="2"/>
  <c r="AI27" i="2" s="1"/>
  <c r="AJ47" i="2" s="1"/>
  <c r="E27" i="2"/>
  <c r="AA29" i="2"/>
  <c r="AI29" i="2" s="1"/>
  <c r="E29" i="2"/>
  <c r="AA30" i="2"/>
  <c r="AI30" i="2" s="1"/>
  <c r="E30" i="2"/>
  <c r="AA40" i="2"/>
  <c r="AC40" i="2" s="1"/>
  <c r="E40" i="2"/>
  <c r="G42" i="2"/>
  <c r="P46" i="2"/>
  <c r="AA51" i="2"/>
  <c r="AM51" i="2" s="1"/>
  <c r="E51" i="2"/>
  <c r="AA55" i="2"/>
  <c r="AI55" i="2" s="1"/>
  <c r="E55" i="2"/>
  <c r="AA59" i="2"/>
  <c r="AM59" i="2" s="1"/>
  <c r="E59" i="2"/>
  <c r="AA69" i="2"/>
  <c r="AI69" i="2" s="1"/>
  <c r="E69" i="2"/>
  <c r="AA71" i="2"/>
  <c r="AI71" i="2" s="1"/>
  <c r="E71" i="2"/>
  <c r="AA73" i="2"/>
  <c r="AM73" i="2" s="1"/>
  <c r="E73" i="2"/>
  <c r="AA75" i="2"/>
  <c r="AM75" i="2" s="1"/>
  <c r="E75" i="2"/>
  <c r="AA81" i="2"/>
  <c r="AI81" i="2" s="1"/>
  <c r="E81" i="2"/>
  <c r="AA83" i="2"/>
  <c r="AI83" i="2" s="1"/>
  <c r="E83" i="2"/>
  <c r="G95" i="2"/>
  <c r="AA97" i="2"/>
  <c r="AI97" i="2" s="1"/>
  <c r="E97" i="2"/>
  <c r="AA101" i="2"/>
  <c r="AM101" i="2" s="1"/>
  <c r="E101" i="2"/>
  <c r="AA105" i="2"/>
  <c r="AM105" i="2" s="1"/>
  <c r="E105" i="2"/>
  <c r="AA111" i="2"/>
  <c r="AI111" i="2" s="1"/>
  <c r="E111" i="2"/>
  <c r="AA144" i="2"/>
  <c r="AM144" i="2" s="1"/>
  <c r="E144" i="2"/>
  <c r="AA147" i="2"/>
  <c r="AI147" i="2" s="1"/>
  <c r="E147" i="2"/>
  <c r="AA151" i="2"/>
  <c r="AM151" i="2" s="1"/>
  <c r="E151" i="2"/>
  <c r="AA164" i="2"/>
  <c r="AM164" i="2" s="1"/>
  <c r="E164" i="2"/>
  <c r="AA166" i="2"/>
  <c r="AM166" i="2" s="1"/>
  <c r="E166" i="2"/>
  <c r="AA168" i="2"/>
  <c r="AM168" i="2" s="1"/>
  <c r="E168" i="2"/>
  <c r="AA169" i="2"/>
  <c r="AM169" i="2" s="1"/>
  <c r="AA187" i="2"/>
  <c r="AM187" i="2" s="1"/>
  <c r="E187" i="2"/>
  <c r="AA189" i="2"/>
  <c r="AI189" i="2" s="1"/>
  <c r="E189" i="2"/>
  <c r="AA214" i="2"/>
  <c r="AI214" i="2" s="1"/>
  <c r="E214" i="2"/>
  <c r="AA222" i="2"/>
  <c r="AM222" i="2" s="1"/>
  <c r="E222" i="2"/>
  <c r="AA230" i="2"/>
  <c r="AM230" i="2" s="1"/>
  <c r="E230" i="2"/>
  <c r="AA237" i="2"/>
  <c r="AI237" i="2" s="1"/>
  <c r="E237" i="2"/>
  <c r="AA238" i="2"/>
  <c r="AM238" i="2" s="1"/>
  <c r="AA250" i="2"/>
  <c r="AI250" i="2" s="1"/>
  <c r="E250" i="2"/>
  <c r="AA254" i="2"/>
  <c r="AI254" i="2" s="1"/>
  <c r="E254" i="2"/>
  <c r="G267" i="2"/>
  <c r="E267" i="2"/>
  <c r="AA311" i="2"/>
  <c r="AI311" i="2" s="1"/>
  <c r="AA340" i="2"/>
  <c r="AI340" i="2" s="1"/>
  <c r="E340" i="2"/>
  <c r="G343" i="2"/>
  <c r="E343" i="2"/>
  <c r="G346" i="2"/>
  <c r="E346" i="2"/>
  <c r="AA348" i="2"/>
  <c r="AI348" i="2" s="1"/>
  <c r="E348" i="2"/>
  <c r="AA366" i="2"/>
  <c r="AM366" i="2" s="1"/>
  <c r="E366" i="2"/>
  <c r="AA369" i="2"/>
  <c r="AM369" i="2" s="1"/>
  <c r="E369" i="2"/>
  <c r="AA371" i="2"/>
  <c r="AI371" i="2" s="1"/>
  <c r="E371" i="2"/>
  <c r="AA400" i="2"/>
  <c r="AI400" i="2" s="1"/>
  <c r="E400" i="2"/>
  <c r="AA419" i="2"/>
  <c r="AM419" i="2" s="1"/>
  <c r="E419" i="2"/>
  <c r="AA424" i="2"/>
  <c r="AM424" i="2" s="1"/>
  <c r="E424" i="2"/>
  <c r="AA500" i="2"/>
  <c r="AM500" i="2" s="1"/>
  <c r="E500" i="2"/>
  <c r="AA510" i="2"/>
  <c r="AM510" i="2" s="1"/>
  <c r="E510" i="2"/>
  <c r="AA512" i="2"/>
  <c r="AI512" i="2" s="1"/>
  <c r="E512" i="2"/>
  <c r="AA515" i="2"/>
  <c r="AI515" i="2" s="1"/>
  <c r="AA516" i="2"/>
  <c r="AI516" i="2" s="1"/>
  <c r="AA524" i="2"/>
  <c r="AM524" i="2" s="1"/>
  <c r="E524" i="2"/>
  <c r="AA526" i="2"/>
  <c r="AI526" i="2" s="1"/>
  <c r="AA541" i="2"/>
  <c r="AI541" i="2" s="1"/>
  <c r="E541" i="2"/>
  <c r="AA544" i="2"/>
  <c r="AI544" i="2" s="1"/>
  <c r="AA518" i="2"/>
  <c r="AI518" i="2" s="1"/>
  <c r="E518" i="2"/>
  <c r="AA143" i="2"/>
  <c r="AM143" i="2" s="1"/>
  <c r="E143" i="2"/>
  <c r="AA331" i="2"/>
  <c r="AI331" i="2" s="1"/>
  <c r="E331" i="2"/>
  <c r="AA191" i="2"/>
  <c r="AI191" i="2" s="1"/>
  <c r="E191" i="2"/>
  <c r="AT4" i="2"/>
  <c r="E4" i="2"/>
  <c r="AA7" i="2"/>
  <c r="AI7" i="2" s="1"/>
  <c r="AK7" i="2" s="1"/>
  <c r="E7" i="2"/>
  <c r="AA8" i="2"/>
  <c r="AI8" i="2" s="1"/>
  <c r="AK8" i="2" s="1"/>
  <c r="AL8" i="2" s="1"/>
  <c r="E8" i="2"/>
  <c r="AA21" i="2"/>
  <c r="AM21" i="2" s="1"/>
  <c r="E21" i="2"/>
  <c r="G31" i="2"/>
  <c r="E31" i="2"/>
  <c r="AA36" i="2"/>
  <c r="AM36" i="2" s="1"/>
  <c r="E36" i="2"/>
  <c r="AA45" i="2"/>
  <c r="AC45" i="2" s="1"/>
  <c r="E45" i="2"/>
  <c r="AA53" i="2"/>
  <c r="AM53" i="2" s="1"/>
  <c r="E53" i="2"/>
  <c r="AA57" i="2"/>
  <c r="AM57" i="2" s="1"/>
  <c r="E57" i="2"/>
  <c r="AA72" i="2"/>
  <c r="AM72" i="2" s="1"/>
  <c r="E72" i="2"/>
  <c r="G84" i="2"/>
  <c r="E84" i="2"/>
  <c r="G87" i="2"/>
  <c r="E87" i="2"/>
  <c r="AA131" i="2"/>
  <c r="AI131" i="2" s="1"/>
  <c r="E131" i="2"/>
  <c r="AA165" i="2"/>
  <c r="AI165" i="2" s="1"/>
  <c r="E165" i="2"/>
  <c r="AA190" i="2"/>
  <c r="AM190" i="2" s="1"/>
  <c r="E190" i="2"/>
  <c r="G201" i="2"/>
  <c r="E201" i="2"/>
  <c r="AA236" i="2"/>
  <c r="AM236" i="2" s="1"/>
  <c r="E236" i="2"/>
  <c r="AA255" i="2"/>
  <c r="AI255" i="2" s="1"/>
  <c r="E255" i="2"/>
  <c r="H53" i="2"/>
  <c r="AE53" i="2" s="1"/>
  <c r="AT7" i="2"/>
  <c r="AT9" i="2"/>
  <c r="E9" i="2"/>
  <c r="AT13" i="2"/>
  <c r="E13" i="2"/>
  <c r="AA15" i="2"/>
  <c r="AC15" i="2" s="1"/>
  <c r="AD15" i="2" s="1"/>
  <c r="E15" i="2"/>
  <c r="AA24" i="2"/>
  <c r="AI24" i="2" s="1"/>
  <c r="E24" i="2"/>
  <c r="AA25" i="2"/>
  <c r="AI25" i="2" s="1"/>
  <c r="AK25" i="2" s="1"/>
  <c r="AJ72" i="2" s="1"/>
  <c r="E25" i="2"/>
  <c r="AA33" i="2"/>
  <c r="AC33" i="2" s="1"/>
  <c r="E33" i="2"/>
  <c r="AA34" i="2"/>
  <c r="AC34" i="2" s="1"/>
  <c r="E34" i="2"/>
  <c r="AA47" i="2"/>
  <c r="AM47" i="2" s="1"/>
  <c r="E47" i="2"/>
  <c r="AA48" i="2"/>
  <c r="AI48" i="2" s="1"/>
  <c r="AK48" i="2" s="1"/>
  <c r="E48" i="2"/>
  <c r="AA49" i="2"/>
  <c r="AI49" i="2" s="1"/>
  <c r="E49" i="2"/>
  <c r="AA50" i="2"/>
  <c r="AI50" i="2" s="1"/>
  <c r="E50" i="2"/>
  <c r="AA54" i="2"/>
  <c r="AM54" i="2" s="1"/>
  <c r="E54" i="2"/>
  <c r="AA58" i="2"/>
  <c r="AM58" i="2" s="1"/>
  <c r="E58" i="2"/>
  <c r="AA61" i="2"/>
  <c r="AM61" i="2" s="1"/>
  <c r="E61" i="2"/>
  <c r="AA64" i="2"/>
  <c r="AI64" i="2" s="1"/>
  <c r="E64" i="2"/>
  <c r="AA66" i="2"/>
  <c r="AM66" i="2" s="1"/>
  <c r="E66" i="2"/>
  <c r="AA92" i="2"/>
  <c r="AI92" i="2" s="1"/>
  <c r="E92" i="2"/>
  <c r="AA100" i="2"/>
  <c r="AM100" i="2" s="1"/>
  <c r="E100" i="2"/>
  <c r="AA104" i="2"/>
  <c r="AM104" i="2" s="1"/>
  <c r="E104" i="2"/>
  <c r="AA107" i="2"/>
  <c r="AM107" i="2" s="1"/>
  <c r="E107" i="2"/>
  <c r="AA110" i="2"/>
  <c r="AM110" i="2" s="1"/>
  <c r="E110" i="2"/>
  <c r="AA115" i="2"/>
  <c r="AM115" i="2" s="1"/>
  <c r="E115" i="2"/>
  <c r="AA119" i="2"/>
  <c r="AM119" i="2" s="1"/>
  <c r="E119" i="2"/>
  <c r="AA121" i="2"/>
  <c r="AM121" i="2" s="1"/>
  <c r="E121" i="2"/>
  <c r="AA123" i="2"/>
  <c r="AM123" i="2" s="1"/>
  <c r="E123" i="2"/>
  <c r="AA125" i="2"/>
  <c r="AI125" i="2" s="1"/>
  <c r="E125" i="2"/>
  <c r="AA127" i="2"/>
  <c r="AI127" i="2" s="1"/>
  <c r="E127" i="2"/>
  <c r="AA136" i="2"/>
  <c r="AI136" i="2" s="1"/>
  <c r="E136" i="2"/>
  <c r="AA146" i="2"/>
  <c r="AM146" i="2" s="1"/>
  <c r="E146" i="2"/>
  <c r="AA150" i="2"/>
  <c r="AM150" i="2" s="1"/>
  <c r="E150" i="2"/>
  <c r="AA160" i="2"/>
  <c r="AM160" i="2" s="1"/>
  <c r="E160" i="2"/>
  <c r="AA170" i="2"/>
  <c r="AI170" i="2" s="1"/>
  <c r="E170" i="2"/>
  <c r="AA172" i="2"/>
  <c r="AM172" i="2" s="1"/>
  <c r="E172" i="2"/>
  <c r="AA174" i="2"/>
  <c r="AI174" i="2" s="1"/>
  <c r="E174" i="2"/>
  <c r="AA176" i="2"/>
  <c r="AI176" i="2" s="1"/>
  <c r="E176" i="2"/>
  <c r="AA178" i="2"/>
  <c r="AI178" i="2" s="1"/>
  <c r="E178" i="2"/>
  <c r="AA183" i="2"/>
  <c r="AI183" i="2" s="1"/>
  <c r="E183" i="2"/>
  <c r="AA195" i="2"/>
  <c r="AI195" i="2" s="1"/>
  <c r="E195" i="2"/>
  <c r="AA220" i="2"/>
  <c r="AI220" i="2" s="1"/>
  <c r="E220" i="2"/>
  <c r="AA243" i="2"/>
  <c r="AI243" i="2" s="1"/>
  <c r="E243" i="2"/>
  <c r="AA256" i="2"/>
  <c r="AM256" i="2" s="1"/>
  <c r="E256" i="2"/>
  <c r="AA258" i="2"/>
  <c r="AM258" i="2" s="1"/>
  <c r="E258" i="2"/>
  <c r="AA273" i="2"/>
  <c r="AI273" i="2" s="1"/>
  <c r="E273" i="2"/>
  <c r="AA305" i="2"/>
  <c r="AI305" i="2" s="1"/>
  <c r="E305" i="2"/>
  <c r="AA312" i="2"/>
  <c r="AM312" i="2" s="1"/>
  <c r="E312" i="2"/>
  <c r="AA314" i="2"/>
  <c r="AM314" i="2" s="1"/>
  <c r="E314" i="2"/>
  <c r="AA316" i="2"/>
  <c r="AI316" i="2" s="1"/>
  <c r="E316" i="2"/>
  <c r="AA318" i="2"/>
  <c r="AI318" i="2" s="1"/>
  <c r="E318" i="2"/>
  <c r="AA320" i="2"/>
  <c r="AM320" i="2" s="1"/>
  <c r="E320" i="2"/>
  <c r="AA339" i="2"/>
  <c r="AI339" i="2" s="1"/>
  <c r="E339" i="2"/>
  <c r="AA357" i="2"/>
  <c r="AI357" i="2" s="1"/>
  <c r="E357" i="2"/>
  <c r="AA363" i="2"/>
  <c r="AI363" i="2" s="1"/>
  <c r="E363" i="2"/>
  <c r="AA368" i="2"/>
  <c r="AI368" i="2" s="1"/>
  <c r="E368" i="2"/>
  <c r="AA375" i="2"/>
  <c r="AM375" i="2" s="1"/>
  <c r="E375" i="2"/>
  <c r="AA412" i="2"/>
  <c r="AI412" i="2" s="1"/>
  <c r="E412" i="2"/>
  <c r="AA417" i="2"/>
  <c r="AM417" i="2" s="1"/>
  <c r="E417" i="2"/>
  <c r="AA520" i="2"/>
  <c r="AI520" i="2" s="1"/>
  <c r="E520" i="2"/>
  <c r="AA523" i="2"/>
  <c r="AM523" i="2" s="1"/>
  <c r="E523" i="2"/>
  <c r="AA534" i="2"/>
  <c r="AM534" i="2" s="1"/>
  <c r="E534" i="2"/>
  <c r="AA536" i="2"/>
  <c r="AM536" i="2" s="1"/>
  <c r="E536" i="2"/>
  <c r="AA545" i="2"/>
  <c r="AI545" i="2" s="1"/>
  <c r="E545" i="2"/>
  <c r="AA547" i="2"/>
  <c r="AM547" i="2" s="1"/>
  <c r="E547" i="2"/>
  <c r="AA549" i="2"/>
  <c r="AM549" i="2" s="1"/>
  <c r="E549" i="2"/>
  <c r="AA555" i="2"/>
  <c r="AI555" i="2" s="1"/>
  <c r="E555" i="2"/>
  <c r="AA558" i="2"/>
  <c r="AM558" i="2" s="1"/>
  <c r="E558" i="2"/>
  <c r="AA560" i="2"/>
  <c r="AM560" i="2" s="1"/>
  <c r="E560" i="2"/>
  <c r="AA192" i="2"/>
  <c r="AI192" i="2" s="1"/>
  <c r="E192" i="2"/>
  <c r="AA194" i="2"/>
  <c r="AI194" i="2" s="1"/>
  <c r="E194" i="2"/>
  <c r="AA198" i="2"/>
  <c r="AM198" i="2" s="1"/>
  <c r="E198" i="2"/>
  <c r="AA199" i="2"/>
  <c r="AI199" i="2" s="1"/>
  <c r="E199" i="2"/>
  <c r="AA202" i="2"/>
  <c r="AI202" i="2" s="1"/>
  <c r="E202" i="2"/>
  <c r="AA204" i="2"/>
  <c r="AM204" i="2" s="1"/>
  <c r="E204" i="2"/>
  <c r="AA393" i="2"/>
  <c r="AM393" i="2" s="1"/>
  <c r="E393" i="2"/>
  <c r="AA206" i="2"/>
  <c r="AI206" i="2" s="1"/>
  <c r="E206" i="2"/>
  <c r="AA394" i="2"/>
  <c r="AI394" i="2" s="1"/>
  <c r="E394" i="2"/>
  <c r="AA207" i="2"/>
  <c r="AI207" i="2" s="1"/>
  <c r="E207" i="2"/>
  <c r="AA395" i="2"/>
  <c r="AM395" i="2" s="1"/>
  <c r="E395" i="2"/>
  <c r="AA396" i="2"/>
  <c r="AM396" i="2" s="1"/>
  <c r="E396" i="2"/>
  <c r="AA209" i="2"/>
  <c r="AM209" i="2" s="1"/>
  <c r="E209" i="2"/>
  <c r="AA397" i="2"/>
  <c r="AM397" i="2" s="1"/>
  <c r="E397" i="2"/>
  <c r="AA398" i="2"/>
  <c r="AM398" i="2" s="1"/>
  <c r="E398" i="2"/>
  <c r="AA211" i="2"/>
  <c r="AI211" i="2" s="1"/>
  <c r="E211" i="2"/>
  <c r="AA399" i="2"/>
  <c r="AM399" i="2" s="1"/>
  <c r="E399" i="2"/>
  <c r="AA212" i="2"/>
  <c r="AI212" i="2" s="1"/>
  <c r="E212" i="2"/>
  <c r="AA213" i="2"/>
  <c r="AM213" i="2" s="1"/>
  <c r="E213" i="2"/>
  <c r="AA401" i="2"/>
  <c r="AI401" i="2" s="1"/>
  <c r="E401" i="2"/>
  <c r="AA215" i="2"/>
  <c r="AI215" i="2" s="1"/>
  <c r="E215" i="2"/>
  <c r="AA403" i="2"/>
  <c r="AM403" i="2" s="1"/>
  <c r="E403" i="2"/>
  <c r="AA217" i="2"/>
  <c r="AI217" i="2" s="1"/>
  <c r="E217" i="2"/>
  <c r="AA405" i="2"/>
  <c r="AI405" i="2" s="1"/>
  <c r="E405" i="2"/>
  <c r="AA406" i="2"/>
  <c r="AM406" i="2" s="1"/>
  <c r="E406" i="2"/>
  <c r="AA219" i="2"/>
  <c r="AM219" i="2" s="1"/>
  <c r="E219" i="2"/>
  <c r="AA407" i="2"/>
  <c r="AM407" i="2" s="1"/>
  <c r="E407" i="2"/>
  <c r="AA221" i="2"/>
  <c r="AM221" i="2" s="1"/>
  <c r="E221" i="2"/>
  <c r="AA409" i="2"/>
  <c r="AM409" i="2" s="1"/>
  <c r="E409" i="2"/>
  <c r="AA223" i="2"/>
  <c r="AI223" i="2" s="1"/>
  <c r="E223" i="2"/>
  <c r="AA411" i="2"/>
  <c r="AM411" i="2" s="1"/>
  <c r="E411" i="2"/>
  <c r="AA225" i="2"/>
  <c r="AM225" i="2" s="1"/>
  <c r="E225" i="2"/>
  <c r="AA413" i="2"/>
  <c r="AM413" i="2" s="1"/>
  <c r="E413" i="2"/>
  <c r="AA414" i="2"/>
  <c r="AI414" i="2" s="1"/>
  <c r="E414" i="2"/>
  <c r="AA415" i="2"/>
  <c r="AM415" i="2" s="1"/>
  <c r="E415" i="2"/>
  <c r="AA416" i="2"/>
  <c r="AM416" i="2" s="1"/>
  <c r="E416" i="2"/>
  <c r="AA418" i="2"/>
  <c r="AI418" i="2" s="1"/>
  <c r="E418" i="2"/>
  <c r="AA420" i="2"/>
  <c r="AI420" i="2" s="1"/>
  <c r="E420" i="2"/>
  <c r="AA422" i="2"/>
  <c r="AM422" i="2" s="1"/>
  <c r="E422" i="2"/>
  <c r="AA38" i="2"/>
  <c r="AI38" i="2" s="1"/>
  <c r="E38" i="2"/>
  <c r="AA44" i="2"/>
  <c r="AC44" i="2" s="1"/>
  <c r="E44" i="2"/>
  <c r="AA63" i="2"/>
  <c r="AM63" i="2" s="1"/>
  <c r="E63" i="2"/>
  <c r="AA68" i="2"/>
  <c r="AM68" i="2" s="1"/>
  <c r="E68" i="2"/>
  <c r="AA74" i="2"/>
  <c r="AI74" i="2" s="1"/>
  <c r="E74" i="2"/>
  <c r="AA80" i="2"/>
  <c r="AM80" i="2" s="1"/>
  <c r="E80" i="2"/>
  <c r="AA98" i="2"/>
  <c r="AI98" i="2" s="1"/>
  <c r="E98" i="2"/>
  <c r="AA140" i="2"/>
  <c r="AI140" i="2" s="1"/>
  <c r="E140" i="2"/>
  <c r="G197" i="2"/>
  <c r="E197" i="2"/>
  <c r="AA203" i="2"/>
  <c r="AM203" i="2" s="1"/>
  <c r="E203" i="2"/>
  <c r="AA253" i="2"/>
  <c r="AI253" i="2" s="1"/>
  <c r="E253" i="2"/>
  <c r="AA302" i="2"/>
  <c r="AI302" i="2" s="1"/>
  <c r="E302" i="2"/>
  <c r="AA325" i="2"/>
  <c r="AM325" i="2" s="1"/>
  <c r="E325" i="2"/>
  <c r="AA338" i="2"/>
  <c r="AI338" i="2" s="1"/>
  <c r="E338" i="2"/>
  <c r="AA344" i="2"/>
  <c r="AI344" i="2" s="1"/>
  <c r="E344" i="2"/>
  <c r="AA347" i="2"/>
  <c r="AI347" i="2" s="1"/>
  <c r="E347" i="2"/>
  <c r="AA365" i="2"/>
  <c r="AI365" i="2" s="1"/>
  <c r="E365" i="2"/>
  <c r="AA370" i="2"/>
  <c r="AI370" i="2" s="1"/>
  <c r="E370" i="2"/>
  <c r="AA372" i="2"/>
  <c r="AM372" i="2" s="1"/>
  <c r="E372" i="2"/>
  <c r="AA404" i="2"/>
  <c r="AI404" i="2" s="1"/>
  <c r="E404" i="2"/>
  <c r="AA410" i="2"/>
  <c r="AI410" i="2" s="1"/>
  <c r="E410" i="2"/>
  <c r="AA425" i="2"/>
  <c r="AI425" i="2" s="1"/>
  <c r="E425" i="2"/>
  <c r="AA501" i="2"/>
  <c r="AI501" i="2" s="1"/>
  <c r="E501" i="2"/>
  <c r="AA508" i="2"/>
  <c r="AI508" i="2" s="1"/>
  <c r="E508" i="2"/>
  <c r="AA511" i="2"/>
  <c r="AM511" i="2" s="1"/>
  <c r="E511" i="2"/>
  <c r="AA513" i="2"/>
  <c r="AI513" i="2" s="1"/>
  <c r="E513" i="2"/>
  <c r="AA522" i="2"/>
  <c r="AI522" i="2" s="1"/>
  <c r="E522" i="2"/>
  <c r="AA527" i="2"/>
  <c r="AI527" i="2" s="1"/>
  <c r="E527" i="2"/>
  <c r="AA530" i="2"/>
  <c r="AI530" i="2" s="1"/>
  <c r="E530" i="2"/>
  <c r="G536" i="2"/>
  <c r="AA538" i="2"/>
  <c r="AI538" i="2" s="1"/>
  <c r="E538" i="2"/>
  <c r="AA540" i="2"/>
  <c r="AI540" i="2" s="1"/>
  <c r="E540" i="2"/>
  <c r="AA542" i="2"/>
  <c r="AI542" i="2" s="1"/>
  <c r="E542" i="2"/>
  <c r="G274" i="2"/>
  <c r="G283" i="2"/>
  <c r="G285" i="2"/>
  <c r="G311" i="2"/>
  <c r="G328" i="2"/>
  <c r="G351" i="2"/>
  <c r="G462" i="2"/>
  <c r="G505" i="2"/>
  <c r="G511" i="2"/>
  <c r="G537" i="2"/>
  <c r="G552" i="2"/>
  <c r="H97" i="2"/>
  <c r="J97" i="2" s="1"/>
  <c r="O30" i="2"/>
  <c r="G97" i="2"/>
  <c r="G105" i="2"/>
  <c r="H52" i="2"/>
  <c r="H99" i="2" s="1"/>
  <c r="G12" i="2"/>
  <c r="O17" i="2"/>
  <c r="P30" i="2"/>
  <c r="G36" i="2"/>
  <c r="H87" i="2"/>
  <c r="J87" i="2" s="1"/>
  <c r="G86" i="2"/>
  <c r="G96" i="2"/>
  <c r="G99" i="2"/>
  <c r="G103" i="2"/>
  <c r="G111" i="2"/>
  <c r="G130" i="2"/>
  <c r="G133" i="2"/>
  <c r="G156" i="2"/>
  <c r="G163" i="2"/>
  <c r="AA197" i="2"/>
  <c r="AI197" i="2" s="1"/>
  <c r="G237" i="2"/>
  <c r="G239" i="2"/>
  <c r="G260" i="2"/>
  <c r="G264" i="2"/>
  <c r="G303" i="2"/>
  <c r="G306" i="2"/>
  <c r="G342" i="2"/>
  <c r="G345" i="2"/>
  <c r="G426" i="2"/>
  <c r="G428" i="2"/>
  <c r="G504" i="2"/>
  <c r="G513" i="2"/>
  <c r="H80" i="2"/>
  <c r="H127" i="2" s="1"/>
  <c r="H174" i="2" s="1"/>
  <c r="O38" i="2"/>
  <c r="H75" i="2"/>
  <c r="AE75" i="2" s="1"/>
  <c r="AE29" i="2"/>
  <c r="AG29" i="2" s="1"/>
  <c r="AF76" i="2" s="1"/>
  <c r="G93" i="2"/>
  <c r="G109" i="2"/>
  <c r="G138" i="2"/>
  <c r="G142" i="2"/>
  <c r="AA201" i="2"/>
  <c r="AI201" i="2" s="1"/>
  <c r="G238" i="2"/>
  <c r="G287" i="2"/>
  <c r="G297" i="2"/>
  <c r="G193" i="2"/>
  <c r="G248" i="2"/>
  <c r="G549" i="2"/>
  <c r="G553" i="2"/>
  <c r="G555" i="2"/>
  <c r="G558" i="2"/>
  <c r="G560" i="2"/>
  <c r="AE19" i="2"/>
  <c r="AG19" i="2" s="1"/>
  <c r="AF66" i="2" s="1"/>
  <c r="J19" i="2"/>
  <c r="L19" i="2" s="1"/>
  <c r="T19" i="2" s="1"/>
  <c r="H90" i="2"/>
  <c r="J90" i="2" s="1"/>
  <c r="J43" i="2"/>
  <c r="L43" i="2" s="1"/>
  <c r="K90" i="2" s="1"/>
  <c r="Y37" i="2"/>
  <c r="L37" i="2"/>
  <c r="K84" i="2" s="1"/>
  <c r="G196" i="2"/>
  <c r="AA196" i="2"/>
  <c r="AI196" i="2" s="1"/>
  <c r="G200" i="2"/>
  <c r="AA200" i="2"/>
  <c r="AM200" i="2" s="1"/>
  <c r="AA229" i="2"/>
  <c r="AM229" i="2" s="1"/>
  <c r="G229" i="2"/>
  <c r="AA244" i="2"/>
  <c r="AI244" i="2" s="1"/>
  <c r="G244" i="2"/>
  <c r="AT22" i="2"/>
  <c r="J23" i="2"/>
  <c r="Y23" i="2" s="1"/>
  <c r="J39" i="2"/>
  <c r="G179" i="2"/>
  <c r="G190" i="2"/>
  <c r="G101" i="2"/>
  <c r="G205" i="2"/>
  <c r="AA205" i="2"/>
  <c r="AI205" i="2" s="1"/>
  <c r="AA392" i="2"/>
  <c r="AM392" i="2" s="1"/>
  <c r="G392" i="2"/>
  <c r="G231" i="2"/>
  <c r="AA180" i="2"/>
  <c r="AI180" i="2" s="1"/>
  <c r="G180" i="2"/>
  <c r="G240" i="2"/>
  <c r="AA240" i="2"/>
  <c r="AI240" i="2" s="1"/>
  <c r="G352" i="2"/>
  <c r="AA352" i="2"/>
  <c r="AI352" i="2" s="1"/>
  <c r="AA531" i="2"/>
  <c r="AI531" i="2" s="1"/>
  <c r="G531" i="2"/>
  <c r="G27" i="2"/>
  <c r="H79" i="2"/>
  <c r="H126" i="2" s="1"/>
  <c r="AE36" i="2"/>
  <c r="AG36" i="2" s="1"/>
  <c r="AF83" i="2" s="1"/>
  <c r="J40" i="2"/>
  <c r="L40" i="2" s="1"/>
  <c r="V40" i="2" s="1"/>
  <c r="J48" i="2"/>
  <c r="L48" i="2" s="1"/>
  <c r="W48" i="2" s="1"/>
  <c r="G182" i="2"/>
  <c r="AA182" i="2"/>
  <c r="AI182" i="2" s="1"/>
  <c r="G271" i="2"/>
  <c r="AA271" i="2"/>
  <c r="AI271" i="2" s="1"/>
  <c r="AA4" i="2"/>
  <c r="AI4" i="2" s="1"/>
  <c r="AK4" i="2" s="1"/>
  <c r="AJ51" i="2" s="1"/>
  <c r="G7" i="2"/>
  <c r="G15" i="2"/>
  <c r="G16" i="2"/>
  <c r="AT16" i="2"/>
  <c r="AA31" i="2"/>
  <c r="AI31" i="2" s="1"/>
  <c r="AK31" i="2" s="1"/>
  <c r="AJ78" i="2" s="1"/>
  <c r="J32" i="2"/>
  <c r="L32" i="2" s="1"/>
  <c r="K79" i="2" s="1"/>
  <c r="J36" i="2"/>
  <c r="G45" i="2"/>
  <c r="G92" i="2"/>
  <c r="G106" i="2"/>
  <c r="G178" i="2"/>
  <c r="AA228" i="2"/>
  <c r="AI228" i="2" s="1"/>
  <c r="G228" i="2"/>
  <c r="G300" i="2"/>
  <c r="AA300" i="2"/>
  <c r="AI300" i="2" s="1"/>
  <c r="AA535" i="2"/>
  <c r="AM535" i="2" s="1"/>
  <c r="G535" i="2"/>
  <c r="G4" i="2"/>
  <c r="D5" i="2"/>
  <c r="G5" i="2" s="1"/>
  <c r="G8" i="2"/>
  <c r="J10" i="2"/>
  <c r="Y10" i="2" s="1"/>
  <c r="J11" i="2"/>
  <c r="L11" i="2" s="1"/>
  <c r="T11" i="2" s="1"/>
  <c r="AT15" i="2"/>
  <c r="D17" i="2"/>
  <c r="D19" i="2"/>
  <c r="AT19" i="2" s="1"/>
  <c r="G20" i="2"/>
  <c r="G21" i="2"/>
  <c r="AT21" i="2"/>
  <c r="H77" i="2"/>
  <c r="J77" i="2" s="1"/>
  <c r="AE32" i="2"/>
  <c r="AG32" i="2" s="1"/>
  <c r="AH32" i="2" s="1"/>
  <c r="J33" i="2"/>
  <c r="Y33" i="2" s="1"/>
  <c r="H91" i="2"/>
  <c r="H138" i="2" s="1"/>
  <c r="H92" i="2"/>
  <c r="H139" i="2" s="1"/>
  <c r="G91" i="2"/>
  <c r="G102" i="2"/>
  <c r="G108" i="2"/>
  <c r="G158" i="2"/>
  <c r="G167" i="2"/>
  <c r="G177" i="2"/>
  <c r="G181" i="2"/>
  <c r="AA181" i="2"/>
  <c r="AM181" i="2" s="1"/>
  <c r="G191" i="2"/>
  <c r="G207" i="2"/>
  <c r="G227" i="2"/>
  <c r="AA227" i="2"/>
  <c r="AI227" i="2" s="1"/>
  <c r="AA241" i="2"/>
  <c r="AI241" i="2" s="1"/>
  <c r="G241" i="2"/>
  <c r="G259" i="2"/>
  <c r="G263" i="2"/>
  <c r="G307" i="2"/>
  <c r="AA307" i="2"/>
  <c r="AM307" i="2" s="1"/>
  <c r="G518" i="2"/>
  <c r="AA529" i="2"/>
  <c r="AM529" i="2" s="1"/>
  <c r="G529" i="2"/>
  <c r="G419" i="2"/>
  <c r="G421" i="2"/>
  <c r="G501" i="2"/>
  <c r="G550" i="2"/>
  <c r="G427" i="2"/>
  <c r="G430" i="2"/>
  <c r="G431" i="2"/>
  <c r="G195" i="2"/>
  <c r="G203" i="2"/>
  <c r="G236" i="2"/>
  <c r="G242" i="2"/>
  <c r="G389" i="2"/>
  <c r="G393" i="2"/>
  <c r="G395" i="2"/>
  <c r="G521" i="2"/>
  <c r="G522" i="2"/>
  <c r="G523" i="2"/>
  <c r="G524" i="2"/>
  <c r="G525" i="2"/>
  <c r="G554" i="2"/>
  <c r="G559" i="2"/>
  <c r="G561" i="2"/>
  <c r="G186" i="2"/>
  <c r="G198" i="2"/>
  <c r="G202" i="2"/>
  <c r="G235" i="2"/>
  <c r="G251" i="2"/>
  <c r="AA268" i="2"/>
  <c r="AM268" i="2" s="1"/>
  <c r="G272" i="2"/>
  <c r="AA283" i="2"/>
  <c r="AM283" i="2" s="1"/>
  <c r="G301" i="2"/>
  <c r="AA306" i="2"/>
  <c r="AI306" i="2" s="1"/>
  <c r="AA342" i="2"/>
  <c r="AI342" i="2" s="1"/>
  <c r="AA343" i="2"/>
  <c r="AI343" i="2" s="1"/>
  <c r="AA345" i="2"/>
  <c r="AM345" i="2" s="1"/>
  <c r="AA346" i="2"/>
  <c r="AI346" i="2" s="1"/>
  <c r="G349" i="2"/>
  <c r="AA351" i="2"/>
  <c r="AI351" i="2" s="1"/>
  <c r="G355" i="2"/>
  <c r="G385" i="2"/>
  <c r="G397" i="2"/>
  <c r="G399" i="2"/>
  <c r="G401" i="2"/>
  <c r="G403" i="2"/>
  <c r="G405" i="2"/>
  <c r="G407" i="2"/>
  <c r="G409" i="2"/>
  <c r="G411" i="2"/>
  <c r="G413" i="2"/>
  <c r="G416" i="2"/>
  <c r="G418" i="2"/>
  <c r="G500" i="2"/>
  <c r="AA505" i="2"/>
  <c r="AM505" i="2" s="1"/>
  <c r="G519" i="2"/>
  <c r="G520" i="2"/>
  <c r="G534" i="2"/>
  <c r="E48" i="5"/>
  <c r="AO50" i="2" s="1"/>
  <c r="AP50" i="2" s="1"/>
  <c r="AT11" i="2"/>
  <c r="AT12" i="2"/>
  <c r="G22" i="2"/>
  <c r="G25" i="2"/>
  <c r="G28" i="2"/>
  <c r="G32" i="2"/>
  <c r="G35" i="2"/>
  <c r="H84" i="2"/>
  <c r="AE84" i="2" s="1"/>
  <c r="H86" i="2"/>
  <c r="H133" i="2" s="1"/>
  <c r="G72" i="2"/>
  <c r="G75" i="2"/>
  <c r="G80" i="2"/>
  <c r="AA84" i="2"/>
  <c r="AM84" i="2" s="1"/>
  <c r="AA86" i="2"/>
  <c r="AM86" i="2" s="1"/>
  <c r="AA87" i="2"/>
  <c r="AM87" i="2" s="1"/>
  <c r="G90" i="2"/>
  <c r="AA93" i="2"/>
  <c r="AM93" i="2" s="1"/>
  <c r="AA99" i="2"/>
  <c r="AM99" i="2" s="1"/>
  <c r="G100" i="2"/>
  <c r="AA103" i="2"/>
  <c r="AM103" i="2" s="1"/>
  <c r="G104" i="2"/>
  <c r="AA108" i="2"/>
  <c r="AM108" i="2" s="1"/>
  <c r="AA109" i="2"/>
  <c r="AM109" i="2" s="1"/>
  <c r="G110" i="2"/>
  <c r="AA130" i="2"/>
  <c r="AI130" i="2" s="1"/>
  <c r="AA138" i="2"/>
  <c r="AM138" i="2" s="1"/>
  <c r="AA142" i="2"/>
  <c r="AM142" i="2" s="1"/>
  <c r="AA156" i="2"/>
  <c r="AM156" i="2" s="1"/>
  <c r="AA157" i="2"/>
  <c r="AM157" i="2" s="1"/>
  <c r="AA158" i="2"/>
  <c r="AI158" i="2" s="1"/>
  <c r="AA163" i="2"/>
  <c r="AM163" i="2" s="1"/>
  <c r="AA167" i="2"/>
  <c r="AM167" i="2" s="1"/>
  <c r="AA171" i="2"/>
  <c r="AM171" i="2" s="1"/>
  <c r="G183" i="2"/>
  <c r="G184" i="2"/>
  <c r="G189" i="2"/>
  <c r="G194" i="2"/>
  <c r="G261" i="2"/>
  <c r="AA261" i="2"/>
  <c r="AI261" i="2" s="1"/>
  <c r="G270" i="2"/>
  <c r="AA270" i="2"/>
  <c r="AM270" i="2" s="1"/>
  <c r="G280" i="2"/>
  <c r="AA280" i="2"/>
  <c r="AM280" i="2" s="1"/>
  <c r="G295" i="2"/>
  <c r="AA295" i="2"/>
  <c r="AM295" i="2" s="1"/>
  <c r="G299" i="2"/>
  <c r="AA299" i="2"/>
  <c r="AM299" i="2" s="1"/>
  <c r="G326" i="2"/>
  <c r="AA326" i="2"/>
  <c r="AI326" i="2" s="1"/>
  <c r="G335" i="2"/>
  <c r="AA335" i="2"/>
  <c r="AM335" i="2" s="1"/>
  <c r="G354" i="2"/>
  <c r="AA354" i="2"/>
  <c r="AM354" i="2" s="1"/>
  <c r="G382" i="2"/>
  <c r="AA382" i="2"/>
  <c r="AM382" i="2" s="1"/>
  <c r="AA503" i="2"/>
  <c r="AI503" i="2" s="1"/>
  <c r="G503" i="2"/>
  <c r="G506" i="2"/>
  <c r="AA506" i="2"/>
  <c r="AI506" i="2" s="1"/>
  <c r="AA13" i="2"/>
  <c r="AI13" i="2" s="1"/>
  <c r="AK13" i="2" s="1"/>
  <c r="AJ60" i="2" s="1"/>
  <c r="S28" i="2"/>
  <c r="Y29" i="2"/>
  <c r="G77" i="2"/>
  <c r="G78" i="2"/>
  <c r="G79" i="2"/>
  <c r="G85" i="2"/>
  <c r="G88" i="2"/>
  <c r="G89" i="2"/>
  <c r="G113" i="2"/>
  <c r="G269" i="2"/>
  <c r="AA269" i="2"/>
  <c r="AI269" i="2" s="1"/>
  <c r="G275" i="2"/>
  <c r="AA275" i="2"/>
  <c r="AM275" i="2" s="1"/>
  <c r="G279" i="2"/>
  <c r="AA279" i="2"/>
  <c r="AI279" i="2" s="1"/>
  <c r="G286" i="2"/>
  <c r="AA286" i="2"/>
  <c r="AI286" i="2" s="1"/>
  <c r="G294" i="2"/>
  <c r="AA294" i="2"/>
  <c r="AI294" i="2" s="1"/>
  <c r="G298" i="2"/>
  <c r="AA298" i="2"/>
  <c r="AI298" i="2" s="1"/>
  <c r="G309" i="2"/>
  <c r="AA309" i="2"/>
  <c r="AM309" i="2" s="1"/>
  <c r="G334" i="2"/>
  <c r="AA334" i="2"/>
  <c r="AI334" i="2" s="1"/>
  <c r="G360" i="2"/>
  <c r="AA360" i="2"/>
  <c r="G362" i="2"/>
  <c r="AA362" i="2"/>
  <c r="AI362" i="2" s="1"/>
  <c r="G381" i="2"/>
  <c r="AA381" i="2"/>
  <c r="AI381" i="2" s="1"/>
  <c r="G394" i="2"/>
  <c r="G396" i="2"/>
  <c r="G415" i="2"/>
  <c r="AA9" i="2"/>
  <c r="AI9" i="2" s="1"/>
  <c r="AK9" i="2" s="1"/>
  <c r="AJ56" i="2" s="1"/>
  <c r="J17" i="2"/>
  <c r="Y17" i="2" s="1"/>
  <c r="G199" i="2"/>
  <c r="G204" i="2"/>
  <c r="G209" i="2"/>
  <c r="G210" i="2"/>
  <c r="G211" i="2"/>
  <c r="G212" i="2"/>
  <c r="G213" i="2"/>
  <c r="G214" i="2"/>
  <c r="G215" i="2"/>
  <c r="G216" i="2"/>
  <c r="G217" i="2"/>
  <c r="G218" i="2"/>
  <c r="G219" i="2"/>
  <c r="G220" i="2"/>
  <c r="G221" i="2"/>
  <c r="G222" i="2"/>
  <c r="G223" i="2"/>
  <c r="G224" i="2"/>
  <c r="G225" i="2"/>
  <c r="G226" i="2"/>
  <c r="G247" i="2"/>
  <c r="AA247" i="2"/>
  <c r="AM247" i="2" s="1"/>
  <c r="AA264" i="2"/>
  <c r="AM264" i="2" s="1"/>
  <c r="G278" i="2"/>
  <c r="AA278" i="2"/>
  <c r="AM278" i="2" s="1"/>
  <c r="G284" i="2"/>
  <c r="AA284" i="2"/>
  <c r="AI284" i="2" s="1"/>
  <c r="G293" i="2"/>
  <c r="AA293" i="2"/>
  <c r="AM293" i="2" s="1"/>
  <c r="G308" i="2"/>
  <c r="AA308" i="2"/>
  <c r="AI308" i="2" s="1"/>
  <c r="G330" i="2"/>
  <c r="AA330" i="2"/>
  <c r="AI330" i="2" s="1"/>
  <c r="G333" i="2"/>
  <c r="AA333" i="2"/>
  <c r="AI333" i="2" s="1"/>
  <c r="G337" i="2"/>
  <c r="AA337" i="2"/>
  <c r="AI337" i="2" s="1"/>
  <c r="AA349" i="2"/>
  <c r="AI349" i="2" s="1"/>
  <c r="G384" i="2"/>
  <c r="AA384" i="2"/>
  <c r="AI384" i="2" s="1"/>
  <c r="AA514" i="2"/>
  <c r="AI514" i="2" s="1"/>
  <c r="G514" i="2"/>
  <c r="AA539" i="2"/>
  <c r="AI539" i="2" s="1"/>
  <c r="G539" i="2"/>
  <c r="AA12" i="2"/>
  <c r="AI12" i="2" s="1"/>
  <c r="AK12" i="2" s="1"/>
  <c r="AL12" i="2" s="1"/>
  <c r="AP5" i="2"/>
  <c r="J6" i="2"/>
  <c r="Y6" i="2" s="1"/>
  <c r="J7" i="2"/>
  <c r="G11" i="2"/>
  <c r="J14" i="2"/>
  <c r="L14" i="2" s="1"/>
  <c r="T14" i="2" s="1"/>
  <c r="J15" i="2"/>
  <c r="J24" i="2"/>
  <c r="L30" i="2"/>
  <c r="K77" i="2" s="1"/>
  <c r="G39" i="2"/>
  <c r="H89" i="2"/>
  <c r="AE89" i="2" s="1"/>
  <c r="J45" i="2"/>
  <c r="AE45" i="2"/>
  <c r="AG45" i="2" s="1"/>
  <c r="AF92" i="2" s="1"/>
  <c r="H93" i="2"/>
  <c r="H140" i="2" s="1"/>
  <c r="J50" i="2"/>
  <c r="AE50" i="2"/>
  <c r="AG50" i="2" s="1"/>
  <c r="AF97" i="2" s="1"/>
  <c r="G73" i="2"/>
  <c r="G74" i="2"/>
  <c r="G76" i="2"/>
  <c r="AA77" i="2"/>
  <c r="AI77" i="2" s="1"/>
  <c r="AA78" i="2"/>
  <c r="AI78" i="2" s="1"/>
  <c r="AA79" i="2"/>
  <c r="AI79" i="2" s="1"/>
  <c r="G81" i="2"/>
  <c r="G82" i="2"/>
  <c r="G83" i="2"/>
  <c r="AA85" i="2"/>
  <c r="AI85" i="2" s="1"/>
  <c r="AA88" i="2"/>
  <c r="AI88" i="2" s="1"/>
  <c r="AA89" i="2"/>
  <c r="AM89" i="2" s="1"/>
  <c r="G114" i="2"/>
  <c r="G129" i="2"/>
  <c r="G135" i="2"/>
  <c r="G154" i="2"/>
  <c r="G155" i="2"/>
  <c r="G161" i="2"/>
  <c r="G162" i="2"/>
  <c r="G166" i="2"/>
  <c r="G170" i="2"/>
  <c r="G175" i="2"/>
  <c r="G230" i="2"/>
  <c r="AA239" i="2"/>
  <c r="AI239" i="2" s="1"/>
  <c r="G243" i="2"/>
  <c r="G254" i="2"/>
  <c r="G256" i="2"/>
  <c r="AA259" i="2"/>
  <c r="AI259" i="2" s="1"/>
  <c r="AA260" i="2"/>
  <c r="AI260" i="2" s="1"/>
  <c r="G262" i="2"/>
  <c r="AA262" i="2"/>
  <c r="AI262" i="2" s="1"/>
  <c r="AA263" i="2"/>
  <c r="AI263" i="2" s="1"/>
  <c r="AA272" i="2"/>
  <c r="AM272" i="2" s="1"/>
  <c r="AA274" i="2"/>
  <c r="AI274" i="2" s="1"/>
  <c r="G276" i="2"/>
  <c r="G277" i="2"/>
  <c r="AA277" i="2"/>
  <c r="AI277" i="2" s="1"/>
  <c r="G281" i="2"/>
  <c r="AA281" i="2"/>
  <c r="AI281" i="2" s="1"/>
  <c r="AA287" i="2"/>
  <c r="AI287" i="2" s="1"/>
  <c r="G291" i="2"/>
  <c r="G292" i="2"/>
  <c r="AA292" i="2"/>
  <c r="AM292" i="2" s="1"/>
  <c r="G296" i="2"/>
  <c r="AA296" i="2"/>
  <c r="AM296" i="2" s="1"/>
  <c r="AA297" i="2"/>
  <c r="AI297" i="2" s="1"/>
  <c r="AA301" i="2"/>
  <c r="AM301" i="2" s="1"/>
  <c r="AA303" i="2"/>
  <c r="AM303" i="2" s="1"/>
  <c r="G310" i="2"/>
  <c r="G327" i="2"/>
  <c r="AA327" i="2"/>
  <c r="AM327" i="2" s="1"/>
  <c r="AA328" i="2"/>
  <c r="AI328" i="2" s="1"/>
  <c r="G336" i="2"/>
  <c r="AA336" i="2"/>
  <c r="AI336" i="2" s="1"/>
  <c r="G359" i="2"/>
  <c r="AA359" i="2"/>
  <c r="AI359" i="2" s="1"/>
  <c r="G361" i="2"/>
  <c r="AA361" i="2"/>
  <c r="AI361" i="2" s="1"/>
  <c r="G429" i="2"/>
  <c r="AA556" i="2"/>
  <c r="AM556" i="2" s="1"/>
  <c r="G556" i="2"/>
  <c r="G378" i="2"/>
  <c r="AA502" i="2"/>
  <c r="AM502" i="2" s="1"/>
  <c r="G502" i="2"/>
  <c r="AA533" i="2"/>
  <c r="AI533" i="2" s="1"/>
  <c r="G533" i="2"/>
  <c r="G249" i="2"/>
  <c r="G255" i="2"/>
  <c r="G257" i="2"/>
  <c r="G258" i="2"/>
  <c r="G265" i="2"/>
  <c r="G266" i="2"/>
  <c r="G273" i="2"/>
  <c r="G288" i="2"/>
  <c r="G289" i="2"/>
  <c r="G290" i="2"/>
  <c r="G302" i="2"/>
  <c r="G304" i="2"/>
  <c r="G305" i="2"/>
  <c r="G321" i="2"/>
  <c r="G331" i="2"/>
  <c r="G332" i="2"/>
  <c r="AA332" i="2"/>
  <c r="AM332" i="2" s="1"/>
  <c r="G339" i="2"/>
  <c r="G340" i="2"/>
  <c r="G341" i="2"/>
  <c r="G353" i="2"/>
  <c r="AA353" i="2"/>
  <c r="AI353" i="2" s="1"/>
  <c r="G356" i="2"/>
  <c r="G367" i="2"/>
  <c r="AA367" i="2"/>
  <c r="AI367" i="2" s="1"/>
  <c r="G377" i="2"/>
  <c r="AA377" i="2"/>
  <c r="AI377" i="2" s="1"/>
  <c r="G379" i="2"/>
  <c r="AA379" i="2"/>
  <c r="AI379" i="2" s="1"/>
  <c r="G383" i="2"/>
  <c r="AA383" i="2"/>
  <c r="AM383" i="2" s="1"/>
  <c r="AA509" i="2"/>
  <c r="AM509" i="2" s="1"/>
  <c r="G509" i="2"/>
  <c r="AA543" i="2"/>
  <c r="AI543" i="2" s="1"/>
  <c r="G543" i="2"/>
  <c r="AQ468" i="2"/>
  <c r="AQ374" i="2"/>
  <c r="AQ327" i="2"/>
  <c r="G508" i="2"/>
  <c r="G532" i="2"/>
  <c r="G538" i="2"/>
  <c r="G541" i="2"/>
  <c r="G542" i="2"/>
  <c r="G545" i="2"/>
  <c r="G546" i="2"/>
  <c r="G547" i="2"/>
  <c r="G548" i="2"/>
  <c r="G557" i="2"/>
  <c r="E45" i="7"/>
  <c r="G338" i="2"/>
  <c r="G344" i="2"/>
  <c r="G347" i="2"/>
  <c r="G348" i="2"/>
  <c r="G350" i="2"/>
  <c r="G357" i="2"/>
  <c r="G358" i="2"/>
  <c r="G365" i="2"/>
  <c r="G366" i="2"/>
  <c r="G368" i="2"/>
  <c r="G370" i="2"/>
  <c r="G398" i="2"/>
  <c r="G400" i="2"/>
  <c r="G402" i="2"/>
  <c r="G404" i="2"/>
  <c r="G406" i="2"/>
  <c r="G408" i="2"/>
  <c r="G410" i="2"/>
  <c r="G412" i="2"/>
  <c r="G414" i="2"/>
  <c r="G417" i="2"/>
  <c r="G420" i="2"/>
  <c r="G540" i="2"/>
  <c r="E39" i="7"/>
  <c r="E47" i="7"/>
  <c r="G363" i="2"/>
  <c r="G364" i="2"/>
  <c r="G369" i="2"/>
  <c r="G371" i="2"/>
  <c r="G372" i="2"/>
  <c r="G373" i="2"/>
  <c r="G374" i="2"/>
  <c r="G375" i="2"/>
  <c r="G380" i="2"/>
  <c r="E41" i="7"/>
  <c r="R40" i="2"/>
  <c r="O40" i="2"/>
  <c r="P40" i="2"/>
  <c r="O26" i="2"/>
  <c r="O29" i="2"/>
  <c r="O33" i="2"/>
  <c r="O44" i="2"/>
  <c r="O48" i="2"/>
  <c r="O6" i="2"/>
  <c r="P26" i="2"/>
  <c r="P29" i="2"/>
  <c r="P33" i="2"/>
  <c r="O37" i="2"/>
  <c r="O43" i="2"/>
  <c r="P48" i="2"/>
  <c r="P6" i="2"/>
  <c r="O10" i="2"/>
  <c r="O14" i="2"/>
  <c r="O23" i="2"/>
  <c r="Q29" i="2"/>
  <c r="P37" i="2"/>
  <c r="P43" i="2"/>
  <c r="AM262" i="2"/>
  <c r="AM194" i="2"/>
  <c r="AM381" i="2"/>
  <c r="AM250" i="2"/>
  <c r="AM192" i="2"/>
  <c r="AM378" i="2"/>
  <c r="AM208" i="2"/>
  <c r="AM322" i="2"/>
  <c r="AM165" i="2"/>
  <c r="AM265" i="2"/>
  <c r="AM269" i="2"/>
  <c r="AM380" i="2"/>
  <c r="AM106" i="2"/>
  <c r="AM294" i="2"/>
  <c r="AM310" i="2"/>
  <c r="AM357" i="2"/>
  <c r="AM267" i="2"/>
  <c r="AM7" i="2"/>
  <c r="AO101" i="2"/>
  <c r="AP54" i="2"/>
  <c r="AF56" i="2"/>
  <c r="AH9" i="2"/>
  <c r="AF58" i="2"/>
  <c r="AH11" i="2"/>
  <c r="AF59" i="2"/>
  <c r="AH12" i="2"/>
  <c r="Y13" i="2"/>
  <c r="L13" i="2"/>
  <c r="AF61" i="2"/>
  <c r="AH14" i="2"/>
  <c r="AF65" i="2"/>
  <c r="AH18" i="2"/>
  <c r="P20" i="2"/>
  <c r="Q20" i="2"/>
  <c r="AK22" i="2"/>
  <c r="P24" i="2"/>
  <c r="O24" i="2"/>
  <c r="R24" i="2"/>
  <c r="Q24" i="2"/>
  <c r="AH26" i="2"/>
  <c r="AF73" i="2"/>
  <c r="AF75" i="2"/>
  <c r="AH28" i="2"/>
  <c r="AC30" i="2"/>
  <c r="AD30" i="2" s="1"/>
  <c r="AM34" i="2"/>
  <c r="H130" i="2"/>
  <c r="J83" i="2"/>
  <c r="AE83" i="2"/>
  <c r="Q39" i="2"/>
  <c r="P39" i="2"/>
  <c r="O39" i="2"/>
  <c r="R39" i="2"/>
  <c r="AM40" i="2"/>
  <c r="AC43" i="2"/>
  <c r="Q45" i="2"/>
  <c r="P45" i="2"/>
  <c r="O45" i="2"/>
  <c r="R45" i="2"/>
  <c r="P7" i="2"/>
  <c r="O7" i="2"/>
  <c r="R7" i="2"/>
  <c r="Q7" i="2"/>
  <c r="AO103" i="2"/>
  <c r="AP56" i="2"/>
  <c r="Q12" i="2"/>
  <c r="P12" i="2"/>
  <c r="R12" i="2"/>
  <c r="O12" i="2"/>
  <c r="U14" i="2"/>
  <c r="P15" i="2"/>
  <c r="O15" i="2"/>
  <c r="Q15" i="2"/>
  <c r="R15" i="2"/>
  <c r="O18" i="2"/>
  <c r="R18" i="2"/>
  <c r="Q18" i="2"/>
  <c r="P18" i="2"/>
  <c r="P19" i="2"/>
  <c r="O19" i="2"/>
  <c r="R19" i="2"/>
  <c r="Q19" i="2"/>
  <c r="AF69" i="2"/>
  <c r="AH22" i="2"/>
  <c r="AF70" i="2"/>
  <c r="AH23" i="2"/>
  <c r="AF71" i="2"/>
  <c r="AH24" i="2"/>
  <c r="AH25" i="2"/>
  <c r="AF72" i="2"/>
  <c r="AF78" i="2"/>
  <c r="AH31" i="2"/>
  <c r="AF82" i="2"/>
  <c r="AH35" i="2"/>
  <c r="AI36" i="2"/>
  <c r="AK36" i="2" s="1"/>
  <c r="AI51" i="2"/>
  <c r="AI59" i="2"/>
  <c r="AO99" i="2"/>
  <c r="AP52" i="2"/>
  <c r="AO100" i="2"/>
  <c r="AP53" i="2"/>
  <c r="AF54" i="2"/>
  <c r="AH7" i="2"/>
  <c r="AF55" i="2"/>
  <c r="AH8" i="2"/>
  <c r="AF57" i="2"/>
  <c r="AH10" i="2"/>
  <c r="AO105" i="2"/>
  <c r="AP58" i="2"/>
  <c r="AF62" i="2"/>
  <c r="AH15" i="2"/>
  <c r="AF63" i="2"/>
  <c r="AH16" i="2"/>
  <c r="AF67" i="2"/>
  <c r="AH20" i="2"/>
  <c r="Y21" i="2"/>
  <c r="L21" i="2"/>
  <c r="AF79" i="2"/>
  <c r="Y34" i="2"/>
  <c r="L34" i="2"/>
  <c r="Y38" i="2"/>
  <c r="L38" i="2"/>
  <c r="AF86" i="2"/>
  <c r="AH39" i="2"/>
  <c r="R42" i="2"/>
  <c r="Q42" i="2"/>
  <c r="P42" i="2"/>
  <c r="O42" i="2"/>
  <c r="Y47" i="2"/>
  <c r="L47" i="2"/>
  <c r="Q50" i="2"/>
  <c r="P50" i="2"/>
  <c r="O50" i="2"/>
  <c r="R50" i="2"/>
  <c r="Q4" i="2"/>
  <c r="P4" i="2"/>
  <c r="O4" i="2"/>
  <c r="R4" i="2"/>
  <c r="R8" i="2"/>
  <c r="P8" i="2"/>
  <c r="Q8" i="2"/>
  <c r="O8" i="2"/>
  <c r="AO102" i="2"/>
  <c r="AP55" i="2"/>
  <c r="AL9" i="2"/>
  <c r="Q11" i="2"/>
  <c r="P11" i="2"/>
  <c r="O11" i="2"/>
  <c r="R11" i="2"/>
  <c r="AF64" i="2"/>
  <c r="AH17" i="2"/>
  <c r="AC20" i="2"/>
  <c r="AD20" i="2" s="1"/>
  <c r="AI21" i="2"/>
  <c r="AK21" i="2" s="1"/>
  <c r="Q21" i="2"/>
  <c r="P21" i="2"/>
  <c r="O21" i="2"/>
  <c r="R21" i="2"/>
  <c r="AF74" i="2"/>
  <c r="AH27" i="2"/>
  <c r="Q32" i="2"/>
  <c r="P32" i="2"/>
  <c r="O32" i="2"/>
  <c r="R32" i="2"/>
  <c r="Q36" i="2"/>
  <c r="P36" i="2"/>
  <c r="O36" i="2"/>
  <c r="R36" i="2"/>
  <c r="W40" i="2"/>
  <c r="AM45" i="2"/>
  <c r="K93" i="2"/>
  <c r="T46" i="2"/>
  <c r="W46" i="2"/>
  <c r="V46" i="2"/>
  <c r="U46" i="2"/>
  <c r="AE4" i="2"/>
  <c r="AG4" i="2" s="1"/>
  <c r="AP4" i="2"/>
  <c r="J5" i="2"/>
  <c r="J4" i="2"/>
  <c r="P5" i="2"/>
  <c r="G6" i="2"/>
  <c r="AR6" i="2" s="1"/>
  <c r="Q6" i="2"/>
  <c r="AT6" i="2"/>
  <c r="AP7" i="2"/>
  <c r="J8" i="2"/>
  <c r="P9" i="2"/>
  <c r="AC9" i="2"/>
  <c r="AD9" i="2" s="1"/>
  <c r="AM9" i="2"/>
  <c r="G10" i="2"/>
  <c r="Q10" i="2"/>
  <c r="AT10" i="2"/>
  <c r="AP11" i="2"/>
  <c r="J12" i="2"/>
  <c r="P13" i="2"/>
  <c r="G14" i="2"/>
  <c r="Q14" i="2"/>
  <c r="AT14" i="2"/>
  <c r="J16" i="2"/>
  <c r="O16" i="2"/>
  <c r="P17" i="2"/>
  <c r="G18" i="2"/>
  <c r="AT20" i="2"/>
  <c r="AE21" i="2"/>
  <c r="AG21" i="2" s="1"/>
  <c r="J22" i="2"/>
  <c r="O22" i="2"/>
  <c r="P23" i="2"/>
  <c r="G24" i="2"/>
  <c r="J25" i="2"/>
  <c r="O25" i="2"/>
  <c r="G26" i="2"/>
  <c r="Q26" i="2"/>
  <c r="J27" i="2"/>
  <c r="O27" i="2"/>
  <c r="G29" i="2"/>
  <c r="V29" i="2"/>
  <c r="G30" i="2"/>
  <c r="Q30" i="2"/>
  <c r="J31" i="2"/>
  <c r="O31" i="2"/>
  <c r="V32" i="2"/>
  <c r="G33" i="2"/>
  <c r="Q33" i="2"/>
  <c r="AE33" i="2"/>
  <c r="AG33" i="2" s="1"/>
  <c r="P34" i="2"/>
  <c r="J35" i="2"/>
  <c r="O35" i="2"/>
  <c r="G37" i="2"/>
  <c r="Q37" i="2"/>
  <c r="AE37" i="2"/>
  <c r="AG37" i="2" s="1"/>
  <c r="P38" i="2"/>
  <c r="G40" i="2"/>
  <c r="Q40" i="2"/>
  <c r="AE40" i="2"/>
  <c r="AG40" i="2" s="1"/>
  <c r="P41" i="2"/>
  <c r="J42" i="2"/>
  <c r="G43" i="2"/>
  <c r="Q43" i="2"/>
  <c r="AE43" i="2"/>
  <c r="AG43" i="2" s="1"/>
  <c r="P44" i="2"/>
  <c r="G46" i="2"/>
  <c r="Q46" i="2"/>
  <c r="Y46" i="2"/>
  <c r="AE46" i="2"/>
  <c r="AG46" i="2" s="1"/>
  <c r="P47" i="2"/>
  <c r="G48" i="2"/>
  <c r="Q48" i="2"/>
  <c r="AE48" i="2"/>
  <c r="AG48" i="2" s="1"/>
  <c r="P49" i="2"/>
  <c r="H72" i="2"/>
  <c r="H73" i="2"/>
  <c r="H74" i="2"/>
  <c r="H78" i="2"/>
  <c r="H82" i="2"/>
  <c r="R5" i="2"/>
  <c r="AE5" i="2"/>
  <c r="AG5" i="2" s="1"/>
  <c r="J9" i="2"/>
  <c r="O9" i="2"/>
  <c r="U11" i="2"/>
  <c r="O13" i="2"/>
  <c r="Q5" i="2"/>
  <c r="AE6" i="2"/>
  <c r="AG6" i="2" s="1"/>
  <c r="G9" i="2"/>
  <c r="AR9" i="2" s="1"/>
  <c r="Q9" i="2"/>
  <c r="G13" i="2"/>
  <c r="Q13" i="2"/>
  <c r="P16" i="2"/>
  <c r="AC16" i="2"/>
  <c r="AD16" i="2" s="1"/>
  <c r="Q17" i="2"/>
  <c r="AT18" i="2"/>
  <c r="J20" i="2"/>
  <c r="P22" i="2"/>
  <c r="G23" i="2"/>
  <c r="Q23" i="2"/>
  <c r="P25" i="2"/>
  <c r="P27" i="2"/>
  <c r="W29" i="2"/>
  <c r="AE30" i="2"/>
  <c r="AG30" i="2" s="1"/>
  <c r="P31" i="2"/>
  <c r="G34" i="2"/>
  <c r="Q34" i="2"/>
  <c r="AE34" i="2"/>
  <c r="AG34" i="2" s="1"/>
  <c r="P35" i="2"/>
  <c r="G38" i="2"/>
  <c r="Q38" i="2"/>
  <c r="AE38" i="2"/>
  <c r="AG38" i="2" s="1"/>
  <c r="G41" i="2"/>
  <c r="Q41" i="2"/>
  <c r="AE41" i="2"/>
  <c r="AG41" i="2" s="1"/>
  <c r="G44" i="2"/>
  <c r="Q44" i="2"/>
  <c r="AE44" i="2"/>
  <c r="AG44" i="2" s="1"/>
  <c r="AO44" i="2"/>
  <c r="G47" i="2"/>
  <c r="Q47" i="2"/>
  <c r="AE95" i="2"/>
  <c r="G49" i="2"/>
  <c r="Q49" i="2"/>
  <c r="AE49" i="2"/>
  <c r="AG49" i="2" s="1"/>
  <c r="G51" i="2"/>
  <c r="G52" i="2"/>
  <c r="G53" i="2"/>
  <c r="G54" i="2"/>
  <c r="G55" i="2"/>
  <c r="G56" i="2"/>
  <c r="G57" i="2"/>
  <c r="G58" i="2"/>
  <c r="G59" i="2"/>
  <c r="G60" i="2"/>
  <c r="G61" i="2"/>
  <c r="G62" i="2"/>
  <c r="G63" i="2"/>
  <c r="G64" i="2"/>
  <c r="G65" i="2"/>
  <c r="G66" i="2"/>
  <c r="G67" i="2"/>
  <c r="G68" i="2"/>
  <c r="G69" i="2"/>
  <c r="G70" i="2"/>
  <c r="G71" i="2"/>
  <c r="H76" i="2"/>
  <c r="H81" i="2"/>
  <c r="H85" i="2"/>
  <c r="AE13" i="2"/>
  <c r="AG13" i="2" s="1"/>
  <c r="Q16" i="2"/>
  <c r="Q22" i="2"/>
  <c r="Q25" i="2"/>
  <c r="Q27" i="2"/>
  <c r="T29" i="2"/>
  <c r="Q31" i="2"/>
  <c r="Q35" i="2"/>
  <c r="W37" i="2"/>
  <c r="H135" i="2"/>
  <c r="J88" i="2"/>
  <c r="AE88" i="2"/>
  <c r="R41" i="2"/>
  <c r="AE42" i="2"/>
  <c r="AG42" i="2" s="1"/>
  <c r="R47" i="2"/>
  <c r="AE47" i="2"/>
  <c r="AG47" i="2" s="1"/>
  <c r="AO47" i="2"/>
  <c r="R49" i="2"/>
  <c r="H54" i="2"/>
  <c r="H55" i="2"/>
  <c r="H56" i="2"/>
  <c r="H57" i="2"/>
  <c r="H58" i="2"/>
  <c r="H59" i="2"/>
  <c r="H60" i="2"/>
  <c r="H61" i="2"/>
  <c r="H62" i="2"/>
  <c r="H63" i="2"/>
  <c r="H64" i="2"/>
  <c r="H65" i="2"/>
  <c r="H112" i="2" s="1"/>
  <c r="H66" i="2"/>
  <c r="H113" i="2" s="1"/>
  <c r="H67" i="2"/>
  <c r="H114" i="2" s="1"/>
  <c r="H68" i="2"/>
  <c r="H115" i="2" s="1"/>
  <c r="H69" i="2"/>
  <c r="H116" i="2" s="1"/>
  <c r="H70" i="2"/>
  <c r="H117" i="2" s="1"/>
  <c r="H71" i="2"/>
  <c r="AA76" i="2"/>
  <c r="AP8" i="2"/>
  <c r="U29" i="2"/>
  <c r="J41" i="2"/>
  <c r="J89" i="2"/>
  <c r="J44" i="2"/>
  <c r="J49" i="2"/>
  <c r="AO51" i="2"/>
  <c r="AA113" i="2"/>
  <c r="AA114" i="2"/>
  <c r="G112" i="2"/>
  <c r="AA117" i="2"/>
  <c r="G117" i="2"/>
  <c r="AI91" i="2"/>
  <c r="AI100" i="2"/>
  <c r="AI101" i="2"/>
  <c r="AI106" i="2"/>
  <c r="AI107" i="2"/>
  <c r="G115" i="2"/>
  <c r="AA116" i="2"/>
  <c r="G116" i="2"/>
  <c r="AI119" i="2"/>
  <c r="G128" i="2"/>
  <c r="AI128" i="2"/>
  <c r="G132" i="2"/>
  <c r="G134" i="2"/>
  <c r="G137" i="2"/>
  <c r="AI137" i="2"/>
  <c r="G139" i="2"/>
  <c r="G140" i="2"/>
  <c r="G143" i="2"/>
  <c r="G144" i="2"/>
  <c r="G159" i="2"/>
  <c r="G164" i="2"/>
  <c r="G168" i="2"/>
  <c r="G172" i="2"/>
  <c r="AM175" i="2"/>
  <c r="AM193" i="2"/>
  <c r="G118" i="2"/>
  <c r="G119" i="2"/>
  <c r="G120" i="2"/>
  <c r="G121" i="2"/>
  <c r="G122" i="2"/>
  <c r="G123" i="2"/>
  <c r="G124" i="2"/>
  <c r="G125" i="2"/>
  <c r="G126" i="2"/>
  <c r="G127" i="2"/>
  <c r="G131" i="2"/>
  <c r="G136" i="2"/>
  <c r="G145" i="2"/>
  <c r="G146" i="2"/>
  <c r="G147" i="2"/>
  <c r="G148" i="2"/>
  <c r="G149" i="2"/>
  <c r="G150" i="2"/>
  <c r="G151" i="2"/>
  <c r="G152" i="2"/>
  <c r="G153" i="2"/>
  <c r="G160" i="2"/>
  <c r="G165" i="2"/>
  <c r="G169" i="2"/>
  <c r="AI173" i="2"/>
  <c r="G174" i="2"/>
  <c r="AI193" i="2"/>
  <c r="AM289" i="2"/>
  <c r="G173" i="2"/>
  <c r="AI187" i="2"/>
  <c r="G246" i="2"/>
  <c r="AA246" i="2"/>
  <c r="AM251" i="2"/>
  <c r="AM281" i="2"/>
  <c r="AI142" i="2"/>
  <c r="AI152" i="2"/>
  <c r="AI153" i="2"/>
  <c r="AI161" i="2"/>
  <c r="AI164" i="2"/>
  <c r="AI169" i="2"/>
  <c r="AI200" i="2"/>
  <c r="AI208" i="2"/>
  <c r="AI210" i="2"/>
  <c r="AI299" i="2"/>
  <c r="AI314" i="2"/>
  <c r="AI327" i="2"/>
  <c r="AI184" i="2"/>
  <c r="AI186" i="2"/>
  <c r="AM254" i="2"/>
  <c r="AM216" i="2"/>
  <c r="AI218" i="2"/>
  <c r="AI225" i="2"/>
  <c r="AI231" i="2"/>
  <c r="AM231" i="2"/>
  <c r="AI232" i="2"/>
  <c r="AM232" i="2"/>
  <c r="AI233" i="2"/>
  <c r="AM233" i="2"/>
  <c r="AI234" i="2"/>
  <c r="AM234" i="2"/>
  <c r="AI235" i="2"/>
  <c r="AM235" i="2"/>
  <c r="AM237" i="2"/>
  <c r="AM242" i="2"/>
  <c r="AI315" i="2"/>
  <c r="AM319" i="2"/>
  <c r="G324" i="2"/>
  <c r="AA324" i="2"/>
  <c r="G325" i="2"/>
  <c r="AM360" i="2"/>
  <c r="AI360" i="2"/>
  <c r="AM374" i="2"/>
  <c r="AI374" i="2"/>
  <c r="G250" i="2"/>
  <c r="G252" i="2"/>
  <c r="AI320" i="2"/>
  <c r="AM379" i="2"/>
  <c r="AA386" i="2"/>
  <c r="G386" i="2"/>
  <c r="AA390" i="2"/>
  <c r="G390" i="2"/>
  <c r="G245" i="2"/>
  <c r="AA248" i="2"/>
  <c r="G253" i="2"/>
  <c r="AI264" i="2"/>
  <c r="AI285" i="2"/>
  <c r="AI292" i="2"/>
  <c r="AI309" i="2"/>
  <c r="AM358" i="2"/>
  <c r="G312" i="2"/>
  <c r="G313" i="2"/>
  <c r="G314" i="2"/>
  <c r="G315" i="2"/>
  <c r="G316" i="2"/>
  <c r="G317" i="2"/>
  <c r="G318" i="2"/>
  <c r="G319" i="2"/>
  <c r="G320" i="2"/>
  <c r="AA321" i="2"/>
  <c r="AI415" i="2"/>
  <c r="AA443" i="2"/>
  <c r="G443" i="2"/>
  <c r="G322" i="2"/>
  <c r="G323" i="2"/>
  <c r="AA432" i="2"/>
  <c r="G432" i="2"/>
  <c r="AA387" i="2"/>
  <c r="AA391" i="2"/>
  <c r="AM414" i="2"/>
  <c r="AA438" i="2"/>
  <c r="G438" i="2"/>
  <c r="AA493" i="2"/>
  <c r="G493" i="2"/>
  <c r="AA388" i="2"/>
  <c r="AI395" i="2"/>
  <c r="AI422" i="2"/>
  <c r="AA441" i="2"/>
  <c r="G441" i="2"/>
  <c r="AA480" i="2"/>
  <c r="G480" i="2"/>
  <c r="AA497" i="2"/>
  <c r="G497" i="2"/>
  <c r="AA385" i="2"/>
  <c r="G387" i="2"/>
  <c r="AA389" i="2"/>
  <c r="G391" i="2"/>
  <c r="AI399" i="2"/>
  <c r="AI407" i="2"/>
  <c r="AI416" i="2"/>
  <c r="AM421" i="2"/>
  <c r="AA428" i="2"/>
  <c r="AA430" i="2"/>
  <c r="AA435" i="2"/>
  <c r="G435" i="2"/>
  <c r="AA445" i="2"/>
  <c r="G445" i="2"/>
  <c r="AA447" i="2"/>
  <c r="G447" i="2"/>
  <c r="AA449" i="2"/>
  <c r="G449" i="2"/>
  <c r="AA451" i="2"/>
  <c r="G451" i="2"/>
  <c r="AA453" i="2"/>
  <c r="G453" i="2"/>
  <c r="AA455" i="2"/>
  <c r="G455" i="2"/>
  <c r="AA457" i="2"/>
  <c r="G457" i="2"/>
  <c r="AA459" i="2"/>
  <c r="G459" i="2"/>
  <c r="AA461" i="2"/>
  <c r="G461" i="2"/>
  <c r="AA473" i="2"/>
  <c r="G473" i="2"/>
  <c r="AA476" i="2"/>
  <c r="G476" i="2"/>
  <c r="AA483" i="2"/>
  <c r="G483" i="2"/>
  <c r="AA486" i="2"/>
  <c r="G486" i="2"/>
  <c r="G425" i="2"/>
  <c r="AA426" i="2"/>
  <c r="AA434" i="2"/>
  <c r="G434" i="2"/>
  <c r="AA437" i="2"/>
  <c r="G437" i="2"/>
  <c r="AA440" i="2"/>
  <c r="G440" i="2"/>
  <c r="AA442" i="2"/>
  <c r="G442" i="2"/>
  <c r="AA491" i="2"/>
  <c r="G491" i="2"/>
  <c r="AA495" i="2"/>
  <c r="G495" i="2"/>
  <c r="G499" i="2"/>
  <c r="AA499" i="2"/>
  <c r="AA427" i="2"/>
  <c r="AA429" i="2"/>
  <c r="AA431" i="2"/>
  <c r="AA433" i="2"/>
  <c r="G433" i="2"/>
  <c r="AA436" i="2"/>
  <c r="G436" i="2"/>
  <c r="AA439" i="2"/>
  <c r="G439" i="2"/>
  <c r="AA444" i="2"/>
  <c r="G444" i="2"/>
  <c r="AA446" i="2"/>
  <c r="G446" i="2"/>
  <c r="AA448" i="2"/>
  <c r="G448" i="2"/>
  <c r="AA450" i="2"/>
  <c r="G450" i="2"/>
  <c r="AA452" i="2"/>
  <c r="G452" i="2"/>
  <c r="AA454" i="2"/>
  <c r="G454" i="2"/>
  <c r="AA456" i="2"/>
  <c r="G456" i="2"/>
  <c r="AA458" i="2"/>
  <c r="G458" i="2"/>
  <c r="AA460" i="2"/>
  <c r="G460" i="2"/>
  <c r="AA463" i="2"/>
  <c r="G463" i="2"/>
  <c r="AA466" i="2"/>
  <c r="G466" i="2"/>
  <c r="AA464" i="2"/>
  <c r="G464" i="2"/>
  <c r="AA472" i="2"/>
  <c r="G472" i="2"/>
  <c r="AA475" i="2"/>
  <c r="G475" i="2"/>
  <c r="AA479" i="2"/>
  <c r="G479" i="2"/>
  <c r="AA485" i="2"/>
  <c r="G485" i="2"/>
  <c r="AA488" i="2"/>
  <c r="G488" i="2"/>
  <c r="AA490" i="2"/>
  <c r="G490" i="2"/>
  <c r="AA462" i="2"/>
  <c r="AA467" i="2"/>
  <c r="G467" i="2"/>
  <c r="AA469" i="2"/>
  <c r="G469" i="2"/>
  <c r="AA474" i="2"/>
  <c r="G474" i="2"/>
  <c r="AA478" i="2"/>
  <c r="G478" i="2"/>
  <c r="AA482" i="2"/>
  <c r="G482" i="2"/>
  <c r="AA492" i="2"/>
  <c r="G492" i="2"/>
  <c r="AA494" i="2"/>
  <c r="G494" i="2"/>
  <c r="AA496" i="2"/>
  <c r="G496" i="2"/>
  <c r="AA498" i="2"/>
  <c r="G498" i="2"/>
  <c r="AA465" i="2"/>
  <c r="G465" i="2"/>
  <c r="AA468" i="2"/>
  <c r="G468" i="2"/>
  <c r="AA471" i="2"/>
  <c r="G471" i="2"/>
  <c r="AA477" i="2"/>
  <c r="G477" i="2"/>
  <c r="AA481" i="2"/>
  <c r="G481" i="2"/>
  <c r="AA484" i="2"/>
  <c r="G484" i="2"/>
  <c r="AA487" i="2"/>
  <c r="G487" i="2"/>
  <c r="AA489" i="2"/>
  <c r="G489" i="2"/>
  <c r="AM512" i="2"/>
  <c r="AI537" i="2"/>
  <c r="AI500" i="2"/>
  <c r="AI502" i="2"/>
  <c r="AM519" i="2"/>
  <c r="AI510" i="2"/>
  <c r="G516" i="2"/>
  <c r="AM518" i="2"/>
  <c r="G528" i="2"/>
  <c r="AA528" i="2"/>
  <c r="G515" i="2"/>
  <c r="AM541" i="2"/>
  <c r="AM557" i="2"/>
  <c r="AI532" i="2"/>
  <c r="AA562" i="2"/>
  <c r="G562" i="2"/>
  <c r="AA565" i="2"/>
  <c r="G565" i="2"/>
  <c r="AM559" i="2"/>
  <c r="AA551" i="2"/>
  <c r="G551" i="2"/>
  <c r="AQ562" i="2"/>
  <c r="F43" i="7"/>
  <c r="AA552" i="2"/>
  <c r="AA553" i="2"/>
  <c r="AM554" i="2"/>
  <c r="AI558" i="2"/>
  <c r="O45" i="6"/>
  <c r="D564" i="2" s="1"/>
  <c r="E564" i="2" s="1"/>
  <c r="K45" i="6"/>
  <c r="D376" i="2" s="1"/>
  <c r="E376" i="2" s="1"/>
  <c r="G45" i="6"/>
  <c r="D188" i="2" s="1"/>
  <c r="E188" i="2" s="1"/>
  <c r="N45" i="6"/>
  <c r="D517" i="2" s="1"/>
  <c r="E517" i="2" s="1"/>
  <c r="J45" i="6"/>
  <c r="D329" i="2" s="1"/>
  <c r="E329" i="2" s="1"/>
  <c r="F45" i="6"/>
  <c r="D141" i="2" s="1"/>
  <c r="E141" i="2" s="1"/>
  <c r="M45" i="6"/>
  <c r="D470" i="2" s="1"/>
  <c r="E470" i="2" s="1"/>
  <c r="I45" i="6"/>
  <c r="D282" i="2" s="1"/>
  <c r="E282" i="2" s="1"/>
  <c r="E45" i="6"/>
  <c r="D94" i="2" s="1"/>
  <c r="E94" i="2" s="1"/>
  <c r="L45" i="6"/>
  <c r="D423" i="2" s="1"/>
  <c r="E423" i="2" s="1"/>
  <c r="C45" i="8"/>
  <c r="AQ564" i="2"/>
  <c r="F45" i="7"/>
  <c r="AA566" i="2"/>
  <c r="G566" i="2"/>
  <c r="E32" i="7"/>
  <c r="E30" i="7"/>
  <c r="E28" i="7"/>
  <c r="E26" i="7"/>
  <c r="E24" i="7"/>
  <c r="E22" i="7"/>
  <c r="E20" i="7"/>
  <c r="E10" i="7"/>
  <c r="E17" i="7"/>
  <c r="E15" i="7"/>
  <c r="E12" i="7"/>
  <c r="E33" i="7"/>
  <c r="E31" i="7"/>
  <c r="E29" i="7"/>
  <c r="E27" i="7"/>
  <c r="E25" i="7"/>
  <c r="E23" i="7"/>
  <c r="E21" i="7"/>
  <c r="E19" i="7"/>
  <c r="E16" i="7"/>
  <c r="AQ566" i="2"/>
  <c r="F47" i="7"/>
  <c r="AM561" i="2"/>
  <c r="AA563" i="2"/>
  <c r="G563" i="2"/>
  <c r="AA567" i="2"/>
  <c r="G567" i="2"/>
  <c r="E35" i="7"/>
  <c r="E38" i="7"/>
  <c r="E40" i="7"/>
  <c r="E42" i="7"/>
  <c r="E44" i="7"/>
  <c r="E46" i="7"/>
  <c r="E48" i="7"/>
  <c r="E34" i="7"/>
  <c r="AM555" i="2" l="1"/>
  <c r="AI536" i="2"/>
  <c r="AM400" i="2"/>
  <c r="AI307" i="2"/>
  <c r="AI258" i="2"/>
  <c r="AI364" i="2"/>
  <c r="AM342" i="2"/>
  <c r="AI236" i="2"/>
  <c r="AI222" i="2"/>
  <c r="AM318" i="2"/>
  <c r="AI156" i="2"/>
  <c r="AI150" i="2"/>
  <c r="AI185" i="2"/>
  <c r="AM211" i="2"/>
  <c r="T37" i="2"/>
  <c r="H142" i="2"/>
  <c r="AE142" i="2" s="1"/>
  <c r="H144" i="2"/>
  <c r="AO30" i="2"/>
  <c r="AM69" i="2"/>
  <c r="AJ55" i="2"/>
  <c r="AK55" i="2" s="1"/>
  <c r="AL55" i="2" s="1"/>
  <c r="H131" i="2"/>
  <c r="AC41" i="2"/>
  <c r="AM98" i="2"/>
  <c r="AI547" i="2"/>
  <c r="AI523" i="2"/>
  <c r="AI511" i="2"/>
  <c r="AM405" i="2"/>
  <c r="AM420" i="2"/>
  <c r="AI369" i="2"/>
  <c r="AI219" i="2"/>
  <c r="AI167" i="2"/>
  <c r="AI155" i="2"/>
  <c r="AI135" i="2"/>
  <c r="AI103" i="2"/>
  <c r="AI89" i="2"/>
  <c r="AI115" i="2"/>
  <c r="AM27" i="2"/>
  <c r="AM49" i="2"/>
  <c r="AM33" i="2"/>
  <c r="AC24" i="2"/>
  <c r="AD24" i="2" s="1"/>
  <c r="J53" i="2"/>
  <c r="AE52" i="2"/>
  <c r="AM212" i="2"/>
  <c r="AI505" i="2"/>
  <c r="AM401" i="2"/>
  <c r="AI417" i="2"/>
  <c r="AI375" i="2"/>
  <c r="AI350" i="2"/>
  <c r="AM339" i="2"/>
  <c r="AI139" i="2"/>
  <c r="AM205" i="2"/>
  <c r="AI121" i="2"/>
  <c r="AC8" i="2"/>
  <c r="AD8" i="2" s="1"/>
  <c r="AI28" i="2"/>
  <c r="AK28" i="2" s="1"/>
  <c r="H98" i="2"/>
  <c r="AM55" i="2"/>
  <c r="AI73" i="2"/>
  <c r="AM38" i="2"/>
  <c r="AM373" i="2"/>
  <c r="AM331" i="2"/>
  <c r="AO97" i="2"/>
  <c r="J84" i="2"/>
  <c r="K66" i="2"/>
  <c r="AM180" i="2"/>
  <c r="R20" i="2"/>
  <c r="AM257" i="2"/>
  <c r="AM352" i="2"/>
  <c r="AI392" i="2"/>
  <c r="AI145" i="2"/>
  <c r="AI70" i="2"/>
  <c r="AC32" i="2"/>
  <c r="AM311" i="2"/>
  <c r="H134" i="2"/>
  <c r="AI546" i="2"/>
  <c r="AC35" i="2"/>
  <c r="W14" i="2"/>
  <c r="AM102" i="2"/>
  <c r="AI317" i="2"/>
  <c r="AM240" i="2"/>
  <c r="AI168" i="2"/>
  <c r="AI247" i="2"/>
  <c r="AI95" i="2"/>
  <c r="AM67" i="2"/>
  <c r="AM355" i="2"/>
  <c r="AM82" i="2"/>
  <c r="AM197" i="2"/>
  <c r="AI122" i="2"/>
  <c r="AH36" i="2"/>
  <c r="AM60" i="2"/>
  <c r="AL35" i="2"/>
  <c r="AM126" i="2"/>
  <c r="L26" i="2"/>
  <c r="W26" i="2" s="1"/>
  <c r="W11" i="2"/>
  <c r="Y40" i="2"/>
  <c r="AC27" i="2"/>
  <c r="AR4" i="2"/>
  <c r="AI63" i="2"/>
  <c r="AC49" i="2"/>
  <c r="AI45" i="2"/>
  <c r="AK45" i="2" s="1"/>
  <c r="AJ92" i="2" s="1"/>
  <c r="AK92" i="2" s="1"/>
  <c r="AL92" i="2" s="1"/>
  <c r="T40" i="2"/>
  <c r="AI33" i="2"/>
  <c r="AK33" i="2" s="1"/>
  <c r="AM24" i="2"/>
  <c r="AM20" i="2"/>
  <c r="H100" i="2"/>
  <c r="H147" i="2" s="1"/>
  <c r="AK27" i="2"/>
  <c r="AI57" i="2"/>
  <c r="AI54" i="2"/>
  <c r="AE80" i="2"/>
  <c r="AC18" i="2"/>
  <c r="AD18" i="2" s="1"/>
  <c r="AM74" i="2"/>
  <c r="AC47" i="2"/>
  <c r="AD47" i="2" s="1"/>
  <c r="AM43" i="2"/>
  <c r="AM41" i="2"/>
  <c r="AC38" i="2"/>
  <c r="AM30" i="2"/>
  <c r="V19" i="2"/>
  <c r="AM276" i="2"/>
  <c r="AM178" i="2"/>
  <c r="AM363" i="2"/>
  <c r="AM125" i="2"/>
  <c r="AM206" i="2"/>
  <c r="AM348" i="2"/>
  <c r="AM179" i="2"/>
  <c r="AM253" i="2"/>
  <c r="AM291" i="2"/>
  <c r="AM136" i="2"/>
  <c r="Y11" i="2"/>
  <c r="AI403" i="2"/>
  <c r="AM223" i="2"/>
  <c r="AI325" i="2"/>
  <c r="AM201" i="2"/>
  <c r="AI560" i="2"/>
  <c r="AI397" i="2"/>
  <c r="AI424" i="2"/>
  <c r="AM410" i="2"/>
  <c r="AI396" i="2"/>
  <c r="AI372" i="2"/>
  <c r="AI268" i="2"/>
  <c r="AM243" i="2"/>
  <c r="AM241" i="2"/>
  <c r="AI221" i="2"/>
  <c r="AI190" i="2"/>
  <c r="AM195" i="2"/>
  <c r="AM174" i="2"/>
  <c r="T32" i="2"/>
  <c r="V37" i="2"/>
  <c r="K58" i="2"/>
  <c r="U37" i="2"/>
  <c r="X37" i="2" s="1"/>
  <c r="V11" i="2"/>
  <c r="U40" i="2"/>
  <c r="K87" i="2"/>
  <c r="AC28" i="2"/>
  <c r="AB75" i="2" s="1"/>
  <c r="AE51" i="2"/>
  <c r="AI66" i="2"/>
  <c r="AM18" i="2"/>
  <c r="AI61" i="2"/>
  <c r="AI47" i="2"/>
  <c r="W19" i="2"/>
  <c r="AM306" i="2"/>
  <c r="AM81" i="2"/>
  <c r="AM170" i="2"/>
  <c r="AM8" i="2"/>
  <c r="AM131" i="2"/>
  <c r="AM305" i="2"/>
  <c r="Y32" i="2"/>
  <c r="AM199" i="2"/>
  <c r="AM530" i="2"/>
  <c r="AM515" i="2"/>
  <c r="AM501" i="2"/>
  <c r="AI204" i="2"/>
  <c r="AM207" i="2"/>
  <c r="AM189" i="2"/>
  <c r="AI132" i="2"/>
  <c r="W32" i="2"/>
  <c r="AE97" i="2"/>
  <c r="Y19" i="2"/>
  <c r="U19" i="2"/>
  <c r="AM365" i="2"/>
  <c r="AM522" i="2"/>
  <c r="AM346" i="2"/>
  <c r="AM344" i="2"/>
  <c r="AM526" i="2"/>
  <c r="U32" i="2"/>
  <c r="AM124" i="2"/>
  <c r="AM260" i="2"/>
  <c r="AM507" i="2"/>
  <c r="AM266" i="2"/>
  <c r="AI504" i="2"/>
  <c r="AI408" i="2"/>
  <c r="AI356" i="2"/>
  <c r="AM224" i="2"/>
  <c r="AI151" i="2"/>
  <c r="AI133" i="2"/>
  <c r="AI120" i="2"/>
  <c r="AI105" i="2"/>
  <c r="AC37" i="2"/>
  <c r="AB84" i="2" s="1"/>
  <c r="AM65" i="2"/>
  <c r="AL16" i="2"/>
  <c r="AM97" i="2"/>
  <c r="AI548" i="2"/>
  <c r="AI288" i="2"/>
  <c r="AI229" i="2"/>
  <c r="AI166" i="2"/>
  <c r="AI86" i="2"/>
  <c r="AB77" i="2"/>
  <c r="H137" i="2"/>
  <c r="AE87" i="2"/>
  <c r="AM16" i="2"/>
  <c r="S46" i="2"/>
  <c r="U48" i="2"/>
  <c r="AI6" i="2"/>
  <c r="AK6" i="2" s="1"/>
  <c r="AJ53" i="2" s="1"/>
  <c r="AM349" i="2"/>
  <c r="AI534" i="2"/>
  <c r="AM412" i="2"/>
  <c r="AI366" i="2"/>
  <c r="AM316" i="2"/>
  <c r="AM394" i="2"/>
  <c r="AM214" i="2"/>
  <c r="AI283" i="2"/>
  <c r="AI172" i="2"/>
  <c r="AI143" i="2"/>
  <c r="AI213" i="2"/>
  <c r="AM191" i="2"/>
  <c r="AI123" i="2"/>
  <c r="AI75" i="2"/>
  <c r="AE96" i="2"/>
  <c r="AC48" i="2"/>
  <c r="AB95" i="2" s="1"/>
  <c r="AL4" i="2"/>
  <c r="AM71" i="2"/>
  <c r="AM50" i="2"/>
  <c r="AI72" i="2"/>
  <c r="AK72" i="2" s="1"/>
  <c r="AL72" i="2" s="1"/>
  <c r="AI46" i="2"/>
  <c r="AK46" i="2" s="1"/>
  <c r="AJ93" i="2" s="1"/>
  <c r="AM90" i="2"/>
  <c r="AM370" i="2"/>
  <c r="AM92" i="2"/>
  <c r="AM252" i="2"/>
  <c r="AM371" i="2"/>
  <c r="L28" i="2"/>
  <c r="U28" i="2" s="1"/>
  <c r="AI549" i="2"/>
  <c r="AM545" i="2"/>
  <c r="AI524" i="2"/>
  <c r="AI411" i="2"/>
  <c r="AI419" i="2"/>
  <c r="AI406" i="2"/>
  <c r="AI398" i="2"/>
  <c r="AI275" i="2"/>
  <c r="AI312" i="2"/>
  <c r="AI230" i="2"/>
  <c r="AM220" i="2"/>
  <c r="AI198" i="2"/>
  <c r="AI160" i="2"/>
  <c r="AI148" i="2"/>
  <c r="AI203" i="2"/>
  <c r="AM176" i="2"/>
  <c r="AI134" i="2"/>
  <c r="AI110" i="2"/>
  <c r="AO46" i="2"/>
  <c r="AO93" i="2" s="1"/>
  <c r="AO37" i="2"/>
  <c r="AR8" i="2"/>
  <c r="J96" i="2"/>
  <c r="Y96" i="2" s="1"/>
  <c r="AO36" i="2"/>
  <c r="AO83" i="2" s="1"/>
  <c r="AM22" i="2"/>
  <c r="AO18" i="2"/>
  <c r="AP18" i="2" s="1"/>
  <c r="AI80" i="2"/>
  <c r="AO24" i="2"/>
  <c r="AO71" i="2" s="1"/>
  <c r="AM15" i="2"/>
  <c r="AM83" i="2"/>
  <c r="AM42" i="2"/>
  <c r="AM338" i="2"/>
  <c r="AM404" i="2"/>
  <c r="AM418" i="2"/>
  <c r="AM362" i="2"/>
  <c r="AI256" i="2"/>
  <c r="AI238" i="2"/>
  <c r="AI159" i="2"/>
  <c r="AI146" i="2"/>
  <c r="AI177" i="2"/>
  <c r="AI108" i="2"/>
  <c r="AO42" i="2"/>
  <c r="AO89" i="2" s="1"/>
  <c r="AO29" i="2"/>
  <c r="AP29" i="2" s="1"/>
  <c r="AO12" i="2"/>
  <c r="AO59" i="2" s="1"/>
  <c r="AO31" i="2"/>
  <c r="AO23" i="2"/>
  <c r="AO70" i="2" s="1"/>
  <c r="AM64" i="2"/>
  <c r="AM23" i="2"/>
  <c r="J75" i="2"/>
  <c r="AI53" i="2"/>
  <c r="AM508" i="2"/>
  <c r="AM183" i="2"/>
  <c r="AI144" i="2"/>
  <c r="AI96" i="2"/>
  <c r="AE90" i="2"/>
  <c r="Y48" i="2"/>
  <c r="L18" i="2"/>
  <c r="K65" i="2" s="1"/>
  <c r="AM37" i="2"/>
  <c r="T48" i="2"/>
  <c r="AI14" i="2"/>
  <c r="AK14" i="2" s="1"/>
  <c r="AI56" i="2"/>
  <c r="AK56" i="2" s="1"/>
  <c r="AL56" i="2" s="1"/>
  <c r="AM32" i="2"/>
  <c r="AM10" i="2"/>
  <c r="AM323" i="2"/>
  <c r="L33" i="2"/>
  <c r="V33" i="2" s="1"/>
  <c r="AA5" i="2"/>
  <c r="K95" i="2"/>
  <c r="AC14" i="2"/>
  <c r="AD14" i="2" s="1"/>
  <c r="AC6" i="2"/>
  <c r="AD6" i="2" s="1"/>
  <c r="AI10" i="2"/>
  <c r="AK10" i="2" s="1"/>
  <c r="AM540" i="2"/>
  <c r="AM525" i="2"/>
  <c r="AM304" i="2"/>
  <c r="AM516" i="2"/>
  <c r="AM367" i="2"/>
  <c r="AK82" i="2"/>
  <c r="AL82" i="2" s="1"/>
  <c r="AB65" i="2"/>
  <c r="AC65" i="2" s="1"/>
  <c r="AD65" i="2" s="1"/>
  <c r="AM514" i="2"/>
  <c r="AM154" i="2"/>
  <c r="AM521" i="2"/>
  <c r="AI402" i="2"/>
  <c r="AM313" i="2"/>
  <c r="AI335" i="2"/>
  <c r="AI382" i="2"/>
  <c r="AI345" i="2"/>
  <c r="AI249" i="2"/>
  <c r="AM239" i="2"/>
  <c r="AM227" i="2"/>
  <c r="AI163" i="2"/>
  <c r="AI149" i="2"/>
  <c r="AI109" i="2"/>
  <c r="AI87" i="2"/>
  <c r="W30" i="2"/>
  <c r="AR5" i="2"/>
  <c r="AM31" i="2"/>
  <c r="U30" i="2"/>
  <c r="H124" i="2"/>
  <c r="J124" i="2" s="1"/>
  <c r="AI26" i="2"/>
  <c r="AK26" i="2" s="1"/>
  <c r="AJ73" i="2" s="1"/>
  <c r="AI11" i="2"/>
  <c r="AK11" i="2" s="1"/>
  <c r="AJ58" i="2" s="1"/>
  <c r="AH50" i="2"/>
  <c r="AM506" i="2"/>
  <c r="AM261" i="2"/>
  <c r="AM538" i="2"/>
  <c r="AI556" i="2"/>
  <c r="AI550" i="2"/>
  <c r="AI303" i="2"/>
  <c r="AI280" i="2"/>
  <c r="AM226" i="2"/>
  <c r="AI162" i="2"/>
  <c r="AM111" i="2"/>
  <c r="T30" i="2"/>
  <c r="AM112" i="2"/>
  <c r="S30" i="2"/>
  <c r="S14" i="2"/>
  <c r="AR11" i="2"/>
  <c r="AI62" i="2"/>
  <c r="AC26" i="2"/>
  <c r="AC11" i="2"/>
  <c r="AD11" i="2" s="1"/>
  <c r="AI52" i="2"/>
  <c r="AM263" i="2"/>
  <c r="AM182" i="2"/>
  <c r="AM147" i="2"/>
  <c r="AM88" i="2"/>
  <c r="AM328" i="2"/>
  <c r="AI529" i="2"/>
  <c r="AI245" i="2"/>
  <c r="AI129" i="2"/>
  <c r="AI118" i="2"/>
  <c r="V30" i="2"/>
  <c r="AM35" i="2"/>
  <c r="AM542" i="2"/>
  <c r="AM259" i="2"/>
  <c r="AM77" i="2"/>
  <c r="AM290" i="2"/>
  <c r="AM544" i="2"/>
  <c r="AM25" i="2"/>
  <c r="AC22" i="2"/>
  <c r="AD22" i="2" s="1"/>
  <c r="AM48" i="2"/>
  <c r="AC39" i="2"/>
  <c r="AB86" i="2" s="1"/>
  <c r="AI23" i="2"/>
  <c r="AK23" i="2" s="1"/>
  <c r="AI15" i="2"/>
  <c r="AK15" i="2" s="1"/>
  <c r="AL15" i="2" s="1"/>
  <c r="H122" i="2"/>
  <c r="AE122" i="2" s="1"/>
  <c r="AI44" i="2"/>
  <c r="AC29" i="2"/>
  <c r="AI68" i="2"/>
  <c r="AI40" i="2"/>
  <c r="AK40" i="2" s="1"/>
  <c r="AJ87" i="2" s="1"/>
  <c r="AE79" i="2"/>
  <c r="AG79" i="2" s="1"/>
  <c r="AH79" i="2" s="1"/>
  <c r="AL25" i="2"/>
  <c r="AC7" i="2"/>
  <c r="AD7" i="2" s="1"/>
  <c r="AM4" i="2"/>
  <c r="AM513" i="2"/>
  <c r="AM273" i="2"/>
  <c r="AM140" i="2"/>
  <c r="AM361" i="2"/>
  <c r="AM127" i="2"/>
  <c r="AM130" i="2"/>
  <c r="AM255" i="2"/>
  <c r="AM297" i="2"/>
  <c r="AT5" i="2"/>
  <c r="E5" i="2"/>
  <c r="AM531" i="2"/>
  <c r="AI509" i="2"/>
  <c r="AI535" i="2"/>
  <c r="AM425" i="2"/>
  <c r="AI413" i="2"/>
  <c r="AI409" i="2"/>
  <c r="AI393" i="2"/>
  <c r="AM217" i="2"/>
  <c r="AM215" i="2"/>
  <c r="AI171" i="2"/>
  <c r="AI209" i="2"/>
  <c r="AI104" i="2"/>
  <c r="AI42" i="2"/>
  <c r="AK42" i="2" s="1"/>
  <c r="AL42" i="2" s="1"/>
  <c r="AC25" i="2"/>
  <c r="AD25" i="2" s="1"/>
  <c r="AM39" i="2"/>
  <c r="AC21" i="2"/>
  <c r="AD21" i="2" s="1"/>
  <c r="AI58" i="2"/>
  <c r="AC50" i="2"/>
  <c r="AB97" i="2" s="1"/>
  <c r="AM44" i="2"/>
  <c r="AC36" i="2"/>
  <c r="AM29" i="2"/>
  <c r="AC46" i="2"/>
  <c r="AD46" i="2" s="1"/>
  <c r="AI34" i="2"/>
  <c r="AK34" i="2" s="1"/>
  <c r="AJ81" i="2" s="1"/>
  <c r="AM326" i="2"/>
  <c r="AM340" i="2"/>
  <c r="AM520" i="2"/>
  <c r="AM202" i="2"/>
  <c r="AM347" i="2"/>
  <c r="AI270" i="2"/>
  <c r="J93" i="2"/>
  <c r="Y93" i="2" s="1"/>
  <c r="AC4" i="2"/>
  <c r="AD4" i="2" s="1"/>
  <c r="V43" i="2"/>
  <c r="AM341" i="2"/>
  <c r="AM274" i="2"/>
  <c r="AM527" i="2"/>
  <c r="AM302" i="2"/>
  <c r="AM368" i="2"/>
  <c r="AA19" i="2"/>
  <c r="E19" i="2"/>
  <c r="AK78" i="2"/>
  <c r="AL78" i="2" s="1"/>
  <c r="AA17" i="2"/>
  <c r="AM17" i="2" s="1"/>
  <c r="E17" i="2"/>
  <c r="AI332" i="2"/>
  <c r="AI301" i="2"/>
  <c r="AI293" i="2"/>
  <c r="AI138" i="2"/>
  <c r="AI99" i="2"/>
  <c r="H136" i="2"/>
  <c r="AO25" i="2"/>
  <c r="AO72" i="2" s="1"/>
  <c r="AO16" i="2"/>
  <c r="AO63" i="2" s="1"/>
  <c r="AO38" i="2"/>
  <c r="AO85" i="2" s="1"/>
  <c r="AO27" i="2"/>
  <c r="AO17" i="2"/>
  <c r="AO64" i="2" s="1"/>
  <c r="AE92" i="2"/>
  <c r="AG92" i="2" s="1"/>
  <c r="AO34" i="2"/>
  <c r="AO81" i="2" s="1"/>
  <c r="AC31" i="2"/>
  <c r="AO19" i="2"/>
  <c r="AO66" i="2" s="1"/>
  <c r="AR7" i="2"/>
  <c r="AM5" i="2"/>
  <c r="L10" i="2"/>
  <c r="J80" i="2"/>
  <c r="Y80" i="2" s="1"/>
  <c r="AM19" i="2"/>
  <c r="V14" i="2"/>
  <c r="X14" i="2" s="1"/>
  <c r="J52" i="2"/>
  <c r="AM158" i="2"/>
  <c r="AO48" i="2"/>
  <c r="AO95" i="2" s="1"/>
  <c r="AO21" i="2"/>
  <c r="AO68" i="2" s="1"/>
  <c r="AO49" i="2"/>
  <c r="AO13" i="2"/>
  <c r="AO60" i="2" s="1"/>
  <c r="AO26" i="2"/>
  <c r="AO73" i="2" s="1"/>
  <c r="AO14" i="2"/>
  <c r="AP14" i="2" s="1"/>
  <c r="AH29" i="2"/>
  <c r="AE77" i="2"/>
  <c r="AL31" i="2"/>
  <c r="AJ59" i="2"/>
  <c r="AK59" i="2" s="1"/>
  <c r="AL59" i="2" s="1"/>
  <c r="AM286" i="2"/>
  <c r="AM337" i="2"/>
  <c r="AM298" i="2"/>
  <c r="AM330" i="2"/>
  <c r="AI278" i="2"/>
  <c r="AO43" i="2"/>
  <c r="AO90" i="2" s="1"/>
  <c r="AO33" i="2"/>
  <c r="AO80" i="2" s="1"/>
  <c r="AO39" i="2"/>
  <c r="AO86" i="2" s="1"/>
  <c r="AO28" i="2"/>
  <c r="AO35" i="2"/>
  <c r="AP35" i="2" s="1"/>
  <c r="J92" i="2"/>
  <c r="Y92" i="2" s="1"/>
  <c r="AO41" i="2"/>
  <c r="AO88" i="2" s="1"/>
  <c r="AO10" i="2"/>
  <c r="AH19" i="2"/>
  <c r="AB61" i="2"/>
  <c r="AM244" i="2"/>
  <c r="AI181" i="2"/>
  <c r="AO40" i="2"/>
  <c r="AO87" i="2" s="1"/>
  <c r="AO15" i="2"/>
  <c r="AO62" i="2" s="1"/>
  <c r="AO45" i="2"/>
  <c r="AO92" i="2" s="1"/>
  <c r="AO32" i="2"/>
  <c r="AP32" i="2" s="1"/>
  <c r="AO22" i="2"/>
  <c r="AP22" i="2" s="1"/>
  <c r="S9" i="2"/>
  <c r="S37" i="2"/>
  <c r="AO20" i="2"/>
  <c r="AO67" i="2" s="1"/>
  <c r="G19" i="2"/>
  <c r="S10" i="2"/>
  <c r="AH45" i="2"/>
  <c r="AM377" i="2"/>
  <c r="AM308" i="2"/>
  <c r="AM384" i="2"/>
  <c r="AI295" i="2"/>
  <c r="AI93" i="2"/>
  <c r="AE91" i="2"/>
  <c r="T28" i="2"/>
  <c r="AI84" i="2"/>
  <c r="S48" i="2"/>
  <c r="Y43" i="2"/>
  <c r="AE86" i="2"/>
  <c r="AG86" i="2" s="1"/>
  <c r="AH86" i="2" s="1"/>
  <c r="L23" i="2"/>
  <c r="V23" i="2" s="1"/>
  <c r="L6" i="2"/>
  <c r="T6" i="2" s="1"/>
  <c r="W43" i="2"/>
  <c r="J79" i="2"/>
  <c r="L79" i="2" s="1"/>
  <c r="AM196" i="2"/>
  <c r="AM78" i="2"/>
  <c r="Y36" i="2"/>
  <c r="L36" i="2"/>
  <c r="AM503" i="2"/>
  <c r="AI383" i="2"/>
  <c r="AI354" i="2"/>
  <c r="AM228" i="2"/>
  <c r="AI296" i="2"/>
  <c r="AI157" i="2"/>
  <c r="J91" i="2"/>
  <c r="Y91" i="2" s="1"/>
  <c r="K75" i="2"/>
  <c r="W28" i="2"/>
  <c r="G17" i="2"/>
  <c r="S43" i="2"/>
  <c r="S40" i="2"/>
  <c r="J86" i="2"/>
  <c r="Y86" i="2" s="1"/>
  <c r="L17" i="2"/>
  <c r="AM13" i="2"/>
  <c r="T43" i="2"/>
  <c r="AL13" i="2"/>
  <c r="V48" i="2"/>
  <c r="K61" i="2"/>
  <c r="AM543" i="2"/>
  <c r="AM359" i="2"/>
  <c r="AM271" i="2"/>
  <c r="AM79" i="2"/>
  <c r="AM333" i="2"/>
  <c r="AM353" i="2"/>
  <c r="AM279" i="2"/>
  <c r="AM284" i="2"/>
  <c r="AM300" i="2"/>
  <c r="AM539" i="2"/>
  <c r="AM334" i="2"/>
  <c r="AM533" i="2"/>
  <c r="AI272" i="2"/>
  <c r="AT17" i="2"/>
  <c r="AG97" i="2"/>
  <c r="AH97" i="2" s="1"/>
  <c r="V28" i="2"/>
  <c r="Y14" i="2"/>
  <c r="AC13" i="2"/>
  <c r="AD13" i="2" s="1"/>
  <c r="U43" i="2"/>
  <c r="AG75" i="2"/>
  <c r="AH75" i="2" s="1"/>
  <c r="AM351" i="2"/>
  <c r="AM343" i="2"/>
  <c r="AM287" i="2"/>
  <c r="AM277" i="2"/>
  <c r="Y39" i="2"/>
  <c r="L39" i="2"/>
  <c r="AE93" i="2"/>
  <c r="F39" i="7"/>
  <c r="AQ417" i="2"/>
  <c r="AQ370" i="2"/>
  <c r="AQ511" i="2"/>
  <c r="AQ464" i="2"/>
  <c r="AQ41" i="2"/>
  <c r="AQ323" i="2"/>
  <c r="AQ276" i="2"/>
  <c r="AQ229" i="2"/>
  <c r="AQ135" i="2"/>
  <c r="AQ182" i="2"/>
  <c r="AQ558" i="2"/>
  <c r="AQ88" i="2"/>
  <c r="AQ470" i="2"/>
  <c r="AQ376" i="2"/>
  <c r="AQ517" i="2"/>
  <c r="AQ235" i="2"/>
  <c r="AQ423" i="2"/>
  <c r="AQ94" i="2"/>
  <c r="AQ282" i="2"/>
  <c r="AQ329" i="2"/>
  <c r="AQ188" i="2"/>
  <c r="AQ141" i="2"/>
  <c r="AQ47" i="2"/>
  <c r="Y50" i="2"/>
  <c r="L50" i="2"/>
  <c r="F41" i="7"/>
  <c r="AQ513" i="2"/>
  <c r="AQ466" i="2"/>
  <c r="AQ372" i="2"/>
  <c r="AQ560" i="2"/>
  <c r="AQ419" i="2"/>
  <c r="AQ325" i="2"/>
  <c r="AQ90" i="2"/>
  <c r="AQ43" i="2"/>
  <c r="AQ184" i="2"/>
  <c r="AQ231" i="2"/>
  <c r="AQ137" i="2"/>
  <c r="AQ278" i="2"/>
  <c r="Y24" i="2"/>
  <c r="L24" i="2"/>
  <c r="Y7" i="2"/>
  <c r="L7" i="2"/>
  <c r="AC12" i="2"/>
  <c r="AD12" i="2" s="1"/>
  <c r="AK63" i="2"/>
  <c r="AL63" i="2" s="1"/>
  <c r="AM85" i="2"/>
  <c r="AM336" i="2"/>
  <c r="Y15" i="2"/>
  <c r="L15" i="2"/>
  <c r="X32" i="2"/>
  <c r="S13" i="2"/>
  <c r="X46" i="2"/>
  <c r="S4" i="2"/>
  <c r="AM12" i="2"/>
  <c r="AQ425" i="2"/>
  <c r="AQ378" i="2"/>
  <c r="AQ519" i="2"/>
  <c r="AQ331" i="2"/>
  <c r="AQ190" i="2"/>
  <c r="AQ96" i="2"/>
  <c r="AQ49" i="2"/>
  <c r="AQ472" i="2"/>
  <c r="AQ284" i="2"/>
  <c r="AQ237" i="2"/>
  <c r="AQ143" i="2"/>
  <c r="Y45" i="2"/>
  <c r="L45" i="2"/>
  <c r="S49" i="2"/>
  <c r="S23" i="2"/>
  <c r="S6" i="2"/>
  <c r="S5" i="2"/>
  <c r="S11" i="2"/>
  <c r="S38" i="2"/>
  <c r="S47" i="2"/>
  <c r="S33" i="2"/>
  <c r="S26" i="2"/>
  <c r="S17" i="2"/>
  <c r="S44" i="2"/>
  <c r="S41" i="2"/>
  <c r="S34" i="2"/>
  <c r="S15" i="2"/>
  <c r="S29" i="2"/>
  <c r="H162" i="2"/>
  <c r="J115" i="2"/>
  <c r="AE115" i="2"/>
  <c r="F46" i="7"/>
  <c r="AQ565" i="2"/>
  <c r="AQ518" i="2"/>
  <c r="AQ471" i="2"/>
  <c r="AQ424" i="2"/>
  <c r="AQ377" i="2"/>
  <c r="AQ330" i="2"/>
  <c r="AQ283" i="2"/>
  <c r="AQ189" i="2"/>
  <c r="AQ142" i="2"/>
  <c r="AQ236" i="2"/>
  <c r="AQ95" i="2"/>
  <c r="AQ48" i="2"/>
  <c r="F38" i="7"/>
  <c r="AQ557" i="2"/>
  <c r="AQ510" i="2"/>
  <c r="AQ463" i="2"/>
  <c r="AQ416" i="2"/>
  <c r="AQ369" i="2"/>
  <c r="AQ322" i="2"/>
  <c r="AQ275" i="2"/>
  <c r="AQ134" i="2"/>
  <c r="AQ228" i="2"/>
  <c r="AQ181" i="2"/>
  <c r="AQ87" i="2"/>
  <c r="AQ40" i="2"/>
  <c r="AM567" i="2"/>
  <c r="AI567" i="2"/>
  <c r="F16" i="7"/>
  <c r="AQ535" i="2"/>
  <c r="AQ488" i="2"/>
  <c r="AQ441" i="2"/>
  <c r="AQ394" i="2"/>
  <c r="AQ347" i="2"/>
  <c r="AQ300" i="2"/>
  <c r="AQ253" i="2"/>
  <c r="AQ206" i="2"/>
  <c r="AQ159" i="2"/>
  <c r="AQ112" i="2"/>
  <c r="AQ18" i="2"/>
  <c r="AQ65" i="2"/>
  <c r="F25" i="7"/>
  <c r="AQ544" i="2"/>
  <c r="AQ497" i="2"/>
  <c r="AQ450" i="2"/>
  <c r="AQ403" i="2"/>
  <c r="AQ356" i="2"/>
  <c r="AQ309" i="2"/>
  <c r="AQ262" i="2"/>
  <c r="AQ168" i="2"/>
  <c r="AQ121" i="2"/>
  <c r="AQ215" i="2"/>
  <c r="AQ74" i="2"/>
  <c r="AQ27" i="2"/>
  <c r="F33" i="7"/>
  <c r="AQ552" i="2"/>
  <c r="AQ505" i="2"/>
  <c r="AQ458" i="2"/>
  <c r="AQ411" i="2"/>
  <c r="AQ364" i="2"/>
  <c r="AQ317" i="2"/>
  <c r="AQ270" i="2"/>
  <c r="AQ176" i="2"/>
  <c r="AQ129" i="2"/>
  <c r="AQ223" i="2"/>
  <c r="AQ82" i="2"/>
  <c r="AQ35" i="2"/>
  <c r="F10" i="7"/>
  <c r="AQ529" i="2"/>
  <c r="AQ482" i="2"/>
  <c r="AQ435" i="2"/>
  <c r="AQ341" i="2"/>
  <c r="AQ388" i="2"/>
  <c r="AQ294" i="2"/>
  <c r="AQ247" i="2"/>
  <c r="AQ200" i="2"/>
  <c r="AQ153" i="2"/>
  <c r="AQ106" i="2"/>
  <c r="AQ59" i="2"/>
  <c r="AQ12" i="2"/>
  <c r="F26" i="7"/>
  <c r="AQ545" i="2"/>
  <c r="AQ498" i="2"/>
  <c r="AQ451" i="2"/>
  <c r="AQ404" i="2"/>
  <c r="AQ357" i="2"/>
  <c r="AQ310" i="2"/>
  <c r="AQ263" i="2"/>
  <c r="AQ169" i="2"/>
  <c r="AQ122" i="2"/>
  <c r="AQ216" i="2"/>
  <c r="AQ75" i="2"/>
  <c r="AQ28" i="2"/>
  <c r="G282" i="2"/>
  <c r="AA282" i="2"/>
  <c r="G517" i="2"/>
  <c r="AA517" i="2"/>
  <c r="AI528" i="2"/>
  <c r="AM528" i="2"/>
  <c r="AM484" i="2"/>
  <c r="AI484" i="2"/>
  <c r="AM468" i="2"/>
  <c r="AI468" i="2"/>
  <c r="AM496" i="2"/>
  <c r="AI496" i="2"/>
  <c r="AM478" i="2"/>
  <c r="AI478" i="2"/>
  <c r="AM485" i="2"/>
  <c r="AI485" i="2"/>
  <c r="AM464" i="2"/>
  <c r="AI464" i="2"/>
  <c r="AM463" i="2"/>
  <c r="AI463" i="2"/>
  <c r="AM454" i="2"/>
  <c r="AI454" i="2"/>
  <c r="AM446" i="2"/>
  <c r="AI446" i="2"/>
  <c r="AM433" i="2"/>
  <c r="AI433" i="2"/>
  <c r="AM495" i="2"/>
  <c r="AI495" i="2"/>
  <c r="AM437" i="2"/>
  <c r="AI437" i="2"/>
  <c r="AI426" i="2"/>
  <c r="AM426" i="2"/>
  <c r="AM483" i="2"/>
  <c r="AI483" i="2"/>
  <c r="AM459" i="2"/>
  <c r="AI459" i="2"/>
  <c r="AM451" i="2"/>
  <c r="AI451" i="2"/>
  <c r="AM435" i="2"/>
  <c r="AI435" i="2"/>
  <c r="AM480" i="2"/>
  <c r="AI480" i="2"/>
  <c r="AM388" i="2"/>
  <c r="AI388" i="2"/>
  <c r="AM387" i="2"/>
  <c r="AI387" i="2"/>
  <c r="AM386" i="2"/>
  <c r="AI386" i="2"/>
  <c r="H221" i="2"/>
  <c r="AE174" i="2"/>
  <c r="J174" i="2"/>
  <c r="H161" i="2"/>
  <c r="AE114" i="2"/>
  <c r="J114" i="2"/>
  <c r="AM117" i="2"/>
  <c r="AI117" i="2"/>
  <c r="AI113" i="2"/>
  <c r="AM113" i="2"/>
  <c r="AO98" i="2"/>
  <c r="AP51" i="2"/>
  <c r="AR51" i="2" s="1"/>
  <c r="Y41" i="2"/>
  <c r="L41" i="2"/>
  <c r="H118" i="2"/>
  <c r="J71" i="2"/>
  <c r="AE71" i="2"/>
  <c r="AG71" i="2" s="1"/>
  <c r="AH71" i="2" s="1"/>
  <c r="J67" i="2"/>
  <c r="AE67" i="2"/>
  <c r="AG67" i="2" s="1"/>
  <c r="AH67" i="2" s="1"/>
  <c r="H110" i="2"/>
  <c r="J63" i="2"/>
  <c r="AE63" i="2"/>
  <c r="AG63" i="2" s="1"/>
  <c r="AH63" i="2" s="1"/>
  <c r="H106" i="2"/>
  <c r="J59" i="2"/>
  <c r="AE59" i="2"/>
  <c r="AG59" i="2" s="1"/>
  <c r="AH59" i="2" s="1"/>
  <c r="H102" i="2"/>
  <c r="J55" i="2"/>
  <c r="AE55" i="2"/>
  <c r="AG55" i="2" s="1"/>
  <c r="AH55" i="2" s="1"/>
  <c r="AO94" i="2"/>
  <c r="AP47" i="2"/>
  <c r="H185" i="2"/>
  <c r="J138" i="2"/>
  <c r="AE138" i="2"/>
  <c r="AP28" i="2"/>
  <c r="AO75" i="2"/>
  <c r="AF60" i="2"/>
  <c r="AH13" i="2"/>
  <c r="H132" i="2"/>
  <c r="J85" i="2"/>
  <c r="AE85" i="2"/>
  <c r="H128" i="2"/>
  <c r="J81" i="2"/>
  <c r="AE81" i="2"/>
  <c r="H123" i="2"/>
  <c r="AE76" i="2"/>
  <c r="AG76" i="2" s="1"/>
  <c r="AH76" i="2" s="1"/>
  <c r="J76" i="2"/>
  <c r="AF96" i="2"/>
  <c r="AG96" i="2" s="1"/>
  <c r="AH96" i="2" s="1"/>
  <c r="AH49" i="2"/>
  <c r="Y95" i="2"/>
  <c r="AO91" i="2"/>
  <c r="AP44" i="2"/>
  <c r="AF88" i="2"/>
  <c r="AH41" i="2"/>
  <c r="Y87" i="2"/>
  <c r="L87" i="2"/>
  <c r="K134" i="2" s="1"/>
  <c r="AF85" i="2"/>
  <c r="AH38" i="2"/>
  <c r="AO78" i="2"/>
  <c r="AP31" i="2"/>
  <c r="L20" i="2"/>
  <c r="Y20" i="2"/>
  <c r="AF52" i="2"/>
  <c r="AH5" i="2"/>
  <c r="H129" i="2"/>
  <c r="J82" i="2"/>
  <c r="AE82" i="2"/>
  <c r="AG82" i="2" s="1"/>
  <c r="AH82" i="2" s="1"/>
  <c r="H125" i="2"/>
  <c r="J78" i="2"/>
  <c r="AE78" i="2"/>
  <c r="AG78" i="2" s="1"/>
  <c r="AH78" i="2" s="1"/>
  <c r="J144" i="2"/>
  <c r="H191" i="2"/>
  <c r="AE144" i="2"/>
  <c r="AF90" i="2"/>
  <c r="AH43" i="2"/>
  <c r="AB89" i="2"/>
  <c r="AD42" i="2"/>
  <c r="AF87" i="2"/>
  <c r="AH40" i="2"/>
  <c r="S35" i="2"/>
  <c r="AF80" i="2"/>
  <c r="AH33" i="2"/>
  <c r="Y31" i="2"/>
  <c r="L31" i="2"/>
  <c r="S25" i="2"/>
  <c r="Y22" i="2"/>
  <c r="L22" i="2"/>
  <c r="T18" i="2"/>
  <c r="S16" i="2"/>
  <c r="AF51" i="2"/>
  <c r="AG51" i="2" s="1"/>
  <c r="AH51" i="2" s="1"/>
  <c r="AH4" i="2"/>
  <c r="AJ80" i="2"/>
  <c r="AL33" i="2"/>
  <c r="AJ70" i="2"/>
  <c r="AK70" i="2" s="1"/>
  <c r="AL70" i="2" s="1"/>
  <c r="AL23" i="2"/>
  <c r="AJ62" i="2"/>
  <c r="AK62" i="2" s="1"/>
  <c r="AL62" i="2" s="1"/>
  <c r="S8" i="2"/>
  <c r="Y77" i="2"/>
  <c r="L77" i="2"/>
  <c r="J122" i="2"/>
  <c r="AB63" i="2"/>
  <c r="AR52" i="2"/>
  <c r="AO144" i="2"/>
  <c r="AP97" i="2"/>
  <c r="AK51" i="2"/>
  <c r="AL51" i="2" s="1"/>
  <c r="AB91" i="2"/>
  <c r="AD44" i="2"/>
  <c r="J131" i="2"/>
  <c r="H178" i="2"/>
  <c r="AE131" i="2"/>
  <c r="AJ79" i="2"/>
  <c r="AK79" i="2" s="1"/>
  <c r="AL79" i="2" s="1"/>
  <c r="AL32" i="2"/>
  <c r="S12" i="2"/>
  <c r="AJ90" i="2"/>
  <c r="AK90" i="2" s="1"/>
  <c r="AL90" i="2" s="1"/>
  <c r="AL43" i="2"/>
  <c r="Y83" i="2"/>
  <c r="AJ50" i="2"/>
  <c r="AK50" i="2" s="1"/>
  <c r="AL50" i="2" s="1"/>
  <c r="AK30" i="2"/>
  <c r="AB62" i="2"/>
  <c r="AJ57" i="2"/>
  <c r="AK57" i="2" s="1"/>
  <c r="AL57" i="2" s="1"/>
  <c r="AL10" i="2"/>
  <c r="F44" i="7"/>
  <c r="AQ563" i="2"/>
  <c r="AQ516" i="2"/>
  <c r="AQ469" i="2"/>
  <c r="AQ422" i="2"/>
  <c r="AQ375" i="2"/>
  <c r="AQ328" i="2"/>
  <c r="AQ281" i="2"/>
  <c r="AQ140" i="2"/>
  <c r="AQ234" i="2"/>
  <c r="AQ187" i="2"/>
  <c r="AQ93" i="2"/>
  <c r="AQ46" i="2"/>
  <c r="F35" i="7"/>
  <c r="AQ554" i="2"/>
  <c r="AQ507" i="2"/>
  <c r="AQ460" i="2"/>
  <c r="AQ413" i="2"/>
  <c r="AQ366" i="2"/>
  <c r="AQ319" i="2"/>
  <c r="AQ272" i="2"/>
  <c r="AQ178" i="2"/>
  <c r="AQ131" i="2"/>
  <c r="AQ225" i="2"/>
  <c r="AQ84" i="2"/>
  <c r="AQ37" i="2"/>
  <c r="F19" i="7"/>
  <c r="AQ538" i="2"/>
  <c r="AQ491" i="2"/>
  <c r="AQ444" i="2"/>
  <c r="AQ397" i="2"/>
  <c r="AQ350" i="2"/>
  <c r="AQ303" i="2"/>
  <c r="AQ256" i="2"/>
  <c r="AQ209" i="2"/>
  <c r="AQ162" i="2"/>
  <c r="AQ115" i="2"/>
  <c r="AQ68" i="2"/>
  <c r="AQ21" i="2"/>
  <c r="F27" i="7"/>
  <c r="AQ546" i="2"/>
  <c r="AQ499" i="2"/>
  <c r="AQ452" i="2"/>
  <c r="AQ405" i="2"/>
  <c r="AQ358" i="2"/>
  <c r="AQ311" i="2"/>
  <c r="AQ264" i="2"/>
  <c r="AQ170" i="2"/>
  <c r="AQ123" i="2"/>
  <c r="AQ217" i="2"/>
  <c r="AQ76" i="2"/>
  <c r="AQ29" i="2"/>
  <c r="F12" i="7"/>
  <c r="AQ531" i="2"/>
  <c r="AQ484" i="2"/>
  <c r="AQ437" i="2"/>
  <c r="AQ343" i="2"/>
  <c r="AQ296" i="2"/>
  <c r="AQ249" i="2"/>
  <c r="AQ390" i="2"/>
  <c r="AQ202" i="2"/>
  <c r="AQ155" i="2"/>
  <c r="AQ108" i="2"/>
  <c r="AQ14" i="2"/>
  <c r="AQ61" i="2"/>
  <c r="F20" i="7"/>
  <c r="AQ539" i="2"/>
  <c r="AQ492" i="2"/>
  <c r="AQ445" i="2"/>
  <c r="AQ398" i="2"/>
  <c r="AQ351" i="2"/>
  <c r="AQ304" i="2"/>
  <c r="AQ257" i="2"/>
  <c r="AQ210" i="2"/>
  <c r="AQ163" i="2"/>
  <c r="AQ116" i="2"/>
  <c r="AQ69" i="2"/>
  <c r="AQ22" i="2"/>
  <c r="F28" i="7"/>
  <c r="AQ547" i="2"/>
  <c r="AQ500" i="2"/>
  <c r="AQ453" i="2"/>
  <c r="AQ406" i="2"/>
  <c r="AQ359" i="2"/>
  <c r="AQ312" i="2"/>
  <c r="AQ265" i="2"/>
  <c r="AQ171" i="2"/>
  <c r="AQ124" i="2"/>
  <c r="AQ218" i="2"/>
  <c r="AQ77" i="2"/>
  <c r="AQ30" i="2"/>
  <c r="AA470" i="2"/>
  <c r="G470" i="2"/>
  <c r="G188" i="2"/>
  <c r="AA188" i="2"/>
  <c r="AM553" i="2"/>
  <c r="AI553" i="2"/>
  <c r="AM552" i="2"/>
  <c r="AI552" i="2"/>
  <c r="AM551" i="2"/>
  <c r="AI551" i="2"/>
  <c r="AM562" i="2"/>
  <c r="AI562" i="2"/>
  <c r="AM487" i="2"/>
  <c r="AI487" i="2"/>
  <c r="AM471" i="2"/>
  <c r="AI471" i="2"/>
  <c r="AM498" i="2"/>
  <c r="AI498" i="2"/>
  <c r="AM482" i="2"/>
  <c r="AI482" i="2"/>
  <c r="AM467" i="2"/>
  <c r="AI467" i="2"/>
  <c r="AM488" i="2"/>
  <c r="AI488" i="2"/>
  <c r="AM472" i="2"/>
  <c r="AI472" i="2"/>
  <c r="AM466" i="2"/>
  <c r="AI466" i="2"/>
  <c r="AM456" i="2"/>
  <c r="AI456" i="2"/>
  <c r="AM448" i="2"/>
  <c r="AI448" i="2"/>
  <c r="AM436" i="2"/>
  <c r="AI436" i="2"/>
  <c r="AI431" i="2"/>
  <c r="AM431" i="2"/>
  <c r="AI427" i="2"/>
  <c r="AM427" i="2"/>
  <c r="AM440" i="2"/>
  <c r="AI440" i="2"/>
  <c r="AM486" i="2"/>
  <c r="AI486" i="2"/>
  <c r="AM461" i="2"/>
  <c r="AI461" i="2"/>
  <c r="AM453" i="2"/>
  <c r="AI453" i="2"/>
  <c r="AM445" i="2"/>
  <c r="AI445" i="2"/>
  <c r="AM430" i="2"/>
  <c r="AI430" i="2"/>
  <c r="AM385" i="2"/>
  <c r="AI385" i="2"/>
  <c r="AM497" i="2"/>
  <c r="AI497" i="2"/>
  <c r="AM390" i="2"/>
  <c r="AI390" i="2"/>
  <c r="AI246" i="2"/>
  <c r="AM246" i="2"/>
  <c r="H163" i="2"/>
  <c r="AE116" i="2"/>
  <c r="J116" i="2"/>
  <c r="H160" i="2"/>
  <c r="AE113" i="2"/>
  <c r="J113" i="2"/>
  <c r="AM76" i="2"/>
  <c r="AI76" i="2"/>
  <c r="J70" i="2"/>
  <c r="AE70" i="2"/>
  <c r="AG70" i="2" s="1"/>
  <c r="AH70" i="2" s="1"/>
  <c r="J66" i="2"/>
  <c r="AE66" i="2"/>
  <c r="AG66" i="2" s="1"/>
  <c r="AH66" i="2" s="1"/>
  <c r="H109" i="2"/>
  <c r="J62" i="2"/>
  <c r="AE62" i="2"/>
  <c r="AG62" i="2" s="1"/>
  <c r="AH62" i="2" s="1"/>
  <c r="H105" i="2"/>
  <c r="J58" i="2"/>
  <c r="AE58" i="2"/>
  <c r="AG58" i="2" s="1"/>
  <c r="AH58" i="2" s="1"/>
  <c r="H101" i="2"/>
  <c r="J54" i="2"/>
  <c r="AE54" i="2"/>
  <c r="AG54" i="2" s="1"/>
  <c r="AH54" i="2" s="1"/>
  <c r="AF94" i="2"/>
  <c r="AH47" i="2"/>
  <c r="Y88" i="2"/>
  <c r="AP25" i="2"/>
  <c r="H189" i="2"/>
  <c r="AF91" i="2"/>
  <c r="AH44" i="2"/>
  <c r="Y90" i="2"/>
  <c r="L90" i="2"/>
  <c r="K137" i="2" s="1"/>
  <c r="H181" i="2"/>
  <c r="J134" i="2"/>
  <c r="AE134" i="2"/>
  <c r="H121" i="2"/>
  <c r="AE74" i="2"/>
  <c r="AG74" i="2" s="1"/>
  <c r="AH74" i="2" s="1"/>
  <c r="J74" i="2"/>
  <c r="Y42" i="2"/>
  <c r="L42" i="2"/>
  <c r="AF84" i="2"/>
  <c r="AG84" i="2" s="1"/>
  <c r="AH84" i="2" s="1"/>
  <c r="AH37" i="2"/>
  <c r="Y35" i="2"/>
  <c r="L35" i="2"/>
  <c r="AO77" i="2"/>
  <c r="AP30" i="2"/>
  <c r="AB74" i="2"/>
  <c r="AD27" i="2"/>
  <c r="Y25" i="2"/>
  <c r="L25" i="2"/>
  <c r="AF68" i="2"/>
  <c r="AH21" i="2"/>
  <c r="Y16" i="2"/>
  <c r="L16" i="2"/>
  <c r="L8" i="2"/>
  <c r="Y8" i="2"/>
  <c r="AJ95" i="2"/>
  <c r="AL48" i="2"/>
  <c r="AJ84" i="2"/>
  <c r="AL37" i="2"/>
  <c r="AJ67" i="2"/>
  <c r="AK67" i="2" s="1"/>
  <c r="AL67" i="2" s="1"/>
  <c r="AL20" i="2"/>
  <c r="K85" i="2"/>
  <c r="W38" i="2"/>
  <c r="V38" i="2"/>
  <c r="U38" i="2"/>
  <c r="T38" i="2"/>
  <c r="H171" i="2"/>
  <c r="AJ74" i="2"/>
  <c r="AK74" i="2" s="1"/>
  <c r="AL74" i="2" s="1"/>
  <c r="AL27" i="2"/>
  <c r="AR58" i="2"/>
  <c r="AR53" i="2"/>
  <c r="AO146" i="2"/>
  <c r="AP99" i="2"/>
  <c r="AR99" i="2" s="1"/>
  <c r="AB83" i="2"/>
  <c r="AD36" i="2"/>
  <c r="AF129" i="2"/>
  <c r="J127" i="2"/>
  <c r="AE127" i="2"/>
  <c r="AK29" i="2"/>
  <c r="AJ49" i="2"/>
  <c r="AK49" i="2" s="1"/>
  <c r="AL49" i="2" s="1"/>
  <c r="AK18" i="2"/>
  <c r="AJ38" i="2"/>
  <c r="AR56" i="2"/>
  <c r="AG52" i="2"/>
  <c r="AH52" i="2" s="1"/>
  <c r="AK47" i="2"/>
  <c r="AL47" i="2" s="1"/>
  <c r="AB87" i="2"/>
  <c r="AD40" i="2"/>
  <c r="S39" i="2"/>
  <c r="H177" i="2"/>
  <c r="J130" i="2"/>
  <c r="AE130" i="2"/>
  <c r="AB81" i="2"/>
  <c r="AD34" i="2"/>
  <c r="H173" i="2"/>
  <c r="J126" i="2"/>
  <c r="AE126" i="2"/>
  <c r="AR54" i="2"/>
  <c r="F34" i="7"/>
  <c r="AQ553" i="2"/>
  <c r="AQ506" i="2"/>
  <c r="AQ459" i="2"/>
  <c r="AQ412" i="2"/>
  <c r="AQ365" i="2"/>
  <c r="AQ318" i="2"/>
  <c r="AQ271" i="2"/>
  <c r="AQ130" i="2"/>
  <c r="AQ224" i="2"/>
  <c r="AQ177" i="2"/>
  <c r="AQ83" i="2"/>
  <c r="AQ36" i="2"/>
  <c r="F42" i="7"/>
  <c r="AQ561" i="2"/>
  <c r="AQ514" i="2"/>
  <c r="AQ467" i="2"/>
  <c r="AQ420" i="2"/>
  <c r="AQ373" i="2"/>
  <c r="AQ326" i="2"/>
  <c r="AQ279" i="2"/>
  <c r="AQ138" i="2"/>
  <c r="AQ232" i="2"/>
  <c r="AQ185" i="2"/>
  <c r="AQ91" i="2"/>
  <c r="AQ44" i="2"/>
  <c r="F21" i="7"/>
  <c r="AQ540" i="2"/>
  <c r="AQ493" i="2"/>
  <c r="AQ446" i="2"/>
  <c r="AQ399" i="2"/>
  <c r="AQ352" i="2"/>
  <c r="AQ305" i="2"/>
  <c r="AQ258" i="2"/>
  <c r="AQ211" i="2"/>
  <c r="AQ164" i="2"/>
  <c r="AQ117" i="2"/>
  <c r="AQ23" i="2"/>
  <c r="AQ70" i="2"/>
  <c r="F29" i="7"/>
  <c r="AQ548" i="2"/>
  <c r="AQ501" i="2"/>
  <c r="AQ454" i="2"/>
  <c r="AQ407" i="2"/>
  <c r="AQ360" i="2"/>
  <c r="AQ313" i="2"/>
  <c r="AQ266" i="2"/>
  <c r="AQ172" i="2"/>
  <c r="AQ125" i="2"/>
  <c r="AQ219" i="2"/>
  <c r="AQ78" i="2"/>
  <c r="AQ31" i="2"/>
  <c r="F15" i="7"/>
  <c r="AQ534" i="2"/>
  <c r="AQ487" i="2"/>
  <c r="AQ440" i="2"/>
  <c r="AQ393" i="2"/>
  <c r="AQ346" i="2"/>
  <c r="AQ299" i="2"/>
  <c r="AQ252" i="2"/>
  <c r="AQ205" i="2"/>
  <c r="AQ158" i="2"/>
  <c r="AQ111" i="2"/>
  <c r="AQ17" i="2"/>
  <c r="AQ64" i="2"/>
  <c r="F22" i="7"/>
  <c r="AQ541" i="2"/>
  <c r="AQ494" i="2"/>
  <c r="AQ447" i="2"/>
  <c r="AQ400" i="2"/>
  <c r="AQ353" i="2"/>
  <c r="AQ306" i="2"/>
  <c r="AQ259" i="2"/>
  <c r="AQ212" i="2"/>
  <c r="AQ165" i="2"/>
  <c r="AQ118" i="2"/>
  <c r="AQ71" i="2"/>
  <c r="AQ24" i="2"/>
  <c r="F30" i="7"/>
  <c r="AQ549" i="2"/>
  <c r="AQ502" i="2"/>
  <c r="AQ455" i="2"/>
  <c r="AQ408" i="2"/>
  <c r="AQ361" i="2"/>
  <c r="AQ314" i="2"/>
  <c r="AQ267" i="2"/>
  <c r="AQ173" i="2"/>
  <c r="AQ126" i="2"/>
  <c r="AQ220" i="2"/>
  <c r="AQ79" i="2"/>
  <c r="AQ32" i="2"/>
  <c r="AM566" i="2"/>
  <c r="AI566" i="2"/>
  <c r="AA423" i="2"/>
  <c r="G423" i="2"/>
  <c r="AA141" i="2"/>
  <c r="G141" i="2"/>
  <c r="G376" i="2"/>
  <c r="AA376" i="2"/>
  <c r="AM565" i="2"/>
  <c r="AI565" i="2"/>
  <c r="AM489" i="2"/>
  <c r="AI489" i="2"/>
  <c r="AM477" i="2"/>
  <c r="AI477" i="2"/>
  <c r="AM492" i="2"/>
  <c r="AI492" i="2"/>
  <c r="AM469" i="2"/>
  <c r="AI469" i="2"/>
  <c r="AM490" i="2"/>
  <c r="AI490" i="2"/>
  <c r="AM475" i="2"/>
  <c r="AI475" i="2"/>
  <c r="AM458" i="2"/>
  <c r="AI458" i="2"/>
  <c r="AM450" i="2"/>
  <c r="AI450" i="2"/>
  <c r="AM439" i="2"/>
  <c r="AI439" i="2"/>
  <c r="AM442" i="2"/>
  <c r="AI442" i="2"/>
  <c r="AM473" i="2"/>
  <c r="AI473" i="2"/>
  <c r="AM455" i="2"/>
  <c r="AI455" i="2"/>
  <c r="AM447" i="2"/>
  <c r="AI447" i="2"/>
  <c r="AM428" i="2"/>
  <c r="AI428" i="2"/>
  <c r="AM389" i="2"/>
  <c r="AI389" i="2"/>
  <c r="AM438" i="2"/>
  <c r="AI438" i="2"/>
  <c r="AM391" i="2"/>
  <c r="AI391" i="2"/>
  <c r="AI321" i="2"/>
  <c r="AM321" i="2"/>
  <c r="AI248" i="2"/>
  <c r="AM248" i="2"/>
  <c r="AI324" i="2"/>
  <c r="AM324" i="2"/>
  <c r="AM116" i="2"/>
  <c r="AI116" i="2"/>
  <c r="H159" i="2"/>
  <c r="AE112" i="2"/>
  <c r="J112" i="2"/>
  <c r="Y49" i="2"/>
  <c r="L49" i="2"/>
  <c r="Y89" i="2"/>
  <c r="J69" i="2"/>
  <c r="AE69" i="2"/>
  <c r="AG69" i="2" s="1"/>
  <c r="AH69" i="2" s="1"/>
  <c r="J65" i="2"/>
  <c r="AE65" i="2"/>
  <c r="AG65" i="2" s="1"/>
  <c r="AH65" i="2" s="1"/>
  <c r="H108" i="2"/>
  <c r="J61" i="2"/>
  <c r="AE61" i="2"/>
  <c r="AG61" i="2" s="1"/>
  <c r="AH61" i="2" s="1"/>
  <c r="H104" i="2"/>
  <c r="J57" i="2"/>
  <c r="AE57" i="2"/>
  <c r="AG57" i="2" s="1"/>
  <c r="AH57" i="2" s="1"/>
  <c r="AF89" i="2"/>
  <c r="AG89" i="2" s="1"/>
  <c r="AH89" i="2" s="1"/>
  <c r="AH42" i="2"/>
  <c r="J135" i="2"/>
  <c r="H182" i="2"/>
  <c r="AE135" i="2"/>
  <c r="H187" i="2"/>
  <c r="J140" i="2"/>
  <c r="AE140" i="2"/>
  <c r="J137" i="2"/>
  <c r="H184" i="2"/>
  <c r="AE137" i="2"/>
  <c r="AF77" i="2"/>
  <c r="AH30" i="2"/>
  <c r="AO74" i="2"/>
  <c r="AP27" i="2"/>
  <c r="AO65" i="2"/>
  <c r="Y9" i="2"/>
  <c r="L9" i="2"/>
  <c r="H120" i="2"/>
  <c r="AE73" i="2"/>
  <c r="AG73" i="2" s="1"/>
  <c r="AH73" i="2" s="1"/>
  <c r="J73" i="2"/>
  <c r="AF95" i="2"/>
  <c r="AG95" i="2" s="1"/>
  <c r="AH95" i="2" s="1"/>
  <c r="AH48" i="2"/>
  <c r="J139" i="2"/>
  <c r="AE139" i="2"/>
  <c r="H186" i="2"/>
  <c r="AB78" i="2"/>
  <c r="AD31" i="2"/>
  <c r="S27" i="2"/>
  <c r="AP24" i="2"/>
  <c r="L4" i="2"/>
  <c r="Y4" i="2"/>
  <c r="Y5" i="2"/>
  <c r="L5" i="2"/>
  <c r="AB96" i="2"/>
  <c r="AD49" i="2"/>
  <c r="X40" i="2"/>
  <c r="AJ86" i="2"/>
  <c r="AL39" i="2"/>
  <c r="AB80" i="2"/>
  <c r="AD33" i="2"/>
  <c r="S32" i="2"/>
  <c r="AJ75" i="2"/>
  <c r="AL28" i="2"/>
  <c r="S21" i="2"/>
  <c r="AR55" i="2"/>
  <c r="Y51" i="2"/>
  <c r="S42" i="2"/>
  <c r="K81" i="2"/>
  <c r="W34" i="2"/>
  <c r="V34" i="2"/>
  <c r="U34" i="2"/>
  <c r="T34" i="2"/>
  <c r="AB70" i="2"/>
  <c r="AF114" i="2"/>
  <c r="AJ61" i="2"/>
  <c r="AL14" i="2"/>
  <c r="AO152" i="2"/>
  <c r="AP105" i="2"/>
  <c r="AR105" i="2" s="1"/>
  <c r="AO147" i="2"/>
  <c r="AP100" i="2"/>
  <c r="AR100" i="2" s="1"/>
  <c r="AB79" i="2"/>
  <c r="AD32" i="2"/>
  <c r="S19" i="2"/>
  <c r="S18" i="2"/>
  <c r="AO150" i="2"/>
  <c r="AP103" i="2"/>
  <c r="AR103" i="2" s="1"/>
  <c r="S7" i="2"/>
  <c r="Y52" i="2"/>
  <c r="AB90" i="2"/>
  <c r="AD43" i="2"/>
  <c r="AJ88" i="2"/>
  <c r="AK88" i="2" s="1"/>
  <c r="AL88" i="2" s="1"/>
  <c r="AL41" i="2"/>
  <c r="AB85" i="2"/>
  <c r="AD38" i="2"/>
  <c r="AJ69" i="2"/>
  <c r="AL22" i="2"/>
  <c r="S20" i="2"/>
  <c r="W13" i="2"/>
  <c r="V13" i="2"/>
  <c r="U13" i="2"/>
  <c r="K60" i="2"/>
  <c r="T13" i="2"/>
  <c r="AB57" i="2"/>
  <c r="AB56" i="2"/>
  <c r="AO148" i="2"/>
  <c r="AP101" i="2"/>
  <c r="AR101" i="2" s="1"/>
  <c r="F48" i="7"/>
  <c r="AQ567" i="2"/>
  <c r="AQ520" i="2"/>
  <c r="AQ473" i="2"/>
  <c r="AQ426" i="2"/>
  <c r="AQ379" i="2"/>
  <c r="AQ332" i="2"/>
  <c r="AQ285" i="2"/>
  <c r="AQ191" i="2"/>
  <c r="AQ144" i="2"/>
  <c r="AQ238" i="2"/>
  <c r="AQ97" i="2"/>
  <c r="AQ50" i="2"/>
  <c r="AR50" i="2" s="1"/>
  <c r="F40" i="7"/>
  <c r="AQ559" i="2"/>
  <c r="AQ512" i="2"/>
  <c r="AQ465" i="2"/>
  <c r="AQ418" i="2"/>
  <c r="AQ371" i="2"/>
  <c r="AQ324" i="2"/>
  <c r="AQ277" i="2"/>
  <c r="AQ136" i="2"/>
  <c r="AQ230" i="2"/>
  <c r="AQ183" i="2"/>
  <c r="AQ89" i="2"/>
  <c r="AQ42" i="2"/>
  <c r="AM563" i="2"/>
  <c r="AI563" i="2"/>
  <c r="F23" i="7"/>
  <c r="AQ542" i="2"/>
  <c r="AQ495" i="2"/>
  <c r="AQ448" i="2"/>
  <c r="AQ401" i="2"/>
  <c r="AQ354" i="2"/>
  <c r="AQ307" i="2"/>
  <c r="AQ260" i="2"/>
  <c r="AQ166" i="2"/>
  <c r="AQ119" i="2"/>
  <c r="AQ213" i="2"/>
  <c r="AQ72" i="2"/>
  <c r="AQ25" i="2"/>
  <c r="F31" i="7"/>
  <c r="AQ550" i="2"/>
  <c r="AQ503" i="2"/>
  <c r="AQ456" i="2"/>
  <c r="AQ409" i="2"/>
  <c r="AQ362" i="2"/>
  <c r="AQ315" i="2"/>
  <c r="AQ268" i="2"/>
  <c r="AQ174" i="2"/>
  <c r="AQ127" i="2"/>
  <c r="AQ221" i="2"/>
  <c r="AQ80" i="2"/>
  <c r="AQ33" i="2"/>
  <c r="F17" i="7"/>
  <c r="AQ536" i="2"/>
  <c r="AQ489" i="2"/>
  <c r="AQ442" i="2"/>
  <c r="AQ395" i="2"/>
  <c r="AQ348" i="2"/>
  <c r="AQ301" i="2"/>
  <c r="AQ254" i="2"/>
  <c r="AQ207" i="2"/>
  <c r="AQ160" i="2"/>
  <c r="AQ113" i="2"/>
  <c r="AQ19" i="2"/>
  <c r="AQ66" i="2"/>
  <c r="F24" i="7"/>
  <c r="AQ543" i="2"/>
  <c r="AQ496" i="2"/>
  <c r="AQ449" i="2"/>
  <c r="AQ402" i="2"/>
  <c r="AQ355" i="2"/>
  <c r="AQ308" i="2"/>
  <c r="AQ261" i="2"/>
  <c r="AQ167" i="2"/>
  <c r="AQ120" i="2"/>
  <c r="AQ214" i="2"/>
  <c r="AQ73" i="2"/>
  <c r="AQ26" i="2"/>
  <c r="F32" i="7"/>
  <c r="AQ551" i="2"/>
  <c r="AQ504" i="2"/>
  <c r="AQ457" i="2"/>
  <c r="AQ410" i="2"/>
  <c r="AQ363" i="2"/>
  <c r="AQ316" i="2"/>
  <c r="AQ269" i="2"/>
  <c r="AQ128" i="2"/>
  <c r="AQ222" i="2"/>
  <c r="AQ175" i="2"/>
  <c r="AQ81" i="2"/>
  <c r="AQ34" i="2"/>
  <c r="AA94" i="2"/>
  <c r="H94" i="2"/>
  <c r="H141" i="2" s="1"/>
  <c r="G94" i="2"/>
  <c r="G329" i="2"/>
  <c r="AA329" i="2"/>
  <c r="AA564" i="2"/>
  <c r="G564" i="2"/>
  <c r="AM481" i="2"/>
  <c r="AI481" i="2"/>
  <c r="AM465" i="2"/>
  <c r="AI465" i="2"/>
  <c r="AM494" i="2"/>
  <c r="AI494" i="2"/>
  <c r="AM474" i="2"/>
  <c r="AI474" i="2"/>
  <c r="AM462" i="2"/>
  <c r="AI462" i="2"/>
  <c r="AM479" i="2"/>
  <c r="AI479" i="2"/>
  <c r="AM460" i="2"/>
  <c r="AI460" i="2"/>
  <c r="AM452" i="2"/>
  <c r="AI452" i="2"/>
  <c r="AM444" i="2"/>
  <c r="AI444" i="2"/>
  <c r="AI429" i="2"/>
  <c r="AM429" i="2"/>
  <c r="AM499" i="2"/>
  <c r="AI499" i="2"/>
  <c r="AM491" i="2"/>
  <c r="AI491" i="2"/>
  <c r="AM434" i="2"/>
  <c r="AI434" i="2"/>
  <c r="AM476" i="2"/>
  <c r="AI476" i="2"/>
  <c r="AM457" i="2"/>
  <c r="AI457" i="2"/>
  <c r="AM449" i="2"/>
  <c r="AI449" i="2"/>
  <c r="AM441" i="2"/>
  <c r="AI441" i="2"/>
  <c r="AM493" i="2"/>
  <c r="AI493" i="2"/>
  <c r="AM432" i="2"/>
  <c r="AI432" i="2"/>
  <c r="AM443" i="2"/>
  <c r="AI443" i="2"/>
  <c r="H164" i="2"/>
  <c r="AE117" i="2"/>
  <c r="J117" i="2"/>
  <c r="AI114" i="2"/>
  <c r="AM114" i="2"/>
  <c r="Y44" i="2"/>
  <c r="L44" i="2"/>
  <c r="H183" i="2"/>
  <c r="J136" i="2"/>
  <c r="AE136" i="2"/>
  <c r="AO84" i="2"/>
  <c r="AP37" i="2"/>
  <c r="J68" i="2"/>
  <c r="AE68" i="2"/>
  <c r="H111" i="2"/>
  <c r="J64" i="2"/>
  <c r="AE64" i="2"/>
  <c r="AG64" i="2" s="1"/>
  <c r="AH64" i="2" s="1"/>
  <c r="H107" i="2"/>
  <c r="J60" i="2"/>
  <c r="AE60" i="2"/>
  <c r="H103" i="2"/>
  <c r="J56" i="2"/>
  <c r="AE56" i="2"/>
  <c r="AG56" i="2" s="1"/>
  <c r="AH56" i="2" s="1"/>
  <c r="J143" i="2"/>
  <c r="AE143" i="2"/>
  <c r="H190" i="2"/>
  <c r="X29" i="2"/>
  <c r="AC77" i="2"/>
  <c r="AD77" i="2" s="1"/>
  <c r="AO96" i="2"/>
  <c r="AP49" i="2"/>
  <c r="AF81" i="2"/>
  <c r="AH34" i="2"/>
  <c r="AF53" i="2"/>
  <c r="AH6" i="2"/>
  <c r="H119" i="2"/>
  <c r="AE72" i="2"/>
  <c r="AG72" i="2" s="1"/>
  <c r="AH72" i="2" s="1"/>
  <c r="J72" i="2"/>
  <c r="Y97" i="2"/>
  <c r="AF93" i="2"/>
  <c r="AH46" i="2"/>
  <c r="J133" i="2"/>
  <c r="H180" i="2"/>
  <c r="AE133" i="2"/>
  <c r="AB82" i="2"/>
  <c r="AD35" i="2"/>
  <c r="S31" i="2"/>
  <c r="Y27" i="2"/>
  <c r="L27" i="2"/>
  <c r="S22" i="2"/>
  <c r="W17" i="2"/>
  <c r="V17" i="2"/>
  <c r="U17" i="2"/>
  <c r="K64" i="2"/>
  <c r="T17" i="2"/>
  <c r="Y12" i="2"/>
  <c r="L12" i="2"/>
  <c r="AO57" i="2"/>
  <c r="AP10" i="2"/>
  <c r="AR10" i="2" s="1"/>
  <c r="T10" i="2"/>
  <c r="W10" i="2"/>
  <c r="V10" i="2"/>
  <c r="K57" i="2"/>
  <c r="U10" i="2"/>
  <c r="AB92" i="2"/>
  <c r="AD45" i="2"/>
  <c r="S36" i="2"/>
  <c r="AF123" i="2"/>
  <c r="AJ44" i="2"/>
  <c r="AK24" i="2"/>
  <c r="AJ68" i="2"/>
  <c r="AL21" i="2"/>
  <c r="AB59" i="2"/>
  <c r="AO149" i="2"/>
  <c r="AP102" i="2"/>
  <c r="AR102" i="2" s="1"/>
  <c r="Y53" i="2"/>
  <c r="H145" i="2"/>
  <c r="J98" i="2"/>
  <c r="AE98" i="2"/>
  <c r="S50" i="2"/>
  <c r="K94" i="2"/>
  <c r="W47" i="2"/>
  <c r="V47" i="2"/>
  <c r="U47" i="2"/>
  <c r="T47" i="2"/>
  <c r="Y75" i="2"/>
  <c r="U21" i="2"/>
  <c r="T21" i="2"/>
  <c r="W21" i="2"/>
  <c r="K68" i="2"/>
  <c r="V21" i="2"/>
  <c r="Y84" i="2"/>
  <c r="L84" i="2"/>
  <c r="AJ83" i="2"/>
  <c r="AL36" i="2"/>
  <c r="AB76" i="2"/>
  <c r="AD29" i="2"/>
  <c r="AB67" i="2"/>
  <c r="AB55" i="2"/>
  <c r="AL6" i="2"/>
  <c r="H146" i="2"/>
  <c r="J99" i="2"/>
  <c r="AE99" i="2"/>
  <c r="AC61" i="2"/>
  <c r="AD61" i="2" s="1"/>
  <c r="AK60" i="2"/>
  <c r="AL60" i="2" s="1"/>
  <c r="AB93" i="2"/>
  <c r="S45" i="2"/>
  <c r="AB88" i="2"/>
  <c r="AD41" i="2"/>
  <c r="AG83" i="2"/>
  <c r="AH83" i="2" s="1"/>
  <c r="AJ129" i="2"/>
  <c r="AJ125" i="2"/>
  <c r="S24" i="2"/>
  <c r="AB68" i="2"/>
  <c r="AJ54" i="2"/>
  <c r="AK54" i="2" s="1"/>
  <c r="AL54" i="2" s="1"/>
  <c r="AL7" i="2"/>
  <c r="I4" i="1" l="1"/>
  <c r="G4" i="1"/>
  <c r="I3" i="1"/>
  <c r="G3" i="1"/>
  <c r="I5" i="1"/>
  <c r="G5" i="1"/>
  <c r="AB71" i="2"/>
  <c r="J142" i="2"/>
  <c r="Y142" i="2" s="1"/>
  <c r="AD37" i="2"/>
  <c r="X19" i="2"/>
  <c r="AG80" i="2"/>
  <c r="AH80" i="2" s="1"/>
  <c r="AE100" i="2"/>
  <c r="AP39" i="2"/>
  <c r="AR39" i="2" s="1"/>
  <c r="AL46" i="2"/>
  <c r="J100" i="2"/>
  <c r="AF105" i="2"/>
  <c r="AR29" i="2"/>
  <c r="X11" i="2"/>
  <c r="AO76" i="2"/>
  <c r="AP76" i="2" s="1"/>
  <c r="AR76" i="2" s="1"/>
  <c r="AB60" i="2"/>
  <c r="AC60" i="2" s="1"/>
  <c r="AD60" i="2" s="1"/>
  <c r="AK80" i="2"/>
  <c r="AL80" i="2" s="1"/>
  <c r="K73" i="2"/>
  <c r="U26" i="2"/>
  <c r="V26" i="2"/>
  <c r="AO61" i="2"/>
  <c r="AO108" i="2" s="1"/>
  <c r="T26" i="2"/>
  <c r="AP45" i="2"/>
  <c r="AR45" i="2" s="1"/>
  <c r="AP21" i="2"/>
  <c r="AR21" i="2" s="1"/>
  <c r="AP12" i="2"/>
  <c r="AR12" i="2" s="1"/>
  <c r="AF133" i="2"/>
  <c r="AD28" i="2"/>
  <c r="AD39" i="2"/>
  <c r="AB94" i="2"/>
  <c r="AC94" i="2" s="1"/>
  <c r="AP36" i="2"/>
  <c r="AK61" i="2"/>
  <c r="AL61" i="2" s="1"/>
  <c r="AL45" i="2"/>
  <c r="AP46" i="2"/>
  <c r="AR46" i="2" s="1"/>
  <c r="X30" i="2"/>
  <c r="AD48" i="2"/>
  <c r="AP20" i="2"/>
  <c r="AR20" i="2" s="1"/>
  <c r="AP23" i="2"/>
  <c r="AR23" i="2" s="1"/>
  <c r="AJ89" i="2"/>
  <c r="AK89" i="2" s="1"/>
  <c r="AL89" i="2" s="1"/>
  <c r="AB69" i="2"/>
  <c r="AC69" i="2" s="1"/>
  <c r="AD69" i="2" s="1"/>
  <c r="U18" i="2"/>
  <c r="AG87" i="2"/>
  <c r="AH87" i="2" s="1"/>
  <c r="AP17" i="2"/>
  <c r="AR17" i="2" s="1"/>
  <c r="AP43" i="2"/>
  <c r="AR43" i="2" s="1"/>
  <c r="AP13" i="2"/>
  <c r="AR13" i="2" s="1"/>
  <c r="AE124" i="2"/>
  <c r="AP19" i="2"/>
  <c r="AR19" i="2" s="1"/>
  <c r="AO82" i="2"/>
  <c r="AO129" i="2" s="1"/>
  <c r="AP42" i="2"/>
  <c r="AR42" i="2" s="1"/>
  <c r="V18" i="2"/>
  <c r="T33" i="2"/>
  <c r="AJ110" i="2"/>
  <c r="AK110" i="2" s="1"/>
  <c r="AL110" i="2" s="1"/>
  <c r="AB53" i="2"/>
  <c r="AC53" i="2" s="1"/>
  <c r="AD53" i="2" s="1"/>
  <c r="W18" i="2"/>
  <c r="AO79" i="2"/>
  <c r="AO126" i="2" s="1"/>
  <c r="AB54" i="2"/>
  <c r="AC54" i="2" s="1"/>
  <c r="AD54" i="2" s="1"/>
  <c r="AJ106" i="2"/>
  <c r="AK106" i="2" s="1"/>
  <c r="AL106" i="2" s="1"/>
  <c r="AT568" i="2"/>
  <c r="C16" i="1" s="1"/>
  <c r="AK58" i="2"/>
  <c r="AL58" i="2" s="1"/>
  <c r="AG91" i="2"/>
  <c r="AH91" i="2" s="1"/>
  <c r="AL11" i="2"/>
  <c r="L95" i="2"/>
  <c r="K142" i="2" s="1"/>
  <c r="F3" i="1"/>
  <c r="AI5" i="2"/>
  <c r="AK5" i="2" s="1"/>
  <c r="AC5" i="2"/>
  <c r="AR49" i="2"/>
  <c r="AF102" i="2"/>
  <c r="AP41" i="2"/>
  <c r="AR41" i="2" s="1"/>
  <c r="AR18" i="2"/>
  <c r="AP15" i="2"/>
  <c r="AR15" i="2" s="1"/>
  <c r="K80" i="2"/>
  <c r="U33" i="2"/>
  <c r="W33" i="2"/>
  <c r="AF122" i="2"/>
  <c r="AG122" i="2" s="1"/>
  <c r="AH122" i="2" s="1"/>
  <c r="X48" i="2"/>
  <c r="AF117" i="2"/>
  <c r="AG117" i="2" s="1"/>
  <c r="AH117" i="2" s="1"/>
  <c r="AG68" i="2"/>
  <c r="AH68" i="2" s="1"/>
  <c r="AL26" i="2"/>
  <c r="U6" i="2"/>
  <c r="AB58" i="2"/>
  <c r="AC58" i="2" s="1"/>
  <c r="AD58" i="2" s="1"/>
  <c r="H169" i="2"/>
  <c r="J169" i="2" s="1"/>
  <c r="AO69" i="2"/>
  <c r="AO116" i="2" s="1"/>
  <c r="AD26" i="2"/>
  <c r="AB73" i="2"/>
  <c r="AC73" i="2" s="1"/>
  <c r="AD73" i="2" s="1"/>
  <c r="AL40" i="2"/>
  <c r="AF112" i="2"/>
  <c r="AG112" i="2" s="1"/>
  <c r="AH112" i="2" s="1"/>
  <c r="AD50" i="2"/>
  <c r="L93" i="2"/>
  <c r="K140" i="2" s="1"/>
  <c r="L140" i="2" s="1"/>
  <c r="X43" i="2"/>
  <c r="AB72" i="2"/>
  <c r="AC72" i="2" s="1"/>
  <c r="AD72" i="2" s="1"/>
  <c r="L75" i="2"/>
  <c r="U75" i="2" s="1"/>
  <c r="AP38" i="2"/>
  <c r="AR38" i="2" s="1"/>
  <c r="AP48" i="2"/>
  <c r="AR48" i="2" s="1"/>
  <c r="AP34" i="2"/>
  <c r="AR34" i="2" s="1"/>
  <c r="K53" i="2"/>
  <c r="L53" i="2" s="1"/>
  <c r="U53" i="2" s="1"/>
  <c r="AL34" i="2"/>
  <c r="AK93" i="2"/>
  <c r="AL93" i="2" s="1"/>
  <c r="AR35" i="2"/>
  <c r="AG77" i="2"/>
  <c r="AH77" i="2" s="1"/>
  <c r="AI19" i="2"/>
  <c r="AK19" i="2" s="1"/>
  <c r="AC19" i="2"/>
  <c r="F5" i="1"/>
  <c r="X17" i="2"/>
  <c r="AB51" i="2"/>
  <c r="AC51" i="2" s="1"/>
  <c r="AD51" i="2" s="1"/>
  <c r="AP33" i="2"/>
  <c r="AR33" i="2" s="1"/>
  <c r="W6" i="2"/>
  <c r="V6" i="2"/>
  <c r="AP40" i="2"/>
  <c r="AR40" i="2" s="1"/>
  <c r="AP26" i="2"/>
  <c r="AR28" i="2"/>
  <c r="AI17" i="2"/>
  <c r="AK17" i="2" s="1"/>
  <c r="AC17" i="2"/>
  <c r="AF144" i="2"/>
  <c r="AG144" i="2" s="1"/>
  <c r="AH144" i="2" s="1"/>
  <c r="F4" i="1"/>
  <c r="AH92" i="2"/>
  <c r="AF139" i="2"/>
  <c r="AG139" i="2" s="1"/>
  <c r="AH139" i="2" s="1"/>
  <c r="AF110" i="2"/>
  <c r="T23" i="2"/>
  <c r="AP16" i="2"/>
  <c r="AR16" i="2" s="1"/>
  <c r="Y79" i="2"/>
  <c r="X28" i="2"/>
  <c r="AR37" i="2"/>
  <c r="W23" i="2"/>
  <c r="AR36" i="2"/>
  <c r="AJ98" i="2"/>
  <c r="AK98" i="2" s="1"/>
  <c r="AL98" i="2" s="1"/>
  <c r="AG133" i="2"/>
  <c r="AH133" i="2" s="1"/>
  <c r="AR24" i="2"/>
  <c r="AF118" i="2"/>
  <c r="K83" i="2"/>
  <c r="T36" i="2"/>
  <c r="V36" i="2"/>
  <c r="W36" i="2"/>
  <c r="U36" i="2"/>
  <c r="AG60" i="2"/>
  <c r="AH60" i="2" s="1"/>
  <c r="AJ94" i="2"/>
  <c r="U23" i="2"/>
  <c r="AR27" i="2"/>
  <c r="K86" i="2"/>
  <c r="W39" i="2"/>
  <c r="T39" i="2"/>
  <c r="U39" i="2"/>
  <c r="V39" i="2"/>
  <c r="K70" i="2"/>
  <c r="AR30" i="2"/>
  <c r="AF106" i="2"/>
  <c r="AF125" i="2"/>
  <c r="AK84" i="2"/>
  <c r="AL84" i="2" s="1"/>
  <c r="AJ119" i="2"/>
  <c r="AK119" i="2" s="1"/>
  <c r="AL119" i="2" s="1"/>
  <c r="AR47" i="2"/>
  <c r="K97" i="2"/>
  <c r="U50" i="2"/>
  <c r="V50" i="2"/>
  <c r="W50" i="2"/>
  <c r="T50" i="2"/>
  <c r="AJ103" i="2"/>
  <c r="AK103" i="2" s="1"/>
  <c r="AL103" i="2" s="1"/>
  <c r="T24" i="2"/>
  <c r="K71" i="2"/>
  <c r="U24" i="2"/>
  <c r="V24" i="2"/>
  <c r="W24" i="2"/>
  <c r="K92" i="2"/>
  <c r="W45" i="2"/>
  <c r="U45" i="2"/>
  <c r="T45" i="2"/>
  <c r="V45" i="2"/>
  <c r="T15" i="2"/>
  <c r="U15" i="2"/>
  <c r="V15" i="2"/>
  <c r="K62" i="2"/>
  <c r="W15" i="2"/>
  <c r="W7" i="2"/>
  <c r="T7" i="2"/>
  <c r="K54" i="2"/>
  <c r="U7" i="2"/>
  <c r="V7" i="2"/>
  <c r="S568" i="2"/>
  <c r="C3" i="1" s="1"/>
  <c r="J141" i="2"/>
  <c r="AE141" i="2"/>
  <c r="H188" i="2"/>
  <c r="AC59" i="2"/>
  <c r="AD59" i="2" s="1"/>
  <c r="AC93" i="2"/>
  <c r="AD93" i="2" s="1"/>
  <c r="AC55" i="2"/>
  <c r="AD55" i="2" s="1"/>
  <c r="X21" i="2"/>
  <c r="Y98" i="2"/>
  <c r="AC95" i="2"/>
  <c r="AD95" i="2" s="1"/>
  <c r="AO104" i="2"/>
  <c r="AP57" i="2"/>
  <c r="AR57" i="2" s="1"/>
  <c r="Y143" i="2"/>
  <c r="Y64" i="2"/>
  <c r="L64" i="2"/>
  <c r="K111" i="2" s="1"/>
  <c r="AJ101" i="2"/>
  <c r="AC88" i="2"/>
  <c r="AD88" i="2" s="1"/>
  <c r="J146" i="2"/>
  <c r="H193" i="2"/>
  <c r="AE146" i="2"/>
  <c r="AC67" i="2"/>
  <c r="AD67" i="2" s="1"/>
  <c r="W84" i="2"/>
  <c r="U84" i="2"/>
  <c r="T84" i="2"/>
  <c r="V84" i="2"/>
  <c r="K131" i="2"/>
  <c r="L131" i="2" s="1"/>
  <c r="J145" i="2"/>
  <c r="AE145" i="2"/>
  <c r="H192" i="2"/>
  <c r="U12" i="2"/>
  <c r="T12" i="2"/>
  <c r="V12" i="2"/>
  <c r="K59" i="2"/>
  <c r="L59" i="2" s="1"/>
  <c r="W12" i="2"/>
  <c r="AO114" i="2"/>
  <c r="AP67" i="2"/>
  <c r="AR67" i="2" s="1"/>
  <c r="J180" i="2"/>
  <c r="H227" i="2"/>
  <c r="AE180" i="2"/>
  <c r="Y72" i="2"/>
  <c r="AO133" i="2"/>
  <c r="AP86" i="2"/>
  <c r="AR86" i="2" s="1"/>
  <c r="AO139" i="2"/>
  <c r="AP92" i="2"/>
  <c r="AR92" i="2" s="1"/>
  <c r="Y60" i="2"/>
  <c r="L60" i="2"/>
  <c r="K107" i="2" s="1"/>
  <c r="H158" i="2"/>
  <c r="J111" i="2"/>
  <c r="AE111" i="2"/>
  <c r="AO115" i="2"/>
  <c r="AP68" i="2"/>
  <c r="AR68" i="2" s="1"/>
  <c r="Y136" i="2"/>
  <c r="AM94" i="2"/>
  <c r="AI94" i="2"/>
  <c r="AO195" i="2"/>
  <c r="AP148" i="2"/>
  <c r="AR148" i="2" s="1"/>
  <c r="AO197" i="2"/>
  <c r="AP150" i="2"/>
  <c r="AR150" i="2" s="1"/>
  <c r="AF116" i="2"/>
  <c r="AG116" i="2" s="1"/>
  <c r="AH116" i="2" s="1"/>
  <c r="AC79" i="2"/>
  <c r="AD79" i="2" s="1"/>
  <c r="AC97" i="2"/>
  <c r="AD97" i="2" s="1"/>
  <c r="AF126" i="2"/>
  <c r="AG126" i="2" s="1"/>
  <c r="AH126" i="2" s="1"/>
  <c r="AJ107" i="2"/>
  <c r="W5" i="2"/>
  <c r="V5" i="2"/>
  <c r="U5" i="2"/>
  <c r="K52" i="2"/>
  <c r="T5" i="2"/>
  <c r="J186" i="2"/>
  <c r="H233" i="2"/>
  <c r="AE186" i="2"/>
  <c r="AF142" i="2"/>
  <c r="AG142" i="2" s="1"/>
  <c r="AH142" i="2" s="1"/>
  <c r="AO117" i="2"/>
  <c r="AP70" i="2"/>
  <c r="AR70" i="2" s="1"/>
  <c r="AO110" i="2"/>
  <c r="AP63" i="2"/>
  <c r="AR63" i="2" s="1"/>
  <c r="AO123" i="2"/>
  <c r="H151" i="2"/>
  <c r="J104" i="2"/>
  <c r="AE104" i="2"/>
  <c r="AK75" i="2"/>
  <c r="AL75" i="2" s="1"/>
  <c r="J159" i="2"/>
  <c r="AE159" i="2"/>
  <c r="H206" i="2"/>
  <c r="AF120" i="2"/>
  <c r="J177" i="2"/>
  <c r="H224" i="2"/>
  <c r="AE177" i="2"/>
  <c r="AC83" i="2"/>
  <c r="AD83" i="2" s="1"/>
  <c r="AO193" i="2"/>
  <c r="AP146" i="2"/>
  <c r="AR146" i="2" s="1"/>
  <c r="AB108" i="2"/>
  <c r="Y124" i="2"/>
  <c r="AF111" i="2"/>
  <c r="AJ139" i="2"/>
  <c r="AC74" i="2"/>
  <c r="AD74" i="2" s="1"/>
  <c r="AO119" i="2"/>
  <c r="AP72" i="2"/>
  <c r="AR72" i="2" s="1"/>
  <c r="Y62" i="2"/>
  <c r="AC76" i="2"/>
  <c r="AD76" i="2" s="1"/>
  <c r="J163" i="2"/>
  <c r="AE163" i="2"/>
  <c r="H210" i="2"/>
  <c r="AJ104" i="2"/>
  <c r="W79" i="2"/>
  <c r="U79" i="2"/>
  <c r="T79" i="2"/>
  <c r="V79" i="2"/>
  <c r="K126" i="2"/>
  <c r="L126" i="2" s="1"/>
  <c r="AJ137" i="2"/>
  <c r="AC91" i="2"/>
  <c r="AD91" i="2" s="1"/>
  <c r="AO191" i="2"/>
  <c r="AP144" i="2"/>
  <c r="AR144" i="2" s="1"/>
  <c r="AJ117" i="2"/>
  <c r="AK117" i="2" s="1"/>
  <c r="AL117" i="2" s="1"/>
  <c r="AR14" i="2"/>
  <c r="K78" i="2"/>
  <c r="L78" i="2" s="1"/>
  <c r="V31" i="2"/>
  <c r="U31" i="2"/>
  <c r="T31" i="2"/>
  <c r="W31" i="2"/>
  <c r="AC89" i="2"/>
  <c r="AD89" i="2" s="1"/>
  <c r="J191" i="2"/>
  <c r="H238" i="2"/>
  <c r="AE191" i="2"/>
  <c r="H172" i="2"/>
  <c r="J125" i="2"/>
  <c r="AE125" i="2"/>
  <c r="AO138" i="2"/>
  <c r="AP91" i="2"/>
  <c r="AR91" i="2" s="1"/>
  <c r="H170" i="2"/>
  <c r="J123" i="2"/>
  <c r="AE123" i="2"/>
  <c r="AG123" i="2" s="1"/>
  <c r="AH123" i="2" s="1"/>
  <c r="AG85" i="2"/>
  <c r="AH85" i="2" s="1"/>
  <c r="J185" i="2"/>
  <c r="H232" i="2"/>
  <c r="AE185" i="2"/>
  <c r="Y59" i="2"/>
  <c r="H157" i="2"/>
  <c r="J110" i="2"/>
  <c r="AE110" i="2"/>
  <c r="AG110" i="2" s="1"/>
  <c r="AH110" i="2" s="1"/>
  <c r="Y71" i="2"/>
  <c r="K88" i="2"/>
  <c r="W41" i="2"/>
  <c r="V41" i="2"/>
  <c r="U41" i="2"/>
  <c r="T41" i="2"/>
  <c r="Y114" i="2"/>
  <c r="AM517" i="2"/>
  <c r="AI517" i="2"/>
  <c r="AC68" i="2"/>
  <c r="AD68" i="2" s="1"/>
  <c r="Y99" i="2"/>
  <c r="X47" i="2"/>
  <c r="AK125" i="2"/>
  <c r="AL125" i="2" s="1"/>
  <c r="AO196" i="2"/>
  <c r="AP149" i="2"/>
  <c r="AR149" i="2" s="1"/>
  <c r="AJ71" i="2"/>
  <c r="AL24" i="2"/>
  <c r="AC92" i="2"/>
  <c r="AD92" i="2" s="1"/>
  <c r="X10" i="2"/>
  <c r="Y133" i="2"/>
  <c r="J190" i="2"/>
  <c r="H237" i="2"/>
  <c r="AE190" i="2"/>
  <c r="Y56" i="2"/>
  <c r="H154" i="2"/>
  <c r="J107" i="2"/>
  <c r="AE107" i="2"/>
  <c r="J183" i="2"/>
  <c r="H230" i="2"/>
  <c r="AE183" i="2"/>
  <c r="AO142" i="2"/>
  <c r="AP95" i="2"/>
  <c r="AR95" i="2" s="1"/>
  <c r="Y117" i="2"/>
  <c r="AC56" i="2"/>
  <c r="AD56" i="2" s="1"/>
  <c r="AC85" i="2"/>
  <c r="AD85" i="2" s="1"/>
  <c r="AC90" i="2"/>
  <c r="AD90" i="2" s="1"/>
  <c r="AC71" i="2"/>
  <c r="AD71" i="2" s="1"/>
  <c r="AK53" i="2"/>
  <c r="AL53" i="2" s="1"/>
  <c r="AO199" i="2"/>
  <c r="AP152" i="2"/>
  <c r="AR152" i="2" s="1"/>
  <c r="X34" i="2"/>
  <c r="AB112" i="2"/>
  <c r="AC78" i="2"/>
  <c r="AD78" i="2" s="1"/>
  <c r="H167" i="2"/>
  <c r="J120" i="2"/>
  <c r="AE120" i="2"/>
  <c r="Y140" i="2"/>
  <c r="AF136" i="2"/>
  <c r="Y65" i="2"/>
  <c r="L65" i="2"/>
  <c r="K96" i="2"/>
  <c r="W49" i="2"/>
  <c r="V49" i="2"/>
  <c r="U49" i="2"/>
  <c r="T49" i="2"/>
  <c r="AC81" i="2"/>
  <c r="AD81" i="2" s="1"/>
  <c r="AJ65" i="2"/>
  <c r="AL18" i="2"/>
  <c r="Y127" i="2"/>
  <c r="H218" i="2"/>
  <c r="J171" i="2"/>
  <c r="AE171" i="2"/>
  <c r="AF113" i="2"/>
  <c r="K72" i="2"/>
  <c r="L72" i="2" s="1"/>
  <c r="V25" i="2"/>
  <c r="U25" i="2"/>
  <c r="T25" i="2"/>
  <c r="W25" i="2"/>
  <c r="Y74" i="2"/>
  <c r="Y134" i="2"/>
  <c r="L134" i="2"/>
  <c r="AK83" i="2"/>
  <c r="AL83" i="2" s="1"/>
  <c r="AR25" i="2"/>
  <c r="AO136" i="2"/>
  <c r="AP89" i="2"/>
  <c r="AR89" i="2" s="1"/>
  <c r="Y58" i="2"/>
  <c r="L58" i="2"/>
  <c r="H156" i="2"/>
  <c r="J109" i="2"/>
  <c r="AE109" i="2"/>
  <c r="Y70" i="2"/>
  <c r="AK86" i="2"/>
  <c r="AL86" i="2" s="1"/>
  <c r="J160" i="2"/>
  <c r="H207" i="2"/>
  <c r="AE160" i="2"/>
  <c r="AF108" i="2"/>
  <c r="AJ126" i="2"/>
  <c r="J178" i="2"/>
  <c r="H225" i="2"/>
  <c r="AE178" i="2"/>
  <c r="Y122" i="2"/>
  <c r="Y100" i="2"/>
  <c r="AF121" i="2"/>
  <c r="AJ127" i="2"/>
  <c r="Y144" i="2"/>
  <c r="AF99" i="2"/>
  <c r="AG99" i="2" s="1"/>
  <c r="AH99" i="2" s="1"/>
  <c r="T20" i="2"/>
  <c r="W20" i="2"/>
  <c r="V20" i="2"/>
  <c r="U20" i="2"/>
  <c r="K67" i="2"/>
  <c r="L67" i="2" s="1"/>
  <c r="AG93" i="2"/>
  <c r="AH93" i="2" s="1"/>
  <c r="AF143" i="2"/>
  <c r="AG143" i="2" s="1"/>
  <c r="AH143" i="2" s="1"/>
  <c r="AG81" i="2"/>
  <c r="AH81" i="2" s="1"/>
  <c r="Y85" i="2"/>
  <c r="L85" i="2"/>
  <c r="K132" i="2" s="1"/>
  <c r="AR22" i="2"/>
  <c r="AB124" i="2"/>
  <c r="AG88" i="2"/>
  <c r="AH88" i="2" s="1"/>
  <c r="Y55" i="2"/>
  <c r="H153" i="2"/>
  <c r="J106" i="2"/>
  <c r="AE106" i="2"/>
  <c r="H165" i="2"/>
  <c r="J118" i="2"/>
  <c r="AE118" i="2"/>
  <c r="AK87" i="2"/>
  <c r="AL87" i="2" s="1"/>
  <c r="AG114" i="2"/>
  <c r="AH114" i="2" s="1"/>
  <c r="H268" i="2"/>
  <c r="J221" i="2"/>
  <c r="AE221" i="2"/>
  <c r="K74" i="2"/>
  <c r="V27" i="2"/>
  <c r="U27" i="2"/>
  <c r="T27" i="2"/>
  <c r="W27" i="2"/>
  <c r="AC82" i="2"/>
  <c r="AD82" i="2" s="1"/>
  <c r="H166" i="2"/>
  <c r="J119" i="2"/>
  <c r="AE119" i="2"/>
  <c r="AO107" i="2"/>
  <c r="AP60" i="2"/>
  <c r="AR60" i="2" s="1"/>
  <c r="AO132" i="2"/>
  <c r="AP85" i="2"/>
  <c r="AR85" i="2" s="1"/>
  <c r="AO143" i="2"/>
  <c r="AP96" i="2"/>
  <c r="AR96" i="2" s="1"/>
  <c r="AO130" i="2"/>
  <c r="AP83" i="2"/>
  <c r="AR83" i="2" s="1"/>
  <c r="H150" i="2"/>
  <c r="J103" i="2"/>
  <c r="AE103" i="2"/>
  <c r="Y68" i="2"/>
  <c r="L68" i="2"/>
  <c r="K115" i="2" s="1"/>
  <c r="AO131" i="2"/>
  <c r="AP84" i="2"/>
  <c r="AR84" i="2" s="1"/>
  <c r="K91" i="2"/>
  <c r="W44" i="2"/>
  <c r="V44" i="2"/>
  <c r="U44" i="2"/>
  <c r="T44" i="2"/>
  <c r="AM564" i="2"/>
  <c r="AI564" i="2"/>
  <c r="AC57" i="2"/>
  <c r="AD57" i="2" s="1"/>
  <c r="AK44" i="2"/>
  <c r="AL44" i="2" s="1"/>
  <c r="AO194" i="2"/>
  <c r="AP147" i="2"/>
  <c r="AR147" i="2" s="1"/>
  <c r="AC70" i="2"/>
  <c r="AD70" i="2" s="1"/>
  <c r="AG53" i="2"/>
  <c r="AH53" i="2" s="1"/>
  <c r="AC96" i="2"/>
  <c r="AD96" i="2" s="1"/>
  <c r="AO118" i="2"/>
  <c r="AP71" i="2"/>
  <c r="AR71" i="2" s="1"/>
  <c r="Y139" i="2"/>
  <c r="U9" i="2"/>
  <c r="W9" i="2"/>
  <c r="V9" i="2"/>
  <c r="K56" i="2"/>
  <c r="L56" i="2" s="1"/>
  <c r="T9" i="2"/>
  <c r="AO112" i="2"/>
  <c r="AP65" i="2"/>
  <c r="AR65" i="2" s="1"/>
  <c r="AO121" i="2"/>
  <c r="AP74" i="2"/>
  <c r="AR74" i="2" s="1"/>
  <c r="J184" i="2"/>
  <c r="H231" i="2"/>
  <c r="AE184" i="2"/>
  <c r="J187" i="2"/>
  <c r="H234" i="2"/>
  <c r="AE187" i="2"/>
  <c r="J182" i="2"/>
  <c r="H229" i="2"/>
  <c r="AE182" i="2"/>
  <c r="Y61" i="2"/>
  <c r="L61" i="2"/>
  <c r="AO127" i="2"/>
  <c r="AP80" i="2"/>
  <c r="AR80" i="2" s="1"/>
  <c r="Y112" i="2"/>
  <c r="AM376" i="2"/>
  <c r="AI376" i="2"/>
  <c r="AM423" i="2"/>
  <c r="AI423" i="2"/>
  <c r="Y126" i="2"/>
  <c r="AJ96" i="2"/>
  <c r="AF104" i="2"/>
  <c r="AJ121" i="2"/>
  <c r="AF130" i="2"/>
  <c r="V8" i="2"/>
  <c r="T8" i="2"/>
  <c r="U8" i="2"/>
  <c r="K55" i="2"/>
  <c r="L55" i="2" s="1"/>
  <c r="W8" i="2"/>
  <c r="AO113" i="2"/>
  <c r="AP66" i="2"/>
  <c r="AR66" i="2" s="1"/>
  <c r="AO124" i="2"/>
  <c r="AP77" i="2"/>
  <c r="AR77" i="2" s="1"/>
  <c r="AF131" i="2"/>
  <c r="J181" i="2"/>
  <c r="H228" i="2"/>
  <c r="AE181" i="2"/>
  <c r="J189" i="2"/>
  <c r="H236" i="2"/>
  <c r="AE189" i="2"/>
  <c r="Y54" i="2"/>
  <c r="H152" i="2"/>
  <c r="J105" i="2"/>
  <c r="AE105" i="2"/>
  <c r="AG105" i="2" s="1"/>
  <c r="AH105" i="2" s="1"/>
  <c r="AO140" i="2"/>
  <c r="AP93" i="2"/>
  <c r="AR93" i="2" s="1"/>
  <c r="Y116" i="2"/>
  <c r="AI188" i="2"/>
  <c r="AM188" i="2"/>
  <c r="AM470" i="2"/>
  <c r="AI470" i="2"/>
  <c r="AF103" i="2"/>
  <c r="AC62" i="2"/>
  <c r="AD62" i="2" s="1"/>
  <c r="AJ77" i="2"/>
  <c r="AL30" i="2"/>
  <c r="AK38" i="2"/>
  <c r="AL38" i="2" s="1"/>
  <c r="AK73" i="2"/>
  <c r="AL73" i="2" s="1"/>
  <c r="Y131" i="2"/>
  <c r="AF101" i="2"/>
  <c r="AF109" i="2"/>
  <c r="H216" i="2"/>
  <c r="J147" i="2"/>
  <c r="AE147" i="2"/>
  <c r="H194" i="2"/>
  <c r="AJ109" i="2"/>
  <c r="AR26" i="2"/>
  <c r="AF134" i="2"/>
  <c r="Y82" i="2"/>
  <c r="AR31" i="2"/>
  <c r="W87" i="2"/>
  <c r="V87" i="2"/>
  <c r="U87" i="2"/>
  <c r="T87" i="2"/>
  <c r="AG90" i="2"/>
  <c r="AH90" i="2" s="1"/>
  <c r="Y76" i="2"/>
  <c r="L76" i="2"/>
  <c r="Y81" i="2"/>
  <c r="L81" i="2"/>
  <c r="H179" i="2"/>
  <c r="J132" i="2"/>
  <c r="AE132" i="2"/>
  <c r="AR32" i="2"/>
  <c r="H149" i="2"/>
  <c r="J102" i="2"/>
  <c r="AE102" i="2"/>
  <c r="Y67" i="2"/>
  <c r="AO145" i="2"/>
  <c r="AP98" i="2"/>
  <c r="AR98" i="2" s="1"/>
  <c r="J161" i="2"/>
  <c r="AE161" i="2"/>
  <c r="H208" i="2"/>
  <c r="Y115" i="2"/>
  <c r="AC84" i="2"/>
  <c r="AD84" i="2" s="1"/>
  <c r="J164" i="2"/>
  <c r="H211" i="2"/>
  <c r="AE164" i="2"/>
  <c r="AM329" i="2"/>
  <c r="AI329" i="2"/>
  <c r="J94" i="2"/>
  <c r="AE94" i="2"/>
  <c r="AG94" i="2" s="1"/>
  <c r="AH94" i="2" s="1"/>
  <c r="X13" i="2"/>
  <c r="AJ135" i="2"/>
  <c r="AK68" i="2"/>
  <c r="AL68" i="2" s="1"/>
  <c r="AC80" i="2"/>
  <c r="AD80" i="2" s="1"/>
  <c r="T4" i="2"/>
  <c r="K51" i="2"/>
  <c r="W4" i="2"/>
  <c r="V4" i="2"/>
  <c r="U4" i="2"/>
  <c r="AO128" i="2"/>
  <c r="AP81" i="2"/>
  <c r="AR81" i="2" s="1"/>
  <c r="AO135" i="2"/>
  <c r="AP88" i="2"/>
  <c r="AR88" i="2" s="1"/>
  <c r="Y73" i="2"/>
  <c r="Y137" i="2"/>
  <c r="L137" i="2"/>
  <c r="K184" i="2" s="1"/>
  <c r="Y135" i="2"/>
  <c r="Y57" i="2"/>
  <c r="L57" i="2"/>
  <c r="H155" i="2"/>
  <c r="J108" i="2"/>
  <c r="AE108" i="2"/>
  <c r="Y69" i="2"/>
  <c r="AM141" i="2"/>
  <c r="AI141" i="2"/>
  <c r="H220" i="2"/>
  <c r="J173" i="2"/>
  <c r="AE173" i="2"/>
  <c r="Y130" i="2"/>
  <c r="AC87" i="2"/>
  <c r="AD87" i="2" s="1"/>
  <c r="AJ76" i="2"/>
  <c r="AL29" i="2"/>
  <c r="X38" i="2"/>
  <c r="AJ114" i="2"/>
  <c r="AK69" i="2"/>
  <c r="AL69" i="2" s="1"/>
  <c r="V16" i="2"/>
  <c r="U16" i="2"/>
  <c r="T16" i="2"/>
  <c r="K63" i="2"/>
  <c r="L63" i="2" s="1"/>
  <c r="W16" i="2"/>
  <c r="K82" i="2"/>
  <c r="L82" i="2" s="1"/>
  <c r="V35" i="2"/>
  <c r="U35" i="2"/>
  <c r="T35" i="2"/>
  <c r="W35" i="2"/>
  <c r="K89" i="2"/>
  <c r="V42" i="2"/>
  <c r="U42" i="2"/>
  <c r="T42" i="2"/>
  <c r="W42" i="2"/>
  <c r="H168" i="2"/>
  <c r="J121" i="2"/>
  <c r="AE121" i="2"/>
  <c r="W90" i="2"/>
  <c r="V90" i="2"/>
  <c r="U90" i="2"/>
  <c r="T90" i="2"/>
  <c r="AO106" i="2"/>
  <c r="AP59" i="2"/>
  <c r="AR59" i="2" s="1"/>
  <c r="H148" i="2"/>
  <c r="J101" i="2"/>
  <c r="AE101" i="2"/>
  <c r="Y66" i="2"/>
  <c r="L66" i="2"/>
  <c r="AO134" i="2"/>
  <c r="AP87" i="2"/>
  <c r="AR87" i="2" s="1"/>
  <c r="AK95" i="2"/>
  <c r="AL95" i="2" s="1"/>
  <c r="Y113" i="2"/>
  <c r="AK129" i="2"/>
  <c r="AL129" i="2" s="1"/>
  <c r="AJ97" i="2"/>
  <c r="AK81" i="2"/>
  <c r="AL81" i="2" s="1"/>
  <c r="AF119" i="2"/>
  <c r="AR97" i="2"/>
  <c r="AJ102" i="2"/>
  <c r="AC63" i="2"/>
  <c r="AD63" i="2" s="1"/>
  <c r="W77" i="2"/>
  <c r="U77" i="2"/>
  <c r="T77" i="2"/>
  <c r="V77" i="2"/>
  <c r="K124" i="2"/>
  <c r="AC75" i="2"/>
  <c r="AD75" i="2" s="1"/>
  <c r="AC86" i="2"/>
  <c r="AD86" i="2" s="1"/>
  <c r="AF98" i="2"/>
  <c r="V22" i="2"/>
  <c r="U22" i="2"/>
  <c r="T22" i="2"/>
  <c r="K69" i="2"/>
  <c r="L69" i="2" s="1"/>
  <c r="W22" i="2"/>
  <c r="AO120" i="2"/>
  <c r="AP73" i="2"/>
  <c r="AR73" i="2" s="1"/>
  <c r="AF127" i="2"/>
  <c r="Y78" i="2"/>
  <c r="J129" i="2"/>
  <c r="AE129" i="2"/>
  <c r="AG129" i="2" s="1"/>
  <c r="AH129" i="2" s="1"/>
  <c r="H176" i="2"/>
  <c r="AO111" i="2"/>
  <c r="AP64" i="2"/>
  <c r="AR64" i="2" s="1"/>
  <c r="AO125" i="2"/>
  <c r="AP78" i="2"/>
  <c r="AR78" i="2" s="1"/>
  <c r="AR44" i="2"/>
  <c r="J128" i="2"/>
  <c r="H175" i="2"/>
  <c r="AE128" i="2"/>
  <c r="AO122" i="2"/>
  <c r="AP75" i="2"/>
  <c r="AR75" i="2" s="1"/>
  <c r="Y138" i="2"/>
  <c r="AO141" i="2"/>
  <c r="AP94" i="2"/>
  <c r="AR94" i="2" s="1"/>
  <c r="Y63" i="2"/>
  <c r="AO109" i="2"/>
  <c r="AP62" i="2"/>
  <c r="AR62" i="2" s="1"/>
  <c r="AO137" i="2"/>
  <c r="AP90" i="2"/>
  <c r="AR90" i="2" s="1"/>
  <c r="Y174" i="2"/>
  <c r="AI282" i="2"/>
  <c r="AM282" i="2"/>
  <c r="J162" i="2"/>
  <c r="H209" i="2"/>
  <c r="AE162" i="2"/>
  <c r="L142" i="2" l="1"/>
  <c r="K189" i="2" s="1"/>
  <c r="AG121" i="2"/>
  <c r="AH121" i="2" s="1"/>
  <c r="AP61" i="2"/>
  <c r="AR61" i="2" s="1"/>
  <c r="AB120" i="2"/>
  <c r="V93" i="2"/>
  <c r="L73" i="2"/>
  <c r="T73" i="2" s="1"/>
  <c r="U93" i="2"/>
  <c r="AF132" i="2"/>
  <c r="AG132" i="2" s="1"/>
  <c r="AJ108" i="2"/>
  <c r="AK108" i="2" s="1"/>
  <c r="AL108" i="2" s="1"/>
  <c r="K100" i="2"/>
  <c r="L100" i="2" s="1"/>
  <c r="U100" i="2" s="1"/>
  <c r="U95" i="2"/>
  <c r="AJ131" i="2"/>
  <c r="L70" i="2"/>
  <c r="K117" i="2" s="1"/>
  <c r="L117" i="2" s="1"/>
  <c r="V117" i="2" s="1"/>
  <c r="AP82" i="2"/>
  <c r="AR82" i="2" s="1"/>
  <c r="AB101" i="2"/>
  <c r="AC101" i="2" s="1"/>
  <c r="AD101" i="2" s="1"/>
  <c r="V53" i="2"/>
  <c r="L80" i="2"/>
  <c r="V80" i="2" s="1"/>
  <c r="X18" i="2"/>
  <c r="X26" i="2"/>
  <c r="AF138" i="2"/>
  <c r="AG138" i="2" s="1"/>
  <c r="AH138" i="2" s="1"/>
  <c r="AG120" i="2"/>
  <c r="AH120" i="2" s="1"/>
  <c r="AF124" i="2"/>
  <c r="AG124" i="2" s="1"/>
  <c r="AH124" i="2" s="1"/>
  <c r="V75" i="2"/>
  <c r="L62" i="2"/>
  <c r="W62" i="2" s="1"/>
  <c r="AJ145" i="2"/>
  <c r="AK145" i="2" s="1"/>
  <c r="AL145" i="2" s="1"/>
  <c r="AJ153" i="2"/>
  <c r="AK153" i="2" s="1"/>
  <c r="AL153" i="2" s="1"/>
  <c r="L54" i="2"/>
  <c r="W54" i="2" s="1"/>
  <c r="AJ105" i="2"/>
  <c r="AK105" i="2" s="1"/>
  <c r="AL105" i="2" s="1"/>
  <c r="AG102" i="2"/>
  <c r="AH102" i="2" s="1"/>
  <c r="AP79" i="2"/>
  <c r="AR79" i="2" s="1"/>
  <c r="AE169" i="2"/>
  <c r="K122" i="2"/>
  <c r="T53" i="2"/>
  <c r="L71" i="2"/>
  <c r="U71" i="2" s="1"/>
  <c r="AJ136" i="2"/>
  <c r="AK136" i="2" s="1"/>
  <c r="AL136" i="2" s="1"/>
  <c r="W53" i="2"/>
  <c r="T75" i="2"/>
  <c r="W93" i="2"/>
  <c r="T93" i="2"/>
  <c r="AG118" i="2"/>
  <c r="AH118" i="2" s="1"/>
  <c r="AF115" i="2"/>
  <c r="AG115" i="2" s="1"/>
  <c r="AH115" i="2" s="1"/>
  <c r="W75" i="2"/>
  <c r="AJ166" i="2"/>
  <c r="AK166" i="2" s="1"/>
  <c r="AL166" i="2" s="1"/>
  <c r="AP69" i="2"/>
  <c r="AR69" i="2" s="1"/>
  <c r="W95" i="2"/>
  <c r="AF164" i="2"/>
  <c r="AG164" i="2" s="1"/>
  <c r="AH164" i="2" s="1"/>
  <c r="X33" i="2"/>
  <c r="AJ52" i="2"/>
  <c r="AL5" i="2"/>
  <c r="T95" i="2"/>
  <c r="AF169" i="2"/>
  <c r="V95" i="2"/>
  <c r="AD5" i="2"/>
  <c r="AB52" i="2"/>
  <c r="AC52" i="2" s="1"/>
  <c r="AD52" i="2" s="1"/>
  <c r="X6" i="2"/>
  <c r="AG125" i="2"/>
  <c r="AH125" i="2" s="1"/>
  <c r="AK94" i="2"/>
  <c r="AL94" i="2" s="1"/>
  <c r="X23" i="2"/>
  <c r="AF180" i="2"/>
  <c r="AG180" i="2" s="1"/>
  <c r="AH180" i="2" s="1"/>
  <c r="AJ140" i="2"/>
  <c r="AK140" i="2" s="1"/>
  <c r="AL140" i="2" s="1"/>
  <c r="AJ66" i="2"/>
  <c r="AL19" i="2"/>
  <c r="AJ150" i="2"/>
  <c r="AK150" i="2" s="1"/>
  <c r="AL150" i="2" s="1"/>
  <c r="AF107" i="2"/>
  <c r="AG107" i="2" s="1"/>
  <c r="AH107" i="2" s="1"/>
  <c r="AB135" i="2"/>
  <c r="AC135" i="2" s="1"/>
  <c r="AD135" i="2" s="1"/>
  <c r="AD17" i="2"/>
  <c r="AB64" i="2"/>
  <c r="AC64" i="2" s="1"/>
  <c r="AD64" i="2" s="1"/>
  <c r="AJ64" i="2"/>
  <c r="AL17" i="2"/>
  <c r="AD19" i="2"/>
  <c r="AB66" i="2"/>
  <c r="AB131" i="2"/>
  <c r="AC131" i="2" s="1"/>
  <c r="AD131" i="2" s="1"/>
  <c r="L83" i="2"/>
  <c r="K130" i="2" s="1"/>
  <c r="L130" i="2" s="1"/>
  <c r="AG101" i="2"/>
  <c r="AH101" i="2" s="1"/>
  <c r="X87" i="2"/>
  <c r="X39" i="2"/>
  <c r="X7" i="2"/>
  <c r="X15" i="2"/>
  <c r="AG108" i="2"/>
  <c r="AH108" i="2" s="1"/>
  <c r="AG106" i="2"/>
  <c r="AH106" i="2" s="1"/>
  <c r="L86" i="2"/>
  <c r="X36" i="2"/>
  <c r="X42" i="2"/>
  <c r="AF137" i="2"/>
  <c r="AG137" i="2" s="1"/>
  <c r="AH137" i="2" s="1"/>
  <c r="X45" i="2"/>
  <c r="AB133" i="2"/>
  <c r="AC133" i="2" s="1"/>
  <c r="AD133" i="2" s="1"/>
  <c r="AB104" i="2"/>
  <c r="AC104" i="2" s="1"/>
  <c r="AD104" i="2" s="1"/>
  <c r="AB116" i="2"/>
  <c r="AC116" i="2" s="1"/>
  <c r="AD116" i="2" s="1"/>
  <c r="AB128" i="2"/>
  <c r="AB132" i="2"/>
  <c r="AC132" i="2" s="1"/>
  <c r="AD132" i="2" s="1"/>
  <c r="AB139" i="2"/>
  <c r="AC139" i="2" s="1"/>
  <c r="AD139" i="2" s="1"/>
  <c r="AJ172" i="2"/>
  <c r="AK172" i="2" s="1"/>
  <c r="AL172" i="2" s="1"/>
  <c r="AB130" i="2"/>
  <c r="AC130" i="2" s="1"/>
  <c r="AD130" i="2" s="1"/>
  <c r="X12" i="2"/>
  <c r="AB109" i="2"/>
  <c r="AC109" i="2" s="1"/>
  <c r="AD109" i="2" s="1"/>
  <c r="X27" i="2"/>
  <c r="X25" i="2"/>
  <c r="AJ133" i="2"/>
  <c r="AK133" i="2" s="1"/>
  <c r="AL133" i="2" s="1"/>
  <c r="AJ157" i="2"/>
  <c r="AK157" i="2" s="1"/>
  <c r="AL157" i="2" s="1"/>
  <c r="X41" i="2"/>
  <c r="AJ122" i="2"/>
  <c r="AK122" i="2" s="1"/>
  <c r="AL122" i="2" s="1"/>
  <c r="AB142" i="2"/>
  <c r="AC142" i="2" s="1"/>
  <c r="AD142" i="2" s="1"/>
  <c r="X24" i="2"/>
  <c r="AB110" i="2"/>
  <c r="AC110" i="2" s="1"/>
  <c r="AD110" i="2" s="1"/>
  <c r="AB107" i="2"/>
  <c r="AC107" i="2" s="1"/>
  <c r="AD107" i="2" s="1"/>
  <c r="AB144" i="2"/>
  <c r="L92" i="2"/>
  <c r="X50" i="2"/>
  <c r="L97" i="2"/>
  <c r="AM568" i="2"/>
  <c r="C11" i="1" s="1"/>
  <c r="W82" i="2"/>
  <c r="U82" i="2"/>
  <c r="T82" i="2"/>
  <c r="V82" i="2"/>
  <c r="W55" i="2"/>
  <c r="V55" i="2"/>
  <c r="U55" i="2"/>
  <c r="T55" i="2"/>
  <c r="T72" i="2"/>
  <c r="W72" i="2"/>
  <c r="V72" i="2"/>
  <c r="U72" i="2"/>
  <c r="L115" i="2"/>
  <c r="K162" i="2" s="1"/>
  <c r="L162" i="2" s="1"/>
  <c r="W56" i="2"/>
  <c r="V56" i="2"/>
  <c r="U56" i="2"/>
  <c r="T56" i="2"/>
  <c r="AO156" i="2"/>
  <c r="AP109" i="2"/>
  <c r="AR109" i="2" s="1"/>
  <c r="AO173" i="2"/>
  <c r="AP126" i="2"/>
  <c r="AR126" i="2" s="1"/>
  <c r="H222" i="2"/>
  <c r="J175" i="2"/>
  <c r="AE175" i="2"/>
  <c r="AO172" i="2"/>
  <c r="AP125" i="2"/>
  <c r="AR125" i="2" s="1"/>
  <c r="AK102" i="2"/>
  <c r="AL102" i="2" s="1"/>
  <c r="Y162" i="2"/>
  <c r="Y129" i="2"/>
  <c r="K116" i="2"/>
  <c r="AF141" i="2"/>
  <c r="Y121" i="2"/>
  <c r="X35" i="2"/>
  <c r="W57" i="2"/>
  <c r="V57" i="2"/>
  <c r="U57" i="2"/>
  <c r="T57" i="2"/>
  <c r="W137" i="2"/>
  <c r="U137" i="2"/>
  <c r="V137" i="2"/>
  <c r="T137" i="2"/>
  <c r="X4" i="2"/>
  <c r="AB127" i="2"/>
  <c r="AJ116" i="2"/>
  <c r="Y94" i="2"/>
  <c r="L94" i="2"/>
  <c r="Y132" i="2"/>
  <c r="L132" i="2"/>
  <c r="W76" i="2"/>
  <c r="U76" i="2"/>
  <c r="T76" i="2"/>
  <c r="V76" i="2"/>
  <c r="K123" i="2"/>
  <c r="L123" i="2" s="1"/>
  <c r="J194" i="2"/>
  <c r="H241" i="2"/>
  <c r="AE194" i="2"/>
  <c r="Y169" i="2"/>
  <c r="W131" i="2"/>
  <c r="U131" i="2"/>
  <c r="V131" i="2"/>
  <c r="T131" i="2"/>
  <c r="AK77" i="2"/>
  <c r="AL77" i="2" s="1"/>
  <c r="AO160" i="2"/>
  <c r="AP113" i="2"/>
  <c r="AR113" i="2" s="1"/>
  <c r="X8" i="2"/>
  <c r="AK96" i="2"/>
  <c r="AL96" i="2" s="1"/>
  <c r="AF152" i="2"/>
  <c r="AO174" i="2"/>
  <c r="AP127" i="2"/>
  <c r="AR127" i="2" s="1"/>
  <c r="J229" i="2"/>
  <c r="AE229" i="2"/>
  <c r="H276" i="2"/>
  <c r="J234" i="2"/>
  <c r="H281" i="2"/>
  <c r="AE234" i="2"/>
  <c r="Y184" i="2"/>
  <c r="L184" i="2"/>
  <c r="K231" i="2" s="1"/>
  <c r="AO159" i="2"/>
  <c r="AP112" i="2"/>
  <c r="AR112" i="2" s="1"/>
  <c r="AB117" i="2"/>
  <c r="X44" i="2"/>
  <c r="L91" i="2"/>
  <c r="K138" i="2" s="1"/>
  <c r="AO190" i="2"/>
  <c r="AP143" i="2"/>
  <c r="AR143" i="2" s="1"/>
  <c r="AO154" i="2"/>
  <c r="AP107" i="2"/>
  <c r="AR107" i="2" s="1"/>
  <c r="J165" i="2"/>
  <c r="AE165" i="2"/>
  <c r="H212" i="2"/>
  <c r="AF190" i="2"/>
  <c r="AG190" i="2" s="1"/>
  <c r="AH190" i="2" s="1"/>
  <c r="K114" i="2"/>
  <c r="X20" i="2"/>
  <c r="Y178" i="2"/>
  <c r="Y109" i="2"/>
  <c r="J218" i="2"/>
  <c r="AE218" i="2"/>
  <c r="H265" i="2"/>
  <c r="AK65" i="2"/>
  <c r="AL65" i="2" s="1"/>
  <c r="W65" i="2"/>
  <c r="V65" i="2"/>
  <c r="U65" i="2"/>
  <c r="T65" i="2"/>
  <c r="K112" i="2"/>
  <c r="W140" i="2"/>
  <c r="V140" i="2"/>
  <c r="U140" i="2"/>
  <c r="T140" i="2"/>
  <c r="Y120" i="2"/>
  <c r="AB125" i="2"/>
  <c r="AC112" i="2"/>
  <c r="AD112" i="2" s="1"/>
  <c r="AF161" i="2"/>
  <c r="AG161" i="2" s="1"/>
  <c r="AH161" i="2" s="1"/>
  <c r="AB137" i="2"/>
  <c r="AB103" i="2"/>
  <c r="H277" i="2"/>
  <c r="J230" i="2"/>
  <c r="AE230" i="2"/>
  <c r="J154" i="2"/>
  <c r="H201" i="2"/>
  <c r="AE154" i="2"/>
  <c r="H284" i="2"/>
  <c r="J237" i="2"/>
  <c r="AE237" i="2"/>
  <c r="AK71" i="2"/>
  <c r="AL71" i="2" s="1"/>
  <c r="V71" i="2"/>
  <c r="J157" i="2"/>
  <c r="AE157" i="2"/>
  <c r="H204" i="2"/>
  <c r="J232" i="2"/>
  <c r="AE232" i="2"/>
  <c r="H279" i="2"/>
  <c r="AO185" i="2"/>
  <c r="AP138" i="2"/>
  <c r="AR138" i="2" s="1"/>
  <c r="AB136" i="2"/>
  <c r="K173" i="2"/>
  <c r="AB121" i="2"/>
  <c r="AG127" i="2"/>
  <c r="AH127" i="2" s="1"/>
  <c r="Y177" i="2"/>
  <c r="Y104" i="2"/>
  <c r="H280" i="2"/>
  <c r="J233" i="2"/>
  <c r="AE233" i="2"/>
  <c r="X5" i="2"/>
  <c r="AK107" i="2"/>
  <c r="AL107" i="2" s="1"/>
  <c r="AB98" i="2"/>
  <c r="AB126" i="2"/>
  <c r="AF159" i="2"/>
  <c r="AG159" i="2" s="1"/>
  <c r="AH159" i="2" s="1"/>
  <c r="AP195" i="2"/>
  <c r="AR195" i="2" s="1"/>
  <c r="AO242" i="2"/>
  <c r="AK114" i="2"/>
  <c r="AL114" i="2" s="1"/>
  <c r="AO162" i="2"/>
  <c r="AP115" i="2"/>
  <c r="AR115" i="2" s="1"/>
  <c r="W60" i="2"/>
  <c r="V60" i="2"/>
  <c r="U60" i="2"/>
  <c r="T60" i="2"/>
  <c r="H274" i="2"/>
  <c r="J227" i="2"/>
  <c r="AE227" i="2"/>
  <c r="Y145" i="2"/>
  <c r="AB114" i="2"/>
  <c r="W64" i="2"/>
  <c r="V64" i="2"/>
  <c r="U64" i="2"/>
  <c r="T64" i="2"/>
  <c r="AB102" i="2"/>
  <c r="AB106" i="2"/>
  <c r="Y141" i="2"/>
  <c r="W63" i="2"/>
  <c r="V63" i="2"/>
  <c r="U63" i="2"/>
  <c r="T63" i="2"/>
  <c r="Y128" i="2"/>
  <c r="AO184" i="2"/>
  <c r="AP137" i="2"/>
  <c r="AR137" i="2" s="1"/>
  <c r="AO169" i="2"/>
  <c r="AP122" i="2"/>
  <c r="AR122" i="2" s="1"/>
  <c r="AO158" i="2"/>
  <c r="AP111" i="2"/>
  <c r="AR111" i="2" s="1"/>
  <c r="W78" i="2"/>
  <c r="U78" i="2"/>
  <c r="T78" i="2"/>
  <c r="V78" i="2"/>
  <c r="X22" i="2"/>
  <c r="AB122" i="2"/>
  <c r="AJ128" i="2"/>
  <c r="X90" i="2"/>
  <c r="H215" i="2"/>
  <c r="J168" i="2"/>
  <c r="AE168" i="2"/>
  <c r="K110" i="2"/>
  <c r="AB134" i="2"/>
  <c r="Y173" i="2"/>
  <c r="AO182" i="2"/>
  <c r="AP135" i="2"/>
  <c r="AR135" i="2" s="1"/>
  <c r="H255" i="2"/>
  <c r="J208" i="2"/>
  <c r="AE208" i="2"/>
  <c r="AO192" i="2"/>
  <c r="AP145" i="2"/>
  <c r="AR145" i="2" s="1"/>
  <c r="Y102" i="2"/>
  <c r="J179" i="2"/>
  <c r="H226" i="2"/>
  <c r="AE179" i="2"/>
  <c r="J216" i="2"/>
  <c r="AE216" i="2"/>
  <c r="H263" i="2"/>
  <c r="Y105" i="2"/>
  <c r="AK121" i="2"/>
  <c r="AL121" i="2" s="1"/>
  <c r="AG130" i="2"/>
  <c r="AH130" i="2" s="1"/>
  <c r="W61" i="2"/>
  <c r="V61" i="2"/>
  <c r="U61" i="2"/>
  <c r="T61" i="2"/>
  <c r="K108" i="2"/>
  <c r="L108" i="2" s="1"/>
  <c r="Y182" i="2"/>
  <c r="Y187" i="2"/>
  <c r="X9" i="2"/>
  <c r="AB143" i="2"/>
  <c r="AF191" i="2"/>
  <c r="AG191" i="2" s="1"/>
  <c r="AH191" i="2" s="1"/>
  <c r="AG103" i="2"/>
  <c r="AH103" i="2" s="1"/>
  <c r="AG119" i="2"/>
  <c r="AH119" i="2" s="1"/>
  <c r="AB129" i="2"/>
  <c r="AB119" i="2"/>
  <c r="Y221" i="2"/>
  <c r="W85" i="2"/>
  <c r="U85" i="2"/>
  <c r="T85" i="2"/>
  <c r="V85" i="2"/>
  <c r="AF146" i="2"/>
  <c r="AO155" i="2"/>
  <c r="AP108" i="2"/>
  <c r="AR108" i="2" s="1"/>
  <c r="AK126" i="2"/>
  <c r="AL126" i="2" s="1"/>
  <c r="AB105" i="2"/>
  <c r="U70" i="2"/>
  <c r="J156" i="2"/>
  <c r="H203" i="2"/>
  <c r="AE156" i="2"/>
  <c r="AO183" i="2"/>
  <c r="AP136" i="2"/>
  <c r="AR136" i="2" s="1"/>
  <c r="W134" i="2"/>
  <c r="U134" i="2"/>
  <c r="V134" i="2"/>
  <c r="T134" i="2"/>
  <c r="H214" i="2"/>
  <c r="J167" i="2"/>
  <c r="AE167" i="2"/>
  <c r="AB118" i="2"/>
  <c r="Y183" i="2"/>
  <c r="Y190" i="2"/>
  <c r="AF140" i="2"/>
  <c r="AB115" i="2"/>
  <c r="W59" i="2"/>
  <c r="V59" i="2"/>
  <c r="U59" i="2"/>
  <c r="T59" i="2"/>
  <c r="Y185" i="2"/>
  <c r="Y123" i="2"/>
  <c r="H285" i="2"/>
  <c r="J238" i="2"/>
  <c r="AE238" i="2"/>
  <c r="K125" i="2"/>
  <c r="L125" i="2" s="1"/>
  <c r="AB138" i="2"/>
  <c r="AB100" i="2"/>
  <c r="Y163" i="2"/>
  <c r="AO166" i="2"/>
  <c r="AP119" i="2"/>
  <c r="AR119" i="2" s="1"/>
  <c r="L124" i="2"/>
  <c r="AP193" i="2"/>
  <c r="AR193" i="2" s="1"/>
  <c r="AO240" i="2"/>
  <c r="AJ85" i="2"/>
  <c r="Y159" i="2"/>
  <c r="J151" i="2"/>
  <c r="AE151" i="2"/>
  <c r="H198" i="2"/>
  <c r="AO157" i="2"/>
  <c r="AP110" i="2"/>
  <c r="AR110" i="2" s="1"/>
  <c r="AO164" i="2"/>
  <c r="AP117" i="2"/>
  <c r="AR117" i="2" s="1"/>
  <c r="Y186" i="2"/>
  <c r="L52" i="2"/>
  <c r="K99" i="2" s="1"/>
  <c r="AF173" i="2"/>
  <c r="AF163" i="2"/>
  <c r="AG163" i="2" s="1"/>
  <c r="AH163" i="2" s="1"/>
  <c r="AD94" i="2"/>
  <c r="AB141" i="2"/>
  <c r="AG111" i="2"/>
  <c r="AH111" i="2" s="1"/>
  <c r="AO180" i="2"/>
  <c r="AP133" i="2"/>
  <c r="AR133" i="2" s="1"/>
  <c r="Y180" i="2"/>
  <c r="K106" i="2"/>
  <c r="AJ115" i="2"/>
  <c r="K178" i="2"/>
  <c r="L178" i="2" s="1"/>
  <c r="K104" i="2"/>
  <c r="AF186" i="2"/>
  <c r="AG186" i="2" s="1"/>
  <c r="AH186" i="2" s="1"/>
  <c r="H223" i="2"/>
  <c r="J176" i="2"/>
  <c r="AE176" i="2"/>
  <c r="AO167" i="2"/>
  <c r="AP120" i="2"/>
  <c r="AR120" i="2" s="1"/>
  <c r="X77" i="2"/>
  <c r="AK97" i="2"/>
  <c r="AL97" i="2" s="1"/>
  <c r="AO181" i="2"/>
  <c r="AP134" i="2"/>
  <c r="AR134" i="2" s="1"/>
  <c r="Y101" i="2"/>
  <c r="AO153" i="2"/>
  <c r="AP106" i="2"/>
  <c r="AR106" i="2" s="1"/>
  <c r="AO176" i="2"/>
  <c r="AP129" i="2"/>
  <c r="AR129" i="2" s="1"/>
  <c r="L89" i="2"/>
  <c r="K136" i="2" s="1"/>
  <c r="X16" i="2"/>
  <c r="J220" i="2"/>
  <c r="AE220" i="2"/>
  <c r="H267" i="2"/>
  <c r="Y108" i="2"/>
  <c r="W73" i="2"/>
  <c r="H258" i="2"/>
  <c r="J211" i="2"/>
  <c r="AE211" i="2"/>
  <c r="W67" i="2"/>
  <c r="V67" i="2"/>
  <c r="U67" i="2"/>
  <c r="T67" i="2"/>
  <c r="J149" i="2"/>
  <c r="AE149" i="2"/>
  <c r="H196" i="2"/>
  <c r="AO163" i="2"/>
  <c r="AP116" i="2"/>
  <c r="AR116" i="2" s="1"/>
  <c r="W81" i="2"/>
  <c r="U81" i="2"/>
  <c r="T81" i="2"/>
  <c r="V81" i="2"/>
  <c r="Y147" i="2"/>
  <c r="AO187" i="2"/>
  <c r="AP140" i="2"/>
  <c r="AR140" i="2" s="1"/>
  <c r="J152" i="2"/>
  <c r="H199" i="2"/>
  <c r="AE152" i="2"/>
  <c r="J236" i="2"/>
  <c r="H283" i="2"/>
  <c r="AE236" i="2"/>
  <c r="H275" i="2"/>
  <c r="J228" i="2"/>
  <c r="AE228" i="2"/>
  <c r="AO171" i="2"/>
  <c r="AP124" i="2"/>
  <c r="AR124" i="2" s="1"/>
  <c r="K102" i="2"/>
  <c r="AJ142" i="2"/>
  <c r="U126" i="2"/>
  <c r="V126" i="2"/>
  <c r="T126" i="2"/>
  <c r="W126" i="2"/>
  <c r="AO168" i="2"/>
  <c r="AP121" i="2"/>
  <c r="AR121" i="2" s="1"/>
  <c r="K103" i="2"/>
  <c r="L103" i="2" s="1"/>
  <c r="AO165" i="2"/>
  <c r="AP118" i="2"/>
  <c r="AR118" i="2" s="1"/>
  <c r="AP194" i="2"/>
  <c r="AR194" i="2" s="1"/>
  <c r="AO241" i="2"/>
  <c r="AO178" i="2"/>
  <c r="AP131" i="2"/>
  <c r="AR131" i="2" s="1"/>
  <c r="Y103" i="2"/>
  <c r="AO177" i="2"/>
  <c r="AP130" i="2"/>
  <c r="AR130" i="2" s="1"/>
  <c r="AO179" i="2"/>
  <c r="AP132" i="2"/>
  <c r="AR132" i="2" s="1"/>
  <c r="Y119" i="2"/>
  <c r="H315" i="2"/>
  <c r="J268" i="2"/>
  <c r="AE268" i="2"/>
  <c r="Y106" i="2"/>
  <c r="AF135" i="2"/>
  <c r="AK127" i="2"/>
  <c r="AL127" i="2" s="1"/>
  <c r="J207" i="2"/>
  <c r="H254" i="2"/>
  <c r="AE207" i="2"/>
  <c r="W58" i="2"/>
  <c r="V58" i="2"/>
  <c r="U58" i="2"/>
  <c r="T58" i="2"/>
  <c r="K105" i="2"/>
  <c r="K119" i="2"/>
  <c r="L119" i="2" s="1"/>
  <c r="X49" i="2"/>
  <c r="L96" i="2"/>
  <c r="K164" i="2"/>
  <c r="L164" i="2" s="1"/>
  <c r="K128" i="2"/>
  <c r="AP199" i="2"/>
  <c r="AR199" i="2" s="1"/>
  <c r="AO246" i="2"/>
  <c r="AO189" i="2"/>
  <c r="AP142" i="2"/>
  <c r="AR142" i="2" s="1"/>
  <c r="AP196" i="2"/>
  <c r="AR196" i="2" s="1"/>
  <c r="AO243" i="2"/>
  <c r="AJ120" i="2"/>
  <c r="H217" i="2"/>
  <c r="J170" i="2"/>
  <c r="AE170" i="2"/>
  <c r="Y125" i="2"/>
  <c r="Y191" i="2"/>
  <c r="X31" i="2"/>
  <c r="AG131" i="2"/>
  <c r="AH131" i="2" s="1"/>
  <c r="AK137" i="2"/>
  <c r="AL137" i="2" s="1"/>
  <c r="X79" i="2"/>
  <c r="AK104" i="2"/>
  <c r="AL104" i="2" s="1"/>
  <c r="AG113" i="2"/>
  <c r="AH113" i="2" s="1"/>
  <c r="AG134" i="2"/>
  <c r="AH134" i="2" s="1"/>
  <c r="AK139" i="2"/>
  <c r="AL139" i="2" s="1"/>
  <c r="AF189" i="2"/>
  <c r="AG189" i="2" s="1"/>
  <c r="AH189" i="2" s="1"/>
  <c r="K187" i="2"/>
  <c r="L187" i="2" s="1"/>
  <c r="AF157" i="2"/>
  <c r="AC144" i="2"/>
  <c r="AD144" i="2" s="1"/>
  <c r="Y111" i="2"/>
  <c r="L111" i="2"/>
  <c r="AF128" i="2"/>
  <c r="AG128" i="2" s="1"/>
  <c r="AH128" i="2" s="1"/>
  <c r="J192" i="2"/>
  <c r="H239" i="2"/>
  <c r="AE192" i="2"/>
  <c r="AB123" i="2"/>
  <c r="J193" i="2"/>
  <c r="H240" i="2"/>
  <c r="AE193" i="2"/>
  <c r="AK101" i="2"/>
  <c r="AL101" i="2" s="1"/>
  <c r="AF170" i="2"/>
  <c r="AJ130" i="2"/>
  <c r="AB140" i="2"/>
  <c r="AJ91" i="2"/>
  <c r="AJ134" i="2"/>
  <c r="J188" i="2"/>
  <c r="H235" i="2"/>
  <c r="AE188" i="2"/>
  <c r="H256" i="2"/>
  <c r="J209" i="2"/>
  <c r="AE209" i="2"/>
  <c r="AO188" i="2"/>
  <c r="AP141" i="2"/>
  <c r="AR141" i="2" s="1"/>
  <c r="W66" i="2"/>
  <c r="V66" i="2"/>
  <c r="U66" i="2"/>
  <c r="T66" i="2"/>
  <c r="K113" i="2"/>
  <c r="J148" i="2"/>
  <c r="H195" i="2"/>
  <c r="AE148" i="2"/>
  <c r="W142" i="2"/>
  <c r="V142" i="2"/>
  <c r="U142" i="2"/>
  <c r="T142" i="2"/>
  <c r="K129" i="2"/>
  <c r="L129" i="2" s="1"/>
  <c r="W69" i="2"/>
  <c r="V69" i="2"/>
  <c r="U69" i="2"/>
  <c r="T69" i="2"/>
  <c r="J155" i="2"/>
  <c r="AE155" i="2"/>
  <c r="H202" i="2"/>
  <c r="AO175" i="2"/>
  <c r="AP128" i="2"/>
  <c r="AR128" i="2" s="1"/>
  <c r="L51" i="2"/>
  <c r="K98" i="2" s="1"/>
  <c r="AK135" i="2"/>
  <c r="AL135" i="2" s="1"/>
  <c r="Y164" i="2"/>
  <c r="Y161" i="2"/>
  <c r="AK109" i="2"/>
  <c r="AL109" i="2" s="1"/>
  <c r="AK76" i="2"/>
  <c r="AL76" i="2" s="1"/>
  <c r="T54" i="2"/>
  <c r="Y189" i="2"/>
  <c r="L189" i="2"/>
  <c r="K236" i="2" s="1"/>
  <c r="Y181" i="2"/>
  <c r="AK131" i="2"/>
  <c r="AL131" i="2" s="1"/>
  <c r="AF176" i="2"/>
  <c r="J231" i="2"/>
  <c r="H278" i="2"/>
  <c r="AE231" i="2"/>
  <c r="W68" i="2"/>
  <c r="V68" i="2"/>
  <c r="U68" i="2"/>
  <c r="T68" i="2"/>
  <c r="J150" i="2"/>
  <c r="H197" i="2"/>
  <c r="AE150" i="2"/>
  <c r="J166" i="2"/>
  <c r="H213" i="2"/>
  <c r="AE166" i="2"/>
  <c r="AG98" i="2"/>
  <c r="AH98" i="2" s="1"/>
  <c r="Y118" i="2"/>
  <c r="J153" i="2"/>
  <c r="AE153" i="2"/>
  <c r="H200" i="2"/>
  <c r="AC124" i="2"/>
  <c r="AD124" i="2" s="1"/>
  <c r="AF168" i="2"/>
  <c r="L122" i="2"/>
  <c r="K169" i="2" s="1"/>
  <c r="H272" i="2"/>
  <c r="J225" i="2"/>
  <c r="AE225" i="2"/>
  <c r="AF155" i="2"/>
  <c r="Y160" i="2"/>
  <c r="AG109" i="2"/>
  <c r="AH109" i="2" s="1"/>
  <c r="L74" i="2"/>
  <c r="K121" i="2" s="1"/>
  <c r="Y171" i="2"/>
  <c r="AC128" i="2"/>
  <c r="AD128" i="2" s="1"/>
  <c r="W117" i="2"/>
  <c r="Y107" i="2"/>
  <c r="L107" i="2"/>
  <c r="K181" i="2"/>
  <c r="L181" i="2" s="1"/>
  <c r="AJ100" i="2"/>
  <c r="L88" i="2"/>
  <c r="Y110" i="2"/>
  <c r="H219" i="2"/>
  <c r="J172" i="2"/>
  <c r="AE172" i="2"/>
  <c r="AJ164" i="2"/>
  <c r="AP191" i="2"/>
  <c r="AR191" i="2" s="1"/>
  <c r="AO238" i="2"/>
  <c r="J210" i="2"/>
  <c r="H257" i="2"/>
  <c r="AE210" i="2"/>
  <c r="AC120" i="2"/>
  <c r="AD120" i="2" s="1"/>
  <c r="AC108" i="2"/>
  <c r="AD108" i="2" s="1"/>
  <c r="J224" i="2"/>
  <c r="AE224" i="2"/>
  <c r="H271" i="2"/>
  <c r="J206" i="2"/>
  <c r="H253" i="2"/>
  <c r="AE206" i="2"/>
  <c r="AG104" i="2"/>
  <c r="AH104" i="2" s="1"/>
  <c r="AO170" i="2"/>
  <c r="AP123" i="2"/>
  <c r="AR123" i="2" s="1"/>
  <c r="AO244" i="2"/>
  <c r="AP197" i="2"/>
  <c r="AR197" i="2" s="1"/>
  <c r="J158" i="2"/>
  <c r="H205" i="2"/>
  <c r="AE158" i="2"/>
  <c r="AO186" i="2"/>
  <c r="AP139" i="2"/>
  <c r="AR139" i="2" s="1"/>
  <c r="AF100" i="2"/>
  <c r="AO161" i="2"/>
  <c r="AP114" i="2"/>
  <c r="AR114" i="2" s="1"/>
  <c r="X84" i="2"/>
  <c r="Y146" i="2"/>
  <c r="AG136" i="2"/>
  <c r="AH136" i="2" s="1"/>
  <c r="AO151" i="2"/>
  <c r="AP104" i="2"/>
  <c r="AR104" i="2" s="1"/>
  <c r="AJ176" i="2"/>
  <c r="U73" i="2" l="1"/>
  <c r="V100" i="2"/>
  <c r="V73" i="2"/>
  <c r="K120" i="2"/>
  <c r="T62" i="2"/>
  <c r="X53" i="2"/>
  <c r="T117" i="2"/>
  <c r="U117" i="2"/>
  <c r="W70" i="2"/>
  <c r="AF150" i="2"/>
  <c r="T70" i="2"/>
  <c r="AF185" i="2"/>
  <c r="AG185" i="2" s="1"/>
  <c r="AH185" i="2" s="1"/>
  <c r="V70" i="2"/>
  <c r="AH132" i="2"/>
  <c r="AF179" i="2"/>
  <c r="AG169" i="2"/>
  <c r="AH169" i="2" s="1"/>
  <c r="T80" i="2"/>
  <c r="AF149" i="2"/>
  <c r="AG149" i="2" s="1"/>
  <c r="AH149" i="2" s="1"/>
  <c r="U62" i="2"/>
  <c r="W100" i="2"/>
  <c r="AF171" i="2"/>
  <c r="AG171" i="2" s="1"/>
  <c r="AH171" i="2" s="1"/>
  <c r="V62" i="2"/>
  <c r="X62" i="2" s="1"/>
  <c r="T100" i="2"/>
  <c r="K147" i="2"/>
  <c r="L147" i="2" s="1"/>
  <c r="K109" i="2"/>
  <c r="AB99" i="2"/>
  <c r="AC99" i="2" s="1"/>
  <c r="AD99" i="2" s="1"/>
  <c r="U54" i="2"/>
  <c r="AF167" i="2"/>
  <c r="AG167" i="2" s="1"/>
  <c r="AH167" i="2" s="1"/>
  <c r="X93" i="2"/>
  <c r="U80" i="2"/>
  <c r="W80" i="2"/>
  <c r="V54" i="2"/>
  <c r="X54" i="2" s="1"/>
  <c r="AF148" i="2"/>
  <c r="K101" i="2"/>
  <c r="L101" i="2" s="1"/>
  <c r="V101" i="2" s="1"/>
  <c r="K127" i="2"/>
  <c r="X75" i="2"/>
  <c r="AF162" i="2"/>
  <c r="X95" i="2"/>
  <c r="K118" i="2"/>
  <c r="L118" i="2" s="1"/>
  <c r="U118" i="2" s="1"/>
  <c r="T71" i="2"/>
  <c r="AF165" i="2"/>
  <c r="AG165" i="2" s="1"/>
  <c r="AF184" i="2"/>
  <c r="AG184" i="2" s="1"/>
  <c r="AH184" i="2" s="1"/>
  <c r="W71" i="2"/>
  <c r="AF211" i="2"/>
  <c r="AG211" i="2" s="1"/>
  <c r="AH211" i="2" s="1"/>
  <c r="AK52" i="2"/>
  <c r="AL52" i="2" s="1"/>
  <c r="AJ141" i="2"/>
  <c r="AK141" i="2" s="1"/>
  <c r="AL141" i="2" s="1"/>
  <c r="AF172" i="2"/>
  <c r="AG172" i="2" s="1"/>
  <c r="AG152" i="2"/>
  <c r="AH152" i="2" s="1"/>
  <c r="W130" i="2"/>
  <c r="V130" i="2"/>
  <c r="AK66" i="2"/>
  <c r="AL66" i="2" s="1"/>
  <c r="AC66" i="2"/>
  <c r="AD66" i="2" s="1"/>
  <c r="AF154" i="2"/>
  <c r="AG154" i="2" s="1"/>
  <c r="AH154" i="2" s="1"/>
  <c r="AF153" i="2"/>
  <c r="AG153" i="2" s="1"/>
  <c r="AB111" i="2"/>
  <c r="AC111" i="2" s="1"/>
  <c r="AD111" i="2" s="1"/>
  <c r="AK64" i="2"/>
  <c r="AL64" i="2" s="1"/>
  <c r="X78" i="2"/>
  <c r="AB155" i="2"/>
  <c r="AC155" i="2" s="1"/>
  <c r="AD155" i="2" s="1"/>
  <c r="U86" i="2"/>
  <c r="T86" i="2"/>
  <c r="W86" i="2"/>
  <c r="K133" i="2"/>
  <c r="V86" i="2"/>
  <c r="K177" i="2"/>
  <c r="L177" i="2" s="1"/>
  <c r="U177" i="2" s="1"/>
  <c r="AB175" i="2"/>
  <c r="AC175" i="2" s="1"/>
  <c r="AD175" i="2" s="1"/>
  <c r="AG150" i="2"/>
  <c r="AH150" i="2" s="1"/>
  <c r="U130" i="2"/>
  <c r="AB157" i="2"/>
  <c r="AC157" i="2" s="1"/>
  <c r="AD157" i="2" s="1"/>
  <c r="AJ213" i="2"/>
  <c r="AK213" i="2" s="1"/>
  <c r="AL213" i="2" s="1"/>
  <c r="AJ187" i="2"/>
  <c r="AK187" i="2" s="1"/>
  <c r="AL187" i="2" s="1"/>
  <c r="X56" i="2"/>
  <c r="V83" i="2"/>
  <c r="T83" i="2"/>
  <c r="W83" i="2"/>
  <c r="U83" i="2"/>
  <c r="T130" i="2"/>
  <c r="X61" i="2"/>
  <c r="AJ178" i="2"/>
  <c r="AK178" i="2" s="1"/>
  <c r="AL178" i="2" s="1"/>
  <c r="X60" i="2"/>
  <c r="AB154" i="2"/>
  <c r="AC154" i="2" s="1"/>
  <c r="AD154" i="2" s="1"/>
  <c r="AB163" i="2"/>
  <c r="AC163" i="2" s="1"/>
  <c r="AD163" i="2" s="1"/>
  <c r="AB171" i="2"/>
  <c r="AC171" i="2" s="1"/>
  <c r="AD171" i="2" s="1"/>
  <c r="AB151" i="2"/>
  <c r="AC151" i="2" s="1"/>
  <c r="AD151" i="2" s="1"/>
  <c r="AJ156" i="2"/>
  <c r="AK156" i="2" s="1"/>
  <c r="AL156" i="2" s="1"/>
  <c r="AB178" i="2"/>
  <c r="AC178" i="2" s="1"/>
  <c r="AD178" i="2" s="1"/>
  <c r="AJ182" i="2"/>
  <c r="AK182" i="2" s="1"/>
  <c r="AL182" i="2" s="1"/>
  <c r="AG155" i="2"/>
  <c r="AH155" i="2" s="1"/>
  <c r="AJ123" i="2"/>
  <c r="AK123" i="2" s="1"/>
  <c r="AL123" i="2" s="1"/>
  <c r="AJ184" i="2"/>
  <c r="AB186" i="2"/>
  <c r="AC186" i="2" s="1"/>
  <c r="AD186" i="2" s="1"/>
  <c r="AB179" i="2"/>
  <c r="AB148" i="2"/>
  <c r="AC148" i="2" s="1"/>
  <c r="AD148" i="2" s="1"/>
  <c r="AJ173" i="2"/>
  <c r="AK173" i="2" s="1"/>
  <c r="AL173" i="2" s="1"/>
  <c r="AG179" i="2"/>
  <c r="AH179" i="2" s="1"/>
  <c r="AB180" i="2"/>
  <c r="AC180" i="2" s="1"/>
  <c r="AD180" i="2" s="1"/>
  <c r="AJ112" i="2"/>
  <c r="AK112" i="2" s="1"/>
  <c r="AL112" i="2" s="1"/>
  <c r="X100" i="2"/>
  <c r="AF151" i="2"/>
  <c r="AF156" i="2"/>
  <c r="AG156" i="2" s="1"/>
  <c r="V92" i="2"/>
  <c r="U92" i="2"/>
  <c r="T92" i="2"/>
  <c r="W92" i="2"/>
  <c r="K139" i="2"/>
  <c r="AF160" i="2"/>
  <c r="AG160" i="2" s="1"/>
  <c r="AH160" i="2" s="1"/>
  <c r="X70" i="2"/>
  <c r="AF158" i="2"/>
  <c r="AG158" i="2" s="1"/>
  <c r="AJ118" i="2"/>
  <c r="AK118" i="2" s="1"/>
  <c r="AL118" i="2" s="1"/>
  <c r="AJ200" i="2"/>
  <c r="AK200" i="2" s="1"/>
  <c r="AL200" i="2" s="1"/>
  <c r="AJ149" i="2"/>
  <c r="AK149" i="2" s="1"/>
  <c r="AL149" i="2" s="1"/>
  <c r="X82" i="2"/>
  <c r="V97" i="2"/>
  <c r="U97" i="2"/>
  <c r="T97" i="2"/>
  <c r="W97" i="2"/>
  <c r="K144" i="2"/>
  <c r="AJ219" i="2"/>
  <c r="AK219" i="2" s="1"/>
  <c r="AL219" i="2" s="1"/>
  <c r="AB158" i="2"/>
  <c r="AC158" i="2" s="1"/>
  <c r="AD158" i="2" s="1"/>
  <c r="AJ183" i="2"/>
  <c r="AK183" i="2" s="1"/>
  <c r="AL183" i="2" s="1"/>
  <c r="AF183" i="2"/>
  <c r="AG183" i="2" s="1"/>
  <c r="AH183" i="2" s="1"/>
  <c r="X73" i="2"/>
  <c r="AJ143" i="2"/>
  <c r="AK143" i="2" s="1"/>
  <c r="AL143" i="2" s="1"/>
  <c r="AJ161" i="2"/>
  <c r="AK161" i="2" s="1"/>
  <c r="AL161" i="2" s="1"/>
  <c r="W129" i="2"/>
  <c r="U129" i="2"/>
  <c r="V129" i="2"/>
  <c r="T129" i="2"/>
  <c r="T181" i="2"/>
  <c r="W181" i="2"/>
  <c r="V181" i="2"/>
  <c r="U181" i="2"/>
  <c r="T178" i="2"/>
  <c r="W178" i="2"/>
  <c r="V178" i="2"/>
  <c r="U178" i="2"/>
  <c r="L138" i="2"/>
  <c r="L169" i="2"/>
  <c r="U119" i="2"/>
  <c r="V119" i="2"/>
  <c r="T119" i="2"/>
  <c r="W119" i="2"/>
  <c r="Y210" i="2"/>
  <c r="AK91" i="2"/>
  <c r="AL91" i="2" s="1"/>
  <c r="Y192" i="2"/>
  <c r="Y170" i="2"/>
  <c r="AO288" i="2"/>
  <c r="AP241" i="2"/>
  <c r="AR241" i="2" s="1"/>
  <c r="J275" i="2"/>
  <c r="AE275" i="2"/>
  <c r="H322" i="2"/>
  <c r="AP187" i="2"/>
  <c r="AR187" i="2" s="1"/>
  <c r="AO234" i="2"/>
  <c r="L136" i="2"/>
  <c r="U124" i="2"/>
  <c r="V124" i="2"/>
  <c r="T124" i="2"/>
  <c r="W124" i="2"/>
  <c r="Y167" i="2"/>
  <c r="AP183" i="2"/>
  <c r="AR183" i="2" s="1"/>
  <c r="AO230" i="2"/>
  <c r="Y208" i="2"/>
  <c r="AC134" i="2"/>
  <c r="AD134" i="2" s="1"/>
  <c r="AC122" i="2"/>
  <c r="AD122" i="2" s="1"/>
  <c r="AP184" i="2"/>
  <c r="AR184" i="2" s="1"/>
  <c r="AO231" i="2"/>
  <c r="AC106" i="2"/>
  <c r="AD106" i="2" s="1"/>
  <c r="Y233" i="2"/>
  <c r="AP185" i="2"/>
  <c r="AR185" i="2" s="1"/>
  <c r="AO232" i="2"/>
  <c r="J277" i="2"/>
  <c r="AE277" i="2"/>
  <c r="H324" i="2"/>
  <c r="H312" i="2"/>
  <c r="J265" i="2"/>
  <c r="AE265" i="2"/>
  <c r="AO201" i="2"/>
  <c r="AP154" i="2"/>
  <c r="AR154" i="2" s="1"/>
  <c r="AC117" i="2"/>
  <c r="AD117" i="2" s="1"/>
  <c r="AP174" i="2"/>
  <c r="AR174" i="2" s="1"/>
  <c r="AO221" i="2"/>
  <c r="H288" i="2"/>
  <c r="J241" i="2"/>
  <c r="AE241" i="2"/>
  <c r="W132" i="2"/>
  <c r="U132" i="2"/>
  <c r="V132" i="2"/>
  <c r="T132" i="2"/>
  <c r="AK116" i="2"/>
  <c r="AL116" i="2" s="1"/>
  <c r="W162" i="2"/>
  <c r="V162" i="2"/>
  <c r="U162" i="2"/>
  <c r="T162" i="2"/>
  <c r="AP173" i="2"/>
  <c r="AR173" i="2" s="1"/>
  <c r="AO220" i="2"/>
  <c r="AG100" i="2"/>
  <c r="AH100" i="2" s="1"/>
  <c r="J205" i="2"/>
  <c r="H252" i="2"/>
  <c r="AE205" i="2"/>
  <c r="X117" i="2"/>
  <c r="W164" i="2"/>
  <c r="V164" i="2"/>
  <c r="U164" i="2"/>
  <c r="T164" i="2"/>
  <c r="Y155" i="2"/>
  <c r="AG148" i="2"/>
  <c r="AH148" i="2" s="1"/>
  <c r="AC140" i="2"/>
  <c r="AD140" i="2" s="1"/>
  <c r="AB191" i="2"/>
  <c r="AJ186" i="2"/>
  <c r="AJ151" i="2"/>
  <c r="AP179" i="2"/>
  <c r="AR179" i="2" s="1"/>
  <c r="AO226" i="2"/>
  <c r="K150" i="2"/>
  <c r="L150" i="2" s="1"/>
  <c r="AK142" i="2"/>
  <c r="AL142" i="2" s="1"/>
  <c r="AO218" i="2"/>
  <c r="AP171" i="2"/>
  <c r="AR171" i="2" s="1"/>
  <c r="J199" i="2"/>
  <c r="AE199" i="2"/>
  <c r="H246" i="2"/>
  <c r="J258" i="2"/>
  <c r="H305" i="2"/>
  <c r="AE258" i="2"/>
  <c r="AO214" i="2"/>
  <c r="AP167" i="2"/>
  <c r="AR167" i="2" s="1"/>
  <c r="Y151" i="2"/>
  <c r="AK85" i="2"/>
  <c r="AL85" i="2" s="1"/>
  <c r="K172" i="2"/>
  <c r="L172" i="2" s="1"/>
  <c r="U123" i="2"/>
  <c r="V123" i="2"/>
  <c r="T123" i="2"/>
  <c r="W123" i="2"/>
  <c r="X59" i="2"/>
  <c r="AC115" i="2"/>
  <c r="AD115" i="2" s="1"/>
  <c r="J214" i="2"/>
  <c r="AE214" i="2"/>
  <c r="H261" i="2"/>
  <c r="AC105" i="2"/>
  <c r="AD105" i="2" s="1"/>
  <c r="AJ152" i="2"/>
  <c r="AC143" i="2"/>
  <c r="AD143" i="2" s="1"/>
  <c r="L105" i="2"/>
  <c r="J226" i="2"/>
  <c r="AE226" i="2"/>
  <c r="H273" i="2"/>
  <c r="J255" i="2"/>
  <c r="H302" i="2"/>
  <c r="AE255" i="2"/>
  <c r="AP182" i="2"/>
  <c r="AR182" i="2" s="1"/>
  <c r="AO229" i="2"/>
  <c r="AG168" i="2"/>
  <c r="AH168" i="2" s="1"/>
  <c r="AF145" i="2"/>
  <c r="L128" i="2"/>
  <c r="AC102" i="2"/>
  <c r="AD102" i="2" s="1"/>
  <c r="AO209" i="2"/>
  <c r="AP162" i="2"/>
  <c r="AR162" i="2" s="1"/>
  <c r="AF206" i="2"/>
  <c r="AG206" i="2" s="1"/>
  <c r="AH206" i="2" s="1"/>
  <c r="AJ154" i="2"/>
  <c r="H327" i="2"/>
  <c r="J280" i="2"/>
  <c r="AE280" i="2"/>
  <c r="AC121" i="2"/>
  <c r="AD121" i="2" s="1"/>
  <c r="AC136" i="2"/>
  <c r="AD136" i="2" s="1"/>
  <c r="H326" i="2"/>
  <c r="J279" i="2"/>
  <c r="AE279" i="2"/>
  <c r="AG157" i="2"/>
  <c r="AH157" i="2" s="1"/>
  <c r="Y237" i="2"/>
  <c r="Y154" i="2"/>
  <c r="AC103" i="2"/>
  <c r="AD103" i="2" s="1"/>
  <c r="AB159" i="2"/>
  <c r="X140" i="2"/>
  <c r="L112" i="2"/>
  <c r="K159" i="2" s="1"/>
  <c r="L114" i="2"/>
  <c r="K161" i="2" s="1"/>
  <c r="Y165" i="2"/>
  <c r="AF177" i="2"/>
  <c r="AF178" i="2"/>
  <c r="AJ124" i="2"/>
  <c r="X131" i="2"/>
  <c r="Y194" i="2"/>
  <c r="X76" i="2"/>
  <c r="X137" i="2"/>
  <c r="X57" i="2"/>
  <c r="AF174" i="2"/>
  <c r="AJ192" i="2"/>
  <c r="Y175" i="2"/>
  <c r="U115" i="2"/>
  <c r="W115" i="2"/>
  <c r="V115" i="2"/>
  <c r="T115" i="2"/>
  <c r="X55" i="2"/>
  <c r="Y193" i="2"/>
  <c r="W111" i="2"/>
  <c r="V111" i="2"/>
  <c r="U111" i="2"/>
  <c r="T111" i="2"/>
  <c r="Y211" i="2"/>
  <c r="H314" i="2"/>
  <c r="J267" i="2"/>
  <c r="AE267" i="2"/>
  <c r="AP181" i="2"/>
  <c r="AR181" i="2" s="1"/>
  <c r="AO228" i="2"/>
  <c r="K158" i="2"/>
  <c r="L158" i="2" s="1"/>
  <c r="L99" i="2"/>
  <c r="J263" i="2"/>
  <c r="AE263" i="2"/>
  <c r="H310" i="2"/>
  <c r="AO205" i="2"/>
  <c r="AP158" i="2"/>
  <c r="AR158" i="2" s="1"/>
  <c r="H251" i="2"/>
  <c r="J204" i="2"/>
  <c r="AE204" i="2"/>
  <c r="J201" i="2"/>
  <c r="AE201" i="2"/>
  <c r="H248" i="2"/>
  <c r="J276" i="2"/>
  <c r="AE276" i="2"/>
  <c r="H323" i="2"/>
  <c r="L116" i="2"/>
  <c r="K163" i="2" s="1"/>
  <c r="J253" i="2"/>
  <c r="H300" i="2"/>
  <c r="AE253" i="2"/>
  <c r="AB167" i="2"/>
  <c r="H266" i="2"/>
  <c r="J219" i="2"/>
  <c r="AE219" i="2"/>
  <c r="K228" i="2"/>
  <c r="L228" i="2" s="1"/>
  <c r="W107" i="2"/>
  <c r="V107" i="2"/>
  <c r="U107" i="2"/>
  <c r="T107" i="2"/>
  <c r="AJ180" i="2"/>
  <c r="J200" i="2"/>
  <c r="AE200" i="2"/>
  <c r="H247" i="2"/>
  <c r="J197" i="2"/>
  <c r="H244" i="2"/>
  <c r="AE197" i="2"/>
  <c r="X142" i="2"/>
  <c r="AC123" i="2"/>
  <c r="AD123" i="2" s="1"/>
  <c r="H264" i="2"/>
  <c r="J217" i="2"/>
  <c r="AE217" i="2"/>
  <c r="AO290" i="2"/>
  <c r="AP243" i="2"/>
  <c r="AR243" i="2" s="1"/>
  <c r="W96" i="2"/>
  <c r="V96" i="2"/>
  <c r="U96" i="2"/>
  <c r="T96" i="2"/>
  <c r="AJ174" i="2"/>
  <c r="X126" i="2"/>
  <c r="Y149" i="2"/>
  <c r="W108" i="2"/>
  <c r="V108" i="2"/>
  <c r="U108" i="2"/>
  <c r="T108" i="2"/>
  <c r="K225" i="2"/>
  <c r="Y158" i="2"/>
  <c r="AJ169" i="2"/>
  <c r="AO217" i="2"/>
  <c r="AP170" i="2"/>
  <c r="AR170" i="2" s="1"/>
  <c r="Y206" i="2"/>
  <c r="AK164" i="2"/>
  <c r="AL164" i="2" s="1"/>
  <c r="T74" i="2"/>
  <c r="W74" i="2"/>
  <c r="V74" i="2"/>
  <c r="U74" i="2"/>
  <c r="Y225" i="2"/>
  <c r="H260" i="2"/>
  <c r="J213" i="2"/>
  <c r="AE213" i="2"/>
  <c r="Y150" i="2"/>
  <c r="J278" i="2"/>
  <c r="AE278" i="2"/>
  <c r="H325" i="2"/>
  <c r="W51" i="2"/>
  <c r="V51" i="2"/>
  <c r="U51" i="2"/>
  <c r="T51" i="2"/>
  <c r="AP175" i="2"/>
  <c r="AR175" i="2" s="1"/>
  <c r="AO222" i="2"/>
  <c r="X69" i="2"/>
  <c r="K179" i="2"/>
  <c r="L179" i="2" s="1"/>
  <c r="J195" i="2"/>
  <c r="H242" i="2"/>
  <c r="AE195" i="2"/>
  <c r="Y209" i="2"/>
  <c r="Y188" i="2"/>
  <c r="AK130" i="2"/>
  <c r="AL130" i="2" s="1"/>
  <c r="AF236" i="2"/>
  <c r="AP189" i="2"/>
  <c r="AR189" i="2" s="1"/>
  <c r="AO236" i="2"/>
  <c r="AJ204" i="2"/>
  <c r="X58" i="2"/>
  <c r="AG135" i="2"/>
  <c r="AH135" i="2" s="1"/>
  <c r="Y268" i="2"/>
  <c r="J283" i="2"/>
  <c r="H330" i="2"/>
  <c r="AE283" i="2"/>
  <c r="Y152" i="2"/>
  <c r="AB156" i="2"/>
  <c r="X81" i="2"/>
  <c r="AO210" i="2"/>
  <c r="AP163" i="2"/>
  <c r="AR163" i="2" s="1"/>
  <c r="X67" i="2"/>
  <c r="Y220" i="2"/>
  <c r="W89" i="2"/>
  <c r="V89" i="2"/>
  <c r="U89" i="2"/>
  <c r="T89" i="2"/>
  <c r="AP176" i="2"/>
  <c r="AR176" i="2" s="1"/>
  <c r="AO223" i="2"/>
  <c r="AJ144" i="2"/>
  <c r="AG176" i="2"/>
  <c r="AH176" i="2" s="1"/>
  <c r="AG162" i="2"/>
  <c r="AH162" i="2" s="1"/>
  <c r="AB189" i="2"/>
  <c r="AB182" i="2"/>
  <c r="AK115" i="2"/>
  <c r="AL115" i="2" s="1"/>
  <c r="AC141" i="2"/>
  <c r="AD141" i="2" s="1"/>
  <c r="W52" i="2"/>
  <c r="V52" i="2"/>
  <c r="U52" i="2"/>
  <c r="T52" i="2"/>
  <c r="AO204" i="2"/>
  <c r="AP157" i="2"/>
  <c r="AR157" i="2" s="1"/>
  <c r="AO287" i="2"/>
  <c r="AP240" i="2"/>
  <c r="AR240" i="2" s="1"/>
  <c r="AC100" i="2"/>
  <c r="AD100" i="2" s="1"/>
  <c r="AC118" i="2"/>
  <c r="AD118" i="2" s="1"/>
  <c r="J203" i="2"/>
  <c r="H250" i="2"/>
  <c r="AE203" i="2"/>
  <c r="X85" i="2"/>
  <c r="AJ168" i="2"/>
  <c r="Y216" i="2"/>
  <c r="Y179" i="2"/>
  <c r="AP192" i="2"/>
  <c r="AR192" i="2" s="1"/>
  <c r="AO239" i="2"/>
  <c r="L173" i="2"/>
  <c r="AJ197" i="2"/>
  <c r="Y168" i="2"/>
  <c r="AK128" i="2"/>
  <c r="AL128" i="2" s="1"/>
  <c r="AO216" i="2"/>
  <c r="AP169" i="2"/>
  <c r="AR169" i="2" s="1"/>
  <c r="X64" i="2"/>
  <c r="AC114" i="2"/>
  <c r="AD114" i="2" s="1"/>
  <c r="Y227" i="2"/>
  <c r="AC126" i="2"/>
  <c r="AD126" i="2" s="1"/>
  <c r="L104" i="2"/>
  <c r="Y157" i="2"/>
  <c r="H331" i="2"/>
  <c r="J284" i="2"/>
  <c r="AE284" i="2"/>
  <c r="AC137" i="2"/>
  <c r="AD137" i="2" s="1"/>
  <c r="AC125" i="2"/>
  <c r="AD125" i="2" s="1"/>
  <c r="X65" i="2"/>
  <c r="Y218" i="2"/>
  <c r="AF237" i="2"/>
  <c r="AP190" i="2"/>
  <c r="AR190" i="2" s="1"/>
  <c r="AO237" i="2"/>
  <c r="AO206" i="2"/>
  <c r="AP159" i="2"/>
  <c r="AR159" i="2" s="1"/>
  <c r="J281" i="2"/>
  <c r="AE281" i="2"/>
  <c r="H328" i="2"/>
  <c r="Y229" i="2"/>
  <c r="AF181" i="2"/>
  <c r="W94" i="2"/>
  <c r="V94" i="2"/>
  <c r="U94" i="2"/>
  <c r="T94" i="2"/>
  <c r="K141" i="2"/>
  <c r="AJ155" i="2"/>
  <c r="L121" i="2"/>
  <c r="K171" i="2"/>
  <c r="J222" i="2"/>
  <c r="AE222" i="2"/>
  <c r="H269" i="2"/>
  <c r="AO203" i="2"/>
  <c r="AP156" i="2"/>
  <c r="AR156" i="2" s="1"/>
  <c r="AO198" i="2"/>
  <c r="AP151" i="2"/>
  <c r="AR151" i="2" s="1"/>
  <c r="AO291" i="2"/>
  <c r="AP244" i="2"/>
  <c r="AR244" i="2" s="1"/>
  <c r="AO285" i="2"/>
  <c r="AP238" i="2"/>
  <c r="AR238" i="2" s="1"/>
  <c r="AK100" i="2"/>
  <c r="AL100" i="2" s="1"/>
  <c r="U122" i="2"/>
  <c r="V122" i="2"/>
  <c r="T122" i="2"/>
  <c r="W122" i="2"/>
  <c r="AK184" i="2"/>
  <c r="AL184" i="2" s="1"/>
  <c r="AO200" i="2"/>
  <c r="AP153" i="2"/>
  <c r="AR153" i="2" s="1"/>
  <c r="H270" i="2"/>
  <c r="J223" i="2"/>
  <c r="AE223" i="2"/>
  <c r="AP180" i="2"/>
  <c r="AR180" i="2" s="1"/>
  <c r="AO227" i="2"/>
  <c r="AF210" i="2"/>
  <c r="AG210" i="2" s="1"/>
  <c r="AH210" i="2" s="1"/>
  <c r="AO211" i="2"/>
  <c r="AP164" i="2"/>
  <c r="AR164" i="2" s="1"/>
  <c r="H332" i="2"/>
  <c r="J285" i="2"/>
  <c r="AE285" i="2"/>
  <c r="AG140" i="2"/>
  <c r="AH140" i="2" s="1"/>
  <c r="AC129" i="2"/>
  <c r="AD129" i="2" s="1"/>
  <c r="AF238" i="2"/>
  <c r="AG238" i="2" s="1"/>
  <c r="AH238" i="2" s="1"/>
  <c r="T187" i="2"/>
  <c r="W187" i="2"/>
  <c r="V187" i="2"/>
  <c r="U187" i="2"/>
  <c r="AO207" i="2"/>
  <c r="AP160" i="2"/>
  <c r="AR160" i="2" s="1"/>
  <c r="AK176" i="2"/>
  <c r="AL176" i="2" s="1"/>
  <c r="H318" i="2"/>
  <c r="J271" i="2"/>
  <c r="AE271" i="2"/>
  <c r="AB177" i="2"/>
  <c r="W88" i="2"/>
  <c r="V88" i="2"/>
  <c r="U88" i="2"/>
  <c r="T88" i="2"/>
  <c r="X66" i="2"/>
  <c r="J235" i="2"/>
  <c r="AE235" i="2"/>
  <c r="H282" i="2"/>
  <c r="AJ148" i="2"/>
  <c r="U125" i="2"/>
  <c r="V125" i="2"/>
  <c r="T125" i="2"/>
  <c r="W125" i="2"/>
  <c r="AG141" i="2"/>
  <c r="AH141" i="2" s="1"/>
  <c r="AO208" i="2"/>
  <c r="AP161" i="2"/>
  <c r="AR161" i="2" s="1"/>
  <c r="AP186" i="2"/>
  <c r="AR186" i="2" s="1"/>
  <c r="AO233" i="2"/>
  <c r="Y224" i="2"/>
  <c r="J257" i="2"/>
  <c r="AE257" i="2"/>
  <c r="H304" i="2"/>
  <c r="L110" i="2"/>
  <c r="K135" i="2"/>
  <c r="H319" i="2"/>
  <c r="J272" i="2"/>
  <c r="AE272" i="2"/>
  <c r="Y153" i="2"/>
  <c r="Y166" i="2"/>
  <c r="X68" i="2"/>
  <c r="Y231" i="2"/>
  <c r="L231" i="2"/>
  <c r="T189" i="2"/>
  <c r="W189" i="2"/>
  <c r="V189" i="2"/>
  <c r="U189" i="2"/>
  <c r="H249" i="2"/>
  <c r="J202" i="2"/>
  <c r="AE202" i="2"/>
  <c r="Y148" i="2"/>
  <c r="J256" i="2"/>
  <c r="H303" i="2"/>
  <c r="AE256" i="2"/>
  <c r="AK134" i="2"/>
  <c r="AL134" i="2" s="1"/>
  <c r="H287" i="2"/>
  <c r="J240" i="2"/>
  <c r="AE240" i="2"/>
  <c r="J239" i="2"/>
  <c r="AE239" i="2"/>
  <c r="H286" i="2"/>
  <c r="AF175" i="2"/>
  <c r="K154" i="2"/>
  <c r="K234" i="2"/>
  <c r="L234" i="2" s="1"/>
  <c r="AG170" i="2"/>
  <c r="AH170" i="2" s="1"/>
  <c r="AK120" i="2"/>
  <c r="AL120" i="2" s="1"/>
  <c r="AO293" i="2"/>
  <c r="AP246" i="2"/>
  <c r="AR246" i="2" s="1"/>
  <c r="K211" i="2"/>
  <c r="K143" i="2"/>
  <c r="K166" i="2"/>
  <c r="J254" i="2"/>
  <c r="H301" i="2"/>
  <c r="AE254" i="2"/>
  <c r="AF227" i="2"/>
  <c r="L106" i="2"/>
  <c r="AE315" i="2"/>
  <c r="H362" i="2"/>
  <c r="J315" i="2"/>
  <c r="AP177" i="2"/>
  <c r="AR177" i="2" s="1"/>
  <c r="AO224" i="2"/>
  <c r="AP178" i="2"/>
  <c r="AR178" i="2" s="1"/>
  <c r="AO225" i="2"/>
  <c r="AO212" i="2"/>
  <c r="AP165" i="2"/>
  <c r="AR165" i="2" s="1"/>
  <c r="AO215" i="2"/>
  <c r="AP168" i="2"/>
  <c r="AR168" i="2" s="1"/>
  <c r="Y228" i="2"/>
  <c r="Y236" i="2"/>
  <c r="L236" i="2"/>
  <c r="J196" i="2"/>
  <c r="H243" i="2"/>
  <c r="AE196" i="2"/>
  <c r="Y176" i="2"/>
  <c r="AF233" i="2"/>
  <c r="AG233" i="2" s="1"/>
  <c r="AH233" i="2" s="1"/>
  <c r="AG146" i="2"/>
  <c r="AH146" i="2" s="1"/>
  <c r="J198" i="2"/>
  <c r="H245" i="2"/>
  <c r="AE198" i="2"/>
  <c r="AO213" i="2"/>
  <c r="AP166" i="2"/>
  <c r="AR166" i="2" s="1"/>
  <c r="AC138" i="2"/>
  <c r="AD138" i="2" s="1"/>
  <c r="Y238" i="2"/>
  <c r="X134" i="2"/>
  <c r="Y156" i="2"/>
  <c r="AO202" i="2"/>
  <c r="AP155" i="2"/>
  <c r="AR155" i="2" s="1"/>
  <c r="AC119" i="2"/>
  <c r="AD119" i="2" s="1"/>
  <c r="K155" i="2"/>
  <c r="L102" i="2"/>
  <c r="H262" i="2"/>
  <c r="J215" i="2"/>
  <c r="AE215" i="2"/>
  <c r="AF166" i="2"/>
  <c r="AG166" i="2" s="1"/>
  <c r="AH166" i="2" s="1"/>
  <c r="X63" i="2"/>
  <c r="J274" i="2"/>
  <c r="AE274" i="2"/>
  <c r="H321" i="2"/>
  <c r="AO289" i="2"/>
  <c r="AP242" i="2"/>
  <c r="AR242" i="2" s="1"/>
  <c r="AC98" i="2"/>
  <c r="AD98" i="2" s="1"/>
  <c r="Y232" i="2"/>
  <c r="Y230" i="2"/>
  <c r="AF208" i="2"/>
  <c r="L120" i="2"/>
  <c r="K167" i="2" s="1"/>
  <c r="L109" i="2"/>
  <c r="J212" i="2"/>
  <c r="H259" i="2"/>
  <c r="AE212" i="2"/>
  <c r="W91" i="2"/>
  <c r="V91" i="2"/>
  <c r="U91" i="2"/>
  <c r="T91" i="2"/>
  <c r="T184" i="2"/>
  <c r="W184" i="2"/>
  <c r="V184" i="2"/>
  <c r="U184" i="2"/>
  <c r="Y234" i="2"/>
  <c r="K170" i="2"/>
  <c r="AC127" i="2"/>
  <c r="AD127" i="2" s="1"/>
  <c r="AG173" i="2"/>
  <c r="AH173" i="2" s="1"/>
  <c r="AO219" i="2"/>
  <c r="AP172" i="2"/>
  <c r="AR172" i="2" s="1"/>
  <c r="K209" i="2"/>
  <c r="Y172" i="2"/>
  <c r="L98" i="2"/>
  <c r="K145" i="2" s="1"/>
  <c r="K176" i="2"/>
  <c r="L113" i="2"/>
  <c r="K160" i="2" s="1"/>
  <c r="AP188" i="2"/>
  <c r="AR188" i="2" s="1"/>
  <c r="AO235" i="2"/>
  <c r="Y207" i="2"/>
  <c r="W103" i="2"/>
  <c r="V103" i="2"/>
  <c r="U103" i="2"/>
  <c r="T103" i="2"/>
  <c r="X72" i="2"/>
  <c r="X80" i="2" l="1"/>
  <c r="W101" i="2"/>
  <c r="T101" i="2"/>
  <c r="AF216" i="2"/>
  <c r="AG216" i="2" s="1"/>
  <c r="AH216" i="2" s="1"/>
  <c r="AF232" i="2"/>
  <c r="AG232" i="2" s="1"/>
  <c r="AH232" i="2" s="1"/>
  <c r="U101" i="2"/>
  <c r="K148" i="2"/>
  <c r="AB146" i="2"/>
  <c r="AC146" i="2" s="1"/>
  <c r="AD146" i="2" s="1"/>
  <c r="AF218" i="2"/>
  <c r="AG218" i="2" s="1"/>
  <c r="AH218" i="2" s="1"/>
  <c r="K165" i="2"/>
  <c r="L165" i="2" s="1"/>
  <c r="T165" i="2" s="1"/>
  <c r="AF207" i="2"/>
  <c r="AG207" i="2" s="1"/>
  <c r="AH207" i="2" s="1"/>
  <c r="W118" i="2"/>
  <c r="L127" i="2"/>
  <c r="K174" i="2" s="1"/>
  <c r="T118" i="2"/>
  <c r="AF231" i="2"/>
  <c r="AG231" i="2" s="1"/>
  <c r="AH231" i="2" s="1"/>
  <c r="V118" i="2"/>
  <c r="AF199" i="2"/>
  <c r="AG199" i="2" s="1"/>
  <c r="AH199" i="2" s="1"/>
  <c r="X71" i="2"/>
  <c r="AH165" i="2"/>
  <c r="AF212" i="2"/>
  <c r="AJ99" i="2"/>
  <c r="AK99" i="2" s="1"/>
  <c r="AL99" i="2" s="1"/>
  <c r="X130" i="2"/>
  <c r="AJ188" i="2"/>
  <c r="AK188" i="2" s="1"/>
  <c r="AL188" i="2" s="1"/>
  <c r="AF226" i="2"/>
  <c r="AG226" i="2" s="1"/>
  <c r="AH226" i="2" s="1"/>
  <c r="AH172" i="2"/>
  <c r="AF219" i="2"/>
  <c r="AG219" i="2" s="1"/>
  <c r="AH219" i="2" s="1"/>
  <c r="AF196" i="2"/>
  <c r="AJ111" i="2"/>
  <c r="AJ113" i="2"/>
  <c r="AK113" i="2" s="1"/>
  <c r="AL113" i="2" s="1"/>
  <c r="AB113" i="2"/>
  <c r="AC113" i="2" s="1"/>
  <c r="AD113" i="2" s="1"/>
  <c r="AB195" i="2"/>
  <c r="AC195" i="2" s="1"/>
  <c r="AD195" i="2" s="1"/>
  <c r="AF214" i="2"/>
  <c r="AG214" i="2" s="1"/>
  <c r="AH214" i="2" s="1"/>
  <c r="AG151" i="2"/>
  <c r="AH151" i="2" s="1"/>
  <c r="V177" i="2"/>
  <c r="AH156" i="2"/>
  <c r="AF203" i="2"/>
  <c r="AH153" i="2"/>
  <c r="AF200" i="2"/>
  <c r="AG200" i="2" s="1"/>
  <c r="AH200" i="2" s="1"/>
  <c r="W177" i="2"/>
  <c r="T177" i="2"/>
  <c r="X83" i="2"/>
  <c r="AF195" i="2"/>
  <c r="AG195" i="2" s="1"/>
  <c r="AH195" i="2" s="1"/>
  <c r="AJ177" i="2"/>
  <c r="AK177" i="2" s="1"/>
  <c r="AL177" i="2" s="1"/>
  <c r="K224" i="2"/>
  <c r="L224" i="2" s="1"/>
  <c r="U224" i="2" s="1"/>
  <c r="AF182" i="2"/>
  <c r="AG182" i="2" s="1"/>
  <c r="AH182" i="2" s="1"/>
  <c r="AF223" i="2"/>
  <c r="AG223" i="2" s="1"/>
  <c r="AH223" i="2" s="1"/>
  <c r="X125" i="2"/>
  <c r="AB161" i="2"/>
  <c r="AC161" i="2" s="1"/>
  <c r="AD161" i="2" s="1"/>
  <c r="AJ132" i="2"/>
  <c r="AK132" i="2" s="1"/>
  <c r="AL132" i="2" s="1"/>
  <c r="X97" i="2"/>
  <c r="AB145" i="2"/>
  <c r="AC145" i="2" s="1"/>
  <c r="AD145" i="2" s="1"/>
  <c r="AF204" i="2"/>
  <c r="AG204" i="2" s="1"/>
  <c r="AH204" i="2" s="1"/>
  <c r="AF258" i="2"/>
  <c r="X162" i="2"/>
  <c r="X86" i="2"/>
  <c r="L133" i="2"/>
  <c r="K180" i="2" s="1"/>
  <c r="X88" i="2"/>
  <c r="AF197" i="2"/>
  <c r="AG197" i="2" s="1"/>
  <c r="AH197" i="2" s="1"/>
  <c r="AB172" i="2"/>
  <c r="AC172" i="2" s="1"/>
  <c r="AF202" i="2"/>
  <c r="AG202" i="2" s="1"/>
  <c r="AB170" i="2"/>
  <c r="AC170" i="2" s="1"/>
  <c r="AD170" i="2" s="1"/>
  <c r="AC179" i="2"/>
  <c r="AD179" i="2" s="1"/>
  <c r="AH158" i="2"/>
  <c r="AF205" i="2"/>
  <c r="L139" i="2"/>
  <c r="AB218" i="2"/>
  <c r="AC218" i="2" s="1"/>
  <c r="AD218" i="2" s="1"/>
  <c r="AB173" i="2"/>
  <c r="AC173" i="2" s="1"/>
  <c r="AD173" i="2" s="1"/>
  <c r="AJ175" i="2"/>
  <c r="AK175" i="2" s="1"/>
  <c r="AL175" i="2" s="1"/>
  <c r="AJ211" i="2"/>
  <c r="AK211" i="2" s="1"/>
  <c r="AL211" i="2" s="1"/>
  <c r="AJ260" i="2"/>
  <c r="AK260" i="2" s="1"/>
  <c r="AL260" i="2" s="1"/>
  <c r="AB183" i="2"/>
  <c r="AC183" i="2" s="1"/>
  <c r="AD183" i="2" s="1"/>
  <c r="X123" i="2"/>
  <c r="AJ189" i="2"/>
  <c r="AK189" i="2" s="1"/>
  <c r="AL189" i="2" s="1"/>
  <c r="AB187" i="2"/>
  <c r="AC187" i="2" s="1"/>
  <c r="AD187" i="2" s="1"/>
  <c r="AG205" i="2"/>
  <c r="AH205" i="2" s="1"/>
  <c r="AF147" i="2"/>
  <c r="AG147" i="2" s="1"/>
  <c r="AH147" i="2" s="1"/>
  <c r="AB174" i="2"/>
  <c r="AC174" i="2" s="1"/>
  <c r="AD174" i="2" s="1"/>
  <c r="AJ167" i="2"/>
  <c r="AK167" i="2" s="1"/>
  <c r="AL167" i="2" s="1"/>
  <c r="AF217" i="2"/>
  <c r="AG217" i="2" s="1"/>
  <c r="AH217" i="2" s="1"/>
  <c r="AJ266" i="2"/>
  <c r="AK266" i="2" s="1"/>
  <c r="AL266" i="2" s="1"/>
  <c r="AB176" i="2"/>
  <c r="AC176" i="2" s="1"/>
  <c r="AD176" i="2" s="1"/>
  <c r="AJ225" i="2"/>
  <c r="AK225" i="2" s="1"/>
  <c r="AL225" i="2" s="1"/>
  <c r="AJ247" i="2"/>
  <c r="AK247" i="2" s="1"/>
  <c r="AL247" i="2" s="1"/>
  <c r="AB165" i="2"/>
  <c r="AC165" i="2" s="1"/>
  <c r="AD165" i="2" s="1"/>
  <c r="AB188" i="2"/>
  <c r="AC188" i="2" s="1"/>
  <c r="AD188" i="2" s="1"/>
  <c r="AB190" i="2"/>
  <c r="AC190" i="2" s="1"/>
  <c r="AD190" i="2" s="1"/>
  <c r="AF193" i="2"/>
  <c r="AG193" i="2" s="1"/>
  <c r="AH193" i="2" s="1"/>
  <c r="AB204" i="2"/>
  <c r="AC204" i="2" s="1"/>
  <c r="AD204" i="2" s="1"/>
  <c r="AB225" i="2"/>
  <c r="AC225" i="2" s="1"/>
  <c r="AD225" i="2" s="1"/>
  <c r="X129" i="2"/>
  <c r="L144" i="2"/>
  <c r="K191" i="2" s="1"/>
  <c r="X92" i="2"/>
  <c r="AJ196" i="2"/>
  <c r="AK196" i="2" s="1"/>
  <c r="AL196" i="2" s="1"/>
  <c r="X187" i="2"/>
  <c r="AJ170" i="2"/>
  <c r="X51" i="2"/>
  <c r="AJ190" i="2"/>
  <c r="AK190" i="2" s="1"/>
  <c r="AL190" i="2" s="1"/>
  <c r="AB149" i="2"/>
  <c r="AC149" i="2" s="1"/>
  <c r="AD149" i="2" s="1"/>
  <c r="W158" i="2"/>
  <c r="V158" i="2"/>
  <c r="U158" i="2"/>
  <c r="T158" i="2"/>
  <c r="L167" i="2"/>
  <c r="U165" i="2"/>
  <c r="T234" i="2"/>
  <c r="W234" i="2"/>
  <c r="V234" i="2"/>
  <c r="U234" i="2"/>
  <c r="W172" i="2"/>
  <c r="V172" i="2"/>
  <c r="U172" i="2"/>
  <c r="T172" i="2"/>
  <c r="L145" i="2"/>
  <c r="W109" i="2"/>
  <c r="V109" i="2"/>
  <c r="U109" i="2"/>
  <c r="T109" i="2"/>
  <c r="T228" i="2"/>
  <c r="W228" i="2"/>
  <c r="V228" i="2"/>
  <c r="U228" i="2"/>
  <c r="AO272" i="2"/>
  <c r="AP225" i="2"/>
  <c r="AR225" i="2" s="1"/>
  <c r="Y239" i="2"/>
  <c r="Y285" i="2"/>
  <c r="AO274" i="2"/>
  <c r="AP227" i="2"/>
  <c r="AR227" i="2" s="1"/>
  <c r="AO332" i="2"/>
  <c r="AP285" i="2"/>
  <c r="AR285" i="2" s="1"/>
  <c r="AO250" i="2"/>
  <c r="AP203" i="2"/>
  <c r="AR203" i="2" s="1"/>
  <c r="AK155" i="2"/>
  <c r="AL155" i="2" s="1"/>
  <c r="AO284" i="2"/>
  <c r="AP237" i="2"/>
  <c r="AR237" i="2" s="1"/>
  <c r="AO334" i="2"/>
  <c r="AP287" i="2"/>
  <c r="AR287" i="2" s="1"/>
  <c r="AC189" i="2"/>
  <c r="AD189" i="2" s="1"/>
  <c r="AO270" i="2"/>
  <c r="AP223" i="2"/>
  <c r="AR223" i="2" s="1"/>
  <c r="W147" i="2"/>
  <c r="V147" i="2"/>
  <c r="U147" i="2"/>
  <c r="T147" i="2"/>
  <c r="AO283" i="2"/>
  <c r="AP236" i="2"/>
  <c r="AR236" i="2" s="1"/>
  <c r="K226" i="2"/>
  <c r="L226" i="2" s="1"/>
  <c r="Y213" i="2"/>
  <c r="AK169" i="2"/>
  <c r="AL169" i="2" s="1"/>
  <c r="Y197" i="2"/>
  <c r="AK180" i="2"/>
  <c r="AL180" i="2" s="1"/>
  <c r="Y219" i="2"/>
  <c r="L163" i="2"/>
  <c r="AO276" i="2"/>
  <c r="AP229" i="2"/>
  <c r="AR229" i="2" s="1"/>
  <c r="Y255" i="2"/>
  <c r="J261" i="2"/>
  <c r="AE261" i="2"/>
  <c r="H308" i="2"/>
  <c r="X91" i="2"/>
  <c r="AJ165" i="2"/>
  <c r="Y274" i="2"/>
  <c r="W102" i="2"/>
  <c r="V102" i="2"/>
  <c r="U102" i="2"/>
  <c r="T102" i="2"/>
  <c r="AB166" i="2"/>
  <c r="AJ220" i="2"/>
  <c r="AB185" i="2"/>
  <c r="AJ230" i="2"/>
  <c r="L135" i="2"/>
  <c r="K182" i="2" s="1"/>
  <c r="AK148" i="2"/>
  <c r="AL148" i="2" s="1"/>
  <c r="AJ223" i="2"/>
  <c r="AF285" i="2"/>
  <c r="AG285" i="2" s="1"/>
  <c r="AH285" i="2" s="1"/>
  <c r="AJ231" i="2"/>
  <c r="AJ229" i="2"/>
  <c r="H316" i="2"/>
  <c r="J269" i="2"/>
  <c r="AE269" i="2"/>
  <c r="U121" i="2"/>
  <c r="V121" i="2"/>
  <c r="T121" i="2"/>
  <c r="W121" i="2"/>
  <c r="L141" i="2"/>
  <c r="K188" i="2" s="1"/>
  <c r="Y281" i="2"/>
  <c r="AB184" i="2"/>
  <c r="J331" i="2"/>
  <c r="H378" i="2"/>
  <c r="AE331" i="2"/>
  <c r="W104" i="2"/>
  <c r="V104" i="2"/>
  <c r="U104" i="2"/>
  <c r="T104" i="2"/>
  <c r="AO286" i="2"/>
  <c r="AP239" i="2"/>
  <c r="AR239" i="2" s="1"/>
  <c r="AG203" i="2"/>
  <c r="AH203" i="2" s="1"/>
  <c r="AC156" i="2"/>
  <c r="AD156" i="2" s="1"/>
  <c r="J330" i="2"/>
  <c r="H377" i="2"/>
  <c r="AE330" i="2"/>
  <c r="W150" i="2"/>
  <c r="V150" i="2"/>
  <c r="U150" i="2"/>
  <c r="T150" i="2"/>
  <c r="J260" i="2"/>
  <c r="H307" i="2"/>
  <c r="AE260" i="2"/>
  <c r="X74" i="2"/>
  <c r="X108" i="2"/>
  <c r="AK174" i="2"/>
  <c r="AL174" i="2" s="1"/>
  <c r="Y217" i="2"/>
  <c r="AE247" i="2"/>
  <c r="J247" i="2"/>
  <c r="H294" i="2"/>
  <c r="X107" i="2"/>
  <c r="H313" i="2"/>
  <c r="J266" i="2"/>
  <c r="AE266" i="2"/>
  <c r="Y253" i="2"/>
  <c r="H370" i="2"/>
  <c r="J323" i="2"/>
  <c r="AE323" i="2"/>
  <c r="J251" i="2"/>
  <c r="H298" i="2"/>
  <c r="AE251" i="2"/>
  <c r="AB227" i="2"/>
  <c r="W99" i="2"/>
  <c r="V99" i="2"/>
  <c r="U99" i="2"/>
  <c r="T99" i="2"/>
  <c r="AO275" i="2"/>
  <c r="AP228" i="2"/>
  <c r="AR228" i="2" s="1"/>
  <c r="AB233" i="2"/>
  <c r="AG174" i="2"/>
  <c r="AH174" i="2" s="1"/>
  <c r="AG178" i="2"/>
  <c r="AH178" i="2" s="1"/>
  <c r="L161" i="2"/>
  <c r="L159" i="2"/>
  <c r="K206" i="2" s="1"/>
  <c r="AB150" i="2"/>
  <c r="Y279" i="2"/>
  <c r="J327" i="2"/>
  <c r="H374" i="2"/>
  <c r="AE327" i="2"/>
  <c r="AO256" i="2"/>
  <c r="AP209" i="2"/>
  <c r="AR209" i="2" s="1"/>
  <c r="W128" i="2"/>
  <c r="U128" i="2"/>
  <c r="V128" i="2"/>
  <c r="T128" i="2"/>
  <c r="H320" i="2"/>
  <c r="J273" i="2"/>
  <c r="AE273" i="2"/>
  <c r="W105" i="2"/>
  <c r="V105" i="2"/>
  <c r="U105" i="2"/>
  <c r="T105" i="2"/>
  <c r="AB162" i="2"/>
  <c r="AO261" i="2"/>
  <c r="AP214" i="2"/>
  <c r="AR214" i="2" s="1"/>
  <c r="Y258" i="2"/>
  <c r="K152" i="2"/>
  <c r="AK186" i="2"/>
  <c r="AL186" i="2" s="1"/>
  <c r="X164" i="2"/>
  <c r="J252" i="2"/>
  <c r="H299" i="2"/>
  <c r="AE252" i="2"/>
  <c r="AO267" i="2"/>
  <c r="AP220" i="2"/>
  <c r="AR220" i="2" s="1"/>
  <c r="H335" i="2"/>
  <c r="J288" i="2"/>
  <c r="AE288" i="2"/>
  <c r="AB164" i="2"/>
  <c r="Y265" i="2"/>
  <c r="Y277" i="2"/>
  <c r="AB153" i="2"/>
  <c r="AB169" i="2"/>
  <c r="AB181" i="2"/>
  <c r="AO277" i="2"/>
  <c r="AP230" i="2"/>
  <c r="AR230" i="2" s="1"/>
  <c r="K151" i="2"/>
  <c r="J322" i="2"/>
  <c r="H369" i="2"/>
  <c r="AE322" i="2"/>
  <c r="AO335" i="2"/>
  <c r="AP288" i="2"/>
  <c r="AR288" i="2" s="1"/>
  <c r="L170" i="2"/>
  <c r="K217" i="2" s="1"/>
  <c r="L217" i="2" s="1"/>
  <c r="W169" i="2"/>
  <c r="V169" i="2"/>
  <c r="U169" i="2"/>
  <c r="T169" i="2"/>
  <c r="W138" i="2"/>
  <c r="U138" i="2"/>
  <c r="T138" i="2"/>
  <c r="V138" i="2"/>
  <c r="J249" i="2"/>
  <c r="AE249" i="2"/>
  <c r="H296" i="2"/>
  <c r="T231" i="2"/>
  <c r="W231" i="2"/>
  <c r="V231" i="2"/>
  <c r="U231" i="2"/>
  <c r="AO280" i="2"/>
  <c r="AP233" i="2"/>
  <c r="AR233" i="2" s="1"/>
  <c r="AF254" i="2"/>
  <c r="AG254" i="2" s="1"/>
  <c r="AH254" i="2" s="1"/>
  <c r="H317" i="2"/>
  <c r="J270" i="2"/>
  <c r="AE270" i="2"/>
  <c r="AP198" i="2"/>
  <c r="AR198" i="2" s="1"/>
  <c r="AO245" i="2"/>
  <c r="L171" i="2"/>
  <c r="K218" i="2" s="1"/>
  <c r="T173" i="2"/>
  <c r="U173" i="2"/>
  <c r="W173" i="2"/>
  <c r="V173" i="2"/>
  <c r="T179" i="2"/>
  <c r="W179" i="2"/>
  <c r="V179" i="2"/>
  <c r="U179" i="2"/>
  <c r="Y278" i="2"/>
  <c r="H347" i="2"/>
  <c r="J300" i="2"/>
  <c r="AE300" i="2"/>
  <c r="H295" i="2"/>
  <c r="AE248" i="2"/>
  <c r="J248" i="2"/>
  <c r="Y204" i="2"/>
  <c r="H357" i="2"/>
  <c r="J310" i="2"/>
  <c r="AE310" i="2"/>
  <c r="K205" i="2"/>
  <c r="L205" i="2" s="1"/>
  <c r="K194" i="2"/>
  <c r="AK192" i="2"/>
  <c r="AL192" i="2" s="1"/>
  <c r="AK124" i="2"/>
  <c r="AL124" i="2" s="1"/>
  <c r="Y280" i="2"/>
  <c r="AK152" i="2"/>
  <c r="AL152" i="2" s="1"/>
  <c r="H352" i="2"/>
  <c r="J305" i="2"/>
  <c r="AE305" i="2"/>
  <c r="Y199" i="2"/>
  <c r="AK151" i="2"/>
  <c r="AL151" i="2" s="1"/>
  <c r="AF188" i="2"/>
  <c r="Y241" i="2"/>
  <c r="W136" i="2"/>
  <c r="U136" i="2"/>
  <c r="V136" i="2"/>
  <c r="T136" i="2"/>
  <c r="X103" i="2"/>
  <c r="U113" i="2"/>
  <c r="W113" i="2"/>
  <c r="V113" i="2"/>
  <c r="T113" i="2"/>
  <c r="AB201" i="2"/>
  <c r="Y215" i="2"/>
  <c r="H292" i="2"/>
  <c r="J245" i="2"/>
  <c r="AE245" i="2"/>
  <c r="Y196" i="2"/>
  <c r="AO262" i="2"/>
  <c r="AP215" i="2"/>
  <c r="AR215" i="2" s="1"/>
  <c r="J362" i="2"/>
  <c r="AE362" i="2"/>
  <c r="H409" i="2"/>
  <c r="Y256" i="2"/>
  <c r="AB222" i="2"/>
  <c r="H351" i="2"/>
  <c r="J304" i="2"/>
  <c r="AE304" i="2"/>
  <c r="AB202" i="2"/>
  <c r="J332" i="2"/>
  <c r="H379" i="2"/>
  <c r="AE332" i="2"/>
  <c r="W98" i="2"/>
  <c r="V98" i="2"/>
  <c r="U98" i="2"/>
  <c r="T98" i="2"/>
  <c r="AO266" i="2"/>
  <c r="AP219" i="2"/>
  <c r="AR219" i="2" s="1"/>
  <c r="J259" i="2"/>
  <c r="H306" i="2"/>
  <c r="AE259" i="2"/>
  <c r="AJ159" i="2"/>
  <c r="AO336" i="2"/>
  <c r="AP289" i="2"/>
  <c r="AR289" i="2" s="1"/>
  <c r="J262" i="2"/>
  <c r="H309" i="2"/>
  <c r="AE262" i="2"/>
  <c r="AJ234" i="2"/>
  <c r="Y198" i="2"/>
  <c r="L176" i="2"/>
  <c r="K278" i="2"/>
  <c r="L278" i="2" s="1"/>
  <c r="T236" i="2"/>
  <c r="W236" i="2"/>
  <c r="V236" i="2"/>
  <c r="U236" i="2"/>
  <c r="AO271" i="2"/>
  <c r="AP224" i="2"/>
  <c r="AR224" i="2" s="1"/>
  <c r="J301" i="2"/>
  <c r="H348" i="2"/>
  <c r="AE301" i="2"/>
  <c r="L143" i="2"/>
  <c r="K190" i="2" s="1"/>
  <c r="AO340" i="2"/>
  <c r="AP293" i="2"/>
  <c r="AR293" i="2" s="1"/>
  <c r="H333" i="2"/>
  <c r="J286" i="2"/>
  <c r="AE286" i="2"/>
  <c r="Y240" i="2"/>
  <c r="AJ181" i="2"/>
  <c r="L148" i="2"/>
  <c r="K195" i="2" s="1"/>
  <c r="AJ203" i="2"/>
  <c r="AB205" i="2"/>
  <c r="Y272" i="2"/>
  <c r="W110" i="2"/>
  <c r="V110" i="2"/>
  <c r="U110" i="2"/>
  <c r="T110" i="2"/>
  <c r="J282" i="2"/>
  <c r="AE282" i="2"/>
  <c r="H329" i="2"/>
  <c r="Y271" i="2"/>
  <c r="AF187" i="2"/>
  <c r="AO258" i="2"/>
  <c r="AP211" i="2"/>
  <c r="AR211" i="2" s="1"/>
  <c r="AP200" i="2"/>
  <c r="AR200" i="2" s="1"/>
  <c r="AO247" i="2"/>
  <c r="AB198" i="2"/>
  <c r="X122" i="2"/>
  <c r="AJ147" i="2"/>
  <c r="AO338" i="2"/>
  <c r="AP291" i="2"/>
  <c r="AR291" i="2" s="1"/>
  <c r="X94" i="2"/>
  <c r="AG181" i="2"/>
  <c r="AH181" i="2" s="1"/>
  <c r="AO263" i="2"/>
  <c r="AP216" i="2"/>
  <c r="AR216" i="2" s="1"/>
  <c r="J250" i="2"/>
  <c r="H297" i="2"/>
  <c r="AE250" i="2"/>
  <c r="AB147" i="2"/>
  <c r="AO251" i="2"/>
  <c r="AP204" i="2"/>
  <c r="AR204" i="2" s="1"/>
  <c r="AJ162" i="2"/>
  <c r="X89" i="2"/>
  <c r="AO257" i="2"/>
  <c r="AP210" i="2"/>
  <c r="AR210" i="2" s="1"/>
  <c r="Y283" i="2"/>
  <c r="L209" i="2"/>
  <c r="K256" i="2" s="1"/>
  <c r="J242" i="2"/>
  <c r="H289" i="2"/>
  <c r="AE242" i="2"/>
  <c r="AO269" i="2"/>
  <c r="AP222" i="2"/>
  <c r="AR222" i="2" s="1"/>
  <c r="J325" i="2"/>
  <c r="AE325" i="2"/>
  <c r="H372" i="2"/>
  <c r="X96" i="2"/>
  <c r="J264" i="2"/>
  <c r="H311" i="2"/>
  <c r="AE264" i="2"/>
  <c r="K275" i="2"/>
  <c r="L275" i="2" s="1"/>
  <c r="AC167" i="2"/>
  <c r="AD167" i="2" s="1"/>
  <c r="V116" i="2"/>
  <c r="U116" i="2"/>
  <c r="T116" i="2"/>
  <c r="W116" i="2"/>
  <c r="AJ208" i="2"/>
  <c r="Y201" i="2"/>
  <c r="Y263" i="2"/>
  <c r="Y267" i="2"/>
  <c r="L211" i="2"/>
  <c r="X111" i="2"/>
  <c r="X115" i="2"/>
  <c r="AG177" i="2"/>
  <c r="AH177" i="2" s="1"/>
  <c r="L154" i="2"/>
  <c r="J326" i="2"/>
  <c r="H373" i="2"/>
  <c r="AE326" i="2"/>
  <c r="AB168" i="2"/>
  <c r="AK154" i="2"/>
  <c r="AL154" i="2" s="1"/>
  <c r="AG227" i="2"/>
  <c r="AH227" i="2" s="1"/>
  <c r="AG145" i="2"/>
  <c r="AH145" i="2" s="1"/>
  <c r="AB152" i="2"/>
  <c r="Y214" i="2"/>
  <c r="AF209" i="2"/>
  <c r="J246" i="2"/>
  <c r="AE246" i="2"/>
  <c r="H293" i="2"/>
  <c r="AO265" i="2"/>
  <c r="AP218" i="2"/>
  <c r="AR218" i="2" s="1"/>
  <c r="K197" i="2"/>
  <c r="K168" i="2"/>
  <c r="AC191" i="2"/>
  <c r="AD191" i="2" s="1"/>
  <c r="AF215" i="2"/>
  <c r="AG215" i="2" s="1"/>
  <c r="AH215" i="2" s="1"/>
  <c r="Y205" i="2"/>
  <c r="AJ163" i="2"/>
  <c r="AO268" i="2"/>
  <c r="AP221" i="2"/>
  <c r="AR221" i="2" s="1"/>
  <c r="H359" i="2"/>
  <c r="AE312" i="2"/>
  <c r="J312" i="2"/>
  <c r="AG237" i="2"/>
  <c r="AH237" i="2" s="1"/>
  <c r="AO278" i="2"/>
  <c r="AP231" i="2"/>
  <c r="AR231" i="2" s="1"/>
  <c r="X124" i="2"/>
  <c r="K183" i="2"/>
  <c r="AF230" i="2"/>
  <c r="AJ138" i="2"/>
  <c r="AB210" i="2"/>
  <c r="AG208" i="2"/>
  <c r="AH208" i="2" s="1"/>
  <c r="AF280" i="2"/>
  <c r="AG280" i="2" s="1"/>
  <c r="AH280" i="2" s="1"/>
  <c r="J243" i="2"/>
  <c r="AE243" i="2"/>
  <c r="H290" i="2"/>
  <c r="Y315" i="2"/>
  <c r="H350" i="2"/>
  <c r="J303" i="2"/>
  <c r="AE303" i="2"/>
  <c r="Y235" i="2"/>
  <c r="AC177" i="2"/>
  <c r="AD177" i="2" s="1"/>
  <c r="AO254" i="2"/>
  <c r="AP207" i="2"/>
  <c r="AR207" i="2" s="1"/>
  <c r="Y284" i="2"/>
  <c r="K219" i="2"/>
  <c r="AO282" i="2"/>
  <c r="AP235" i="2"/>
  <c r="AR235" i="2" s="1"/>
  <c r="L160" i="2"/>
  <c r="K207" i="2" s="1"/>
  <c r="X184" i="2"/>
  <c r="Y212" i="2"/>
  <c r="U120" i="2"/>
  <c r="V120" i="2"/>
  <c r="T120" i="2"/>
  <c r="W120" i="2"/>
  <c r="H368" i="2"/>
  <c r="J321" i="2"/>
  <c r="AE321" i="2"/>
  <c r="AF213" i="2"/>
  <c r="AG213" i="2" s="1"/>
  <c r="AH213" i="2" s="1"/>
  <c r="AO249" i="2"/>
  <c r="AP202" i="2"/>
  <c r="AR202" i="2" s="1"/>
  <c r="AO260" i="2"/>
  <c r="AP213" i="2"/>
  <c r="AR213" i="2" s="1"/>
  <c r="AG196" i="2"/>
  <c r="AH196" i="2" s="1"/>
  <c r="K149" i="2"/>
  <c r="AO259" i="2"/>
  <c r="AP212" i="2"/>
  <c r="AR212" i="2" s="1"/>
  <c r="W106" i="2"/>
  <c r="V106" i="2"/>
  <c r="U106" i="2"/>
  <c r="T106" i="2"/>
  <c r="Y254" i="2"/>
  <c r="K281" i="2"/>
  <c r="H334" i="2"/>
  <c r="J287" i="2"/>
  <c r="AE287" i="2"/>
  <c r="Y202" i="2"/>
  <c r="X189" i="2"/>
  <c r="L166" i="2"/>
  <c r="AE319" i="2"/>
  <c r="H366" i="2"/>
  <c r="J319" i="2"/>
  <c r="Y257" i="2"/>
  <c r="AO255" i="2"/>
  <c r="AP208" i="2"/>
  <c r="AR208" i="2" s="1"/>
  <c r="H365" i="2"/>
  <c r="AE318" i="2"/>
  <c r="J318" i="2"/>
  <c r="K156" i="2"/>
  <c r="AF257" i="2"/>
  <c r="AG257" i="2" s="1"/>
  <c r="AH257" i="2" s="1"/>
  <c r="Y223" i="2"/>
  <c r="Y222" i="2"/>
  <c r="AF279" i="2"/>
  <c r="J328" i="2"/>
  <c r="AE328" i="2"/>
  <c r="H375" i="2"/>
  <c r="AO253" i="2"/>
  <c r="AP206" i="2"/>
  <c r="AR206" i="2" s="1"/>
  <c r="AK197" i="2"/>
  <c r="AL197" i="2" s="1"/>
  <c r="AK168" i="2"/>
  <c r="AL168" i="2" s="1"/>
  <c r="Y203" i="2"/>
  <c r="X52" i="2"/>
  <c r="AC182" i="2"/>
  <c r="AD182" i="2" s="1"/>
  <c r="AK144" i="2"/>
  <c r="AL144" i="2" s="1"/>
  <c r="AK204" i="2"/>
  <c r="AL204" i="2" s="1"/>
  <c r="AF201" i="2"/>
  <c r="Y195" i="2"/>
  <c r="L225" i="2"/>
  <c r="AO264" i="2"/>
  <c r="AP217" i="2"/>
  <c r="AR217" i="2" s="1"/>
  <c r="AG236" i="2"/>
  <c r="AH236" i="2" s="1"/>
  <c r="AO337" i="2"/>
  <c r="AP290" i="2"/>
  <c r="AR290" i="2" s="1"/>
  <c r="H291" i="2"/>
  <c r="J244" i="2"/>
  <c r="AE244" i="2"/>
  <c r="Y200" i="2"/>
  <c r="Y276" i="2"/>
  <c r="K220" i="2"/>
  <c r="AO252" i="2"/>
  <c r="AP205" i="2"/>
  <c r="AR205" i="2" s="1"/>
  <c r="K146" i="2"/>
  <c r="H361" i="2"/>
  <c r="AE314" i="2"/>
  <c r="J314" i="2"/>
  <c r="U114" i="2"/>
  <c r="W114" i="2"/>
  <c r="V114" i="2"/>
  <c r="T114" i="2"/>
  <c r="U112" i="2"/>
  <c r="W112" i="2"/>
  <c r="V112" i="2"/>
  <c r="T112" i="2"/>
  <c r="AC159" i="2"/>
  <c r="AD159" i="2" s="1"/>
  <c r="AF253" i="2"/>
  <c r="AG253" i="2" s="1"/>
  <c r="AH253" i="2" s="1"/>
  <c r="H349" i="2"/>
  <c r="J302" i="2"/>
  <c r="AE302" i="2"/>
  <c r="Y226" i="2"/>
  <c r="AF220" i="2"/>
  <c r="AG258" i="2"/>
  <c r="AH258" i="2" s="1"/>
  <c r="AO273" i="2"/>
  <c r="AP226" i="2"/>
  <c r="AR226" i="2" s="1"/>
  <c r="AF263" i="2"/>
  <c r="K175" i="2"/>
  <c r="L155" i="2"/>
  <c r="K202" i="2" s="1"/>
  <c r="L202" i="2" s="1"/>
  <c r="AG175" i="2"/>
  <c r="AH175" i="2" s="1"/>
  <c r="X132" i="2"/>
  <c r="AO248" i="2"/>
  <c r="AP201" i="2"/>
  <c r="AR201" i="2" s="1"/>
  <c r="J324" i="2"/>
  <c r="H371" i="2"/>
  <c r="AE324" i="2"/>
  <c r="AO279" i="2"/>
  <c r="AP232" i="2"/>
  <c r="AR232" i="2" s="1"/>
  <c r="K157" i="2"/>
  <c r="K153" i="2"/>
  <c r="AO281" i="2"/>
  <c r="AP234" i="2"/>
  <c r="AR234" i="2" s="1"/>
  <c r="Y275" i="2"/>
  <c r="X119" i="2"/>
  <c r="K283" i="2"/>
  <c r="L283" i="2" s="1"/>
  <c r="K216" i="2"/>
  <c r="K185" i="2"/>
  <c r="X178" i="2"/>
  <c r="X181" i="2"/>
  <c r="AF252" i="2" l="1"/>
  <c r="X101" i="2"/>
  <c r="AG212" i="2"/>
  <c r="AH212" i="2" s="1"/>
  <c r="V165" i="2"/>
  <c r="X165" i="2" s="1"/>
  <c r="W165" i="2"/>
  <c r="K212" i="2"/>
  <c r="L212" i="2" s="1"/>
  <c r="X118" i="2"/>
  <c r="T127" i="2"/>
  <c r="W127" i="2"/>
  <c r="U127" i="2"/>
  <c r="V127" i="2"/>
  <c r="L174" i="2"/>
  <c r="V224" i="2"/>
  <c r="AB235" i="2"/>
  <c r="AC235" i="2" s="1"/>
  <c r="AD235" i="2" s="1"/>
  <c r="X177" i="2"/>
  <c r="AJ146" i="2"/>
  <c r="AJ235" i="2"/>
  <c r="AK235" i="2" s="1"/>
  <c r="AL235" i="2" s="1"/>
  <c r="AF242" i="2"/>
  <c r="AG242" i="2" s="1"/>
  <c r="AH242" i="2" s="1"/>
  <c r="W224" i="2"/>
  <c r="AJ160" i="2"/>
  <c r="AK160" i="2" s="1"/>
  <c r="AL160" i="2" s="1"/>
  <c r="T224" i="2"/>
  <c r="AF305" i="2"/>
  <c r="AG305" i="2" s="1"/>
  <c r="AH305" i="2" s="1"/>
  <c r="K271" i="2"/>
  <c r="L271" i="2" s="1"/>
  <c r="W271" i="2" s="1"/>
  <c r="AF198" i="2"/>
  <c r="AJ272" i="2"/>
  <c r="AK272" i="2" s="1"/>
  <c r="AL272" i="2" s="1"/>
  <c r="AF264" i="2"/>
  <c r="AK111" i="2"/>
  <c r="AL111" i="2" s="1"/>
  <c r="AF247" i="2"/>
  <c r="AG247" i="2" s="1"/>
  <c r="AH247" i="2" s="1"/>
  <c r="AJ294" i="2"/>
  <c r="AK294" i="2" s="1"/>
  <c r="AL294" i="2" s="1"/>
  <c r="AF244" i="2"/>
  <c r="AB160" i="2"/>
  <c r="AB214" i="2"/>
  <c r="AC214" i="2" s="1"/>
  <c r="AD214" i="2" s="1"/>
  <c r="AJ243" i="2"/>
  <c r="AK243" i="2" s="1"/>
  <c r="AL243" i="2" s="1"/>
  <c r="AH202" i="2"/>
  <c r="AF249" i="2"/>
  <c r="AG249" i="2" s="1"/>
  <c r="AH249" i="2" s="1"/>
  <c r="AD172" i="2"/>
  <c r="AB219" i="2"/>
  <c r="AC219" i="2" s="1"/>
  <c r="AD219" i="2" s="1"/>
  <c r="AJ199" i="2"/>
  <c r="AK199" i="2" s="1"/>
  <c r="AL199" i="2" s="1"/>
  <c r="AF221" i="2"/>
  <c r="AG221" i="2" s="1"/>
  <c r="AH221" i="2" s="1"/>
  <c r="AF266" i="2"/>
  <c r="AG266" i="2" s="1"/>
  <c r="AB208" i="2"/>
  <c r="AC208" i="2" s="1"/>
  <c r="AD208" i="2" s="1"/>
  <c r="AB221" i="2"/>
  <c r="AC221" i="2" s="1"/>
  <c r="AD221" i="2" s="1"/>
  <c r="AF261" i="2"/>
  <c r="AG261" i="2" s="1"/>
  <c r="AH261" i="2" s="1"/>
  <c r="AF229" i="2"/>
  <c r="AG229" i="2" s="1"/>
  <c r="AH229" i="2" s="1"/>
  <c r="AJ215" i="2"/>
  <c r="AK215" i="2" s="1"/>
  <c r="AL215" i="2" s="1"/>
  <c r="AK170" i="2"/>
  <c r="AL170" i="2" s="1"/>
  <c r="AJ236" i="2"/>
  <c r="AK236" i="2" s="1"/>
  <c r="AL236" i="2" s="1"/>
  <c r="AJ221" i="2"/>
  <c r="AK221" i="2" s="1"/>
  <c r="AL221" i="2" s="1"/>
  <c r="T133" i="2"/>
  <c r="V133" i="2"/>
  <c r="W133" i="2"/>
  <c r="U133" i="2"/>
  <c r="L180" i="2"/>
  <c r="AB229" i="2"/>
  <c r="AC229" i="2" s="1"/>
  <c r="AD229" i="2" s="1"/>
  <c r="AF194" i="2"/>
  <c r="AG194" i="2" s="1"/>
  <c r="AH194" i="2" s="1"/>
  <c r="AJ239" i="2"/>
  <c r="AK239" i="2" s="1"/>
  <c r="AL239" i="2" s="1"/>
  <c r="X172" i="2"/>
  <c r="AB226" i="2"/>
  <c r="AC226" i="2" s="1"/>
  <c r="AD226" i="2" s="1"/>
  <c r="L191" i="2"/>
  <c r="K238" i="2" s="1"/>
  <c r="AB212" i="2"/>
  <c r="AC212" i="2" s="1"/>
  <c r="AD212" i="2" s="1"/>
  <c r="AB223" i="2"/>
  <c r="AC223" i="2" s="1"/>
  <c r="AD223" i="2" s="1"/>
  <c r="AF243" i="2"/>
  <c r="AG243" i="2" s="1"/>
  <c r="AH243" i="2" s="1"/>
  <c r="AF251" i="2"/>
  <c r="AG251" i="2" s="1"/>
  <c r="AH251" i="2" s="1"/>
  <c r="AB234" i="2"/>
  <c r="AC234" i="2" s="1"/>
  <c r="AJ227" i="2"/>
  <c r="AK227" i="2" s="1"/>
  <c r="AL227" i="2" s="1"/>
  <c r="W139" i="2"/>
  <c r="V139" i="2"/>
  <c r="U139" i="2"/>
  <c r="T139" i="2"/>
  <c r="AF284" i="2"/>
  <c r="AG284" i="2" s="1"/>
  <c r="AH284" i="2" s="1"/>
  <c r="AF278" i="2"/>
  <c r="AG278" i="2" s="1"/>
  <c r="AH278" i="2" s="1"/>
  <c r="AJ307" i="2"/>
  <c r="AB192" i="2"/>
  <c r="AC192" i="2" s="1"/>
  <c r="AD192" i="2" s="1"/>
  <c r="AF225" i="2"/>
  <c r="AG225" i="2" s="1"/>
  <c r="AH225" i="2" s="1"/>
  <c r="X98" i="2"/>
  <c r="AF283" i="2"/>
  <c r="AG283" i="2" s="1"/>
  <c r="AH283" i="2" s="1"/>
  <c r="AG252" i="2"/>
  <c r="AH252" i="2" s="1"/>
  <c r="W144" i="2"/>
  <c r="V144" i="2"/>
  <c r="U144" i="2"/>
  <c r="T144" i="2"/>
  <c r="K186" i="2"/>
  <c r="L256" i="2"/>
  <c r="U278" i="2"/>
  <c r="T278" i="2"/>
  <c r="W278" i="2"/>
  <c r="V278" i="2"/>
  <c r="U283" i="2"/>
  <c r="T283" i="2"/>
  <c r="W283" i="2"/>
  <c r="V283" i="2"/>
  <c r="L182" i="2"/>
  <c r="K229" i="2" s="1"/>
  <c r="T217" i="2"/>
  <c r="W217" i="2"/>
  <c r="V217" i="2"/>
  <c r="U217" i="2"/>
  <c r="H342" i="2"/>
  <c r="J295" i="2"/>
  <c r="AE295" i="2"/>
  <c r="AP335" i="2"/>
  <c r="AR335" i="2" s="1"/>
  <c r="AO382" i="2"/>
  <c r="AC169" i="2"/>
  <c r="AD169" i="2" s="1"/>
  <c r="AO314" i="2"/>
  <c r="AP267" i="2"/>
  <c r="AR267" i="2" s="1"/>
  <c r="AC162" i="2"/>
  <c r="AD162" i="2" s="1"/>
  <c r="H367" i="2"/>
  <c r="AE320" i="2"/>
  <c r="J320" i="2"/>
  <c r="AC150" i="2"/>
  <c r="AD150" i="2" s="1"/>
  <c r="AC227" i="2"/>
  <c r="AD227" i="2" s="1"/>
  <c r="Y260" i="2"/>
  <c r="H425" i="2"/>
  <c r="J378" i="2"/>
  <c r="AE378" i="2"/>
  <c r="AK231" i="2"/>
  <c r="AL231" i="2" s="1"/>
  <c r="W163" i="2"/>
  <c r="V163" i="2"/>
  <c r="U163" i="2"/>
  <c r="T163" i="2"/>
  <c r="U275" i="2"/>
  <c r="T275" i="2"/>
  <c r="W275" i="2"/>
  <c r="V275" i="2"/>
  <c r="Y324" i="2"/>
  <c r="AB237" i="2"/>
  <c r="Y302" i="2"/>
  <c r="J361" i="2"/>
  <c r="AE361" i="2"/>
  <c r="H408" i="2"/>
  <c r="L220" i="2"/>
  <c r="K267" i="2" s="1"/>
  <c r="AP337" i="2"/>
  <c r="AR337" i="2" s="1"/>
  <c r="AO384" i="2"/>
  <c r="AJ224" i="2"/>
  <c r="AJ244" i="2"/>
  <c r="AB220" i="2"/>
  <c r="Y328" i="2"/>
  <c r="L156" i="2"/>
  <c r="K203" i="2" s="1"/>
  <c r="Y318" i="2"/>
  <c r="W166" i="2"/>
  <c r="V166" i="2"/>
  <c r="U166" i="2"/>
  <c r="T166" i="2"/>
  <c r="J334" i="2"/>
  <c r="H381" i="2"/>
  <c r="AE334" i="2"/>
  <c r="L149" i="2"/>
  <c r="K196" i="2" s="1"/>
  <c r="J368" i="2"/>
  <c r="AE368" i="2"/>
  <c r="H415" i="2"/>
  <c r="X120" i="2"/>
  <c r="W160" i="2"/>
  <c r="V160" i="2"/>
  <c r="U160" i="2"/>
  <c r="T160" i="2"/>
  <c r="AO329" i="2"/>
  <c r="AP282" i="2"/>
  <c r="AR282" i="2" s="1"/>
  <c r="J350" i="2"/>
  <c r="AE350" i="2"/>
  <c r="H397" i="2"/>
  <c r="L183" i="2"/>
  <c r="J359" i="2"/>
  <c r="AE359" i="2"/>
  <c r="H406" i="2"/>
  <c r="T205" i="2"/>
  <c r="W205" i="2"/>
  <c r="V205" i="2"/>
  <c r="U205" i="2"/>
  <c r="AB238" i="2"/>
  <c r="Y246" i="2"/>
  <c r="AJ201" i="2"/>
  <c r="Y326" i="2"/>
  <c r="T211" i="2"/>
  <c r="W211" i="2"/>
  <c r="V211" i="2"/>
  <c r="U211" i="2"/>
  <c r="AK208" i="2"/>
  <c r="AL208" i="2" s="1"/>
  <c r="K322" i="2"/>
  <c r="Y264" i="2"/>
  <c r="AC147" i="2"/>
  <c r="AD147" i="2" s="1"/>
  <c r="AF228" i="2"/>
  <c r="AC198" i="2"/>
  <c r="AD198" i="2" s="1"/>
  <c r="J329" i="2"/>
  <c r="AE329" i="2"/>
  <c r="H376" i="2"/>
  <c r="X110" i="2"/>
  <c r="W148" i="2"/>
  <c r="V148" i="2"/>
  <c r="U148" i="2"/>
  <c r="T148" i="2"/>
  <c r="AO387" i="2"/>
  <c r="AP340" i="2"/>
  <c r="AR340" i="2" s="1"/>
  <c r="H356" i="2"/>
  <c r="J309" i="2"/>
  <c r="AE309" i="2"/>
  <c r="AK159" i="2"/>
  <c r="AL159" i="2" s="1"/>
  <c r="J379" i="2"/>
  <c r="H426" i="2"/>
  <c r="AE379" i="2"/>
  <c r="AC202" i="2"/>
  <c r="AD202" i="2" s="1"/>
  <c r="AC222" i="2"/>
  <c r="AD222" i="2" s="1"/>
  <c r="Y362" i="2"/>
  <c r="AB272" i="2"/>
  <c r="AG188" i="2"/>
  <c r="AH188" i="2" s="1"/>
  <c r="AJ198" i="2"/>
  <c r="AJ171" i="2"/>
  <c r="AB217" i="2"/>
  <c r="W171" i="2"/>
  <c r="V171" i="2"/>
  <c r="U171" i="2"/>
  <c r="T171" i="2"/>
  <c r="Y270" i="2"/>
  <c r="AO327" i="2"/>
  <c r="AP280" i="2"/>
  <c r="AR280" i="2" s="1"/>
  <c r="X231" i="2"/>
  <c r="K258" i="2"/>
  <c r="X138" i="2"/>
  <c r="X169" i="2"/>
  <c r="AC153" i="2"/>
  <c r="AD153" i="2" s="1"/>
  <c r="Y288" i="2"/>
  <c r="X128" i="2"/>
  <c r="Y327" i="2"/>
  <c r="W159" i="2"/>
  <c r="V159" i="2"/>
  <c r="U159" i="2"/>
  <c r="T159" i="2"/>
  <c r="X150" i="2"/>
  <c r="AF270" i="2"/>
  <c r="AB203" i="2"/>
  <c r="Y331" i="2"/>
  <c r="W141" i="2"/>
  <c r="V141" i="2"/>
  <c r="U141" i="2"/>
  <c r="T141" i="2"/>
  <c r="X121" i="2"/>
  <c r="Y269" i="2"/>
  <c r="AF332" i="2"/>
  <c r="AG332" i="2" s="1"/>
  <c r="AH332" i="2" s="1"/>
  <c r="AJ195" i="2"/>
  <c r="K213" i="2"/>
  <c r="AK220" i="2"/>
  <c r="AL220" i="2" s="1"/>
  <c r="AK165" i="2"/>
  <c r="AL165" i="2" s="1"/>
  <c r="Y261" i="2"/>
  <c r="AP276" i="2"/>
  <c r="AR276" i="2" s="1"/>
  <c r="AO323" i="2"/>
  <c r="AJ216" i="2"/>
  <c r="K273" i="2"/>
  <c r="AO330" i="2"/>
  <c r="AP283" i="2"/>
  <c r="AR283" i="2" s="1"/>
  <c r="AB236" i="2"/>
  <c r="AJ222" i="2"/>
  <c r="AO297" i="2"/>
  <c r="AP250" i="2"/>
  <c r="AR250" i="2" s="1"/>
  <c r="AB265" i="2"/>
  <c r="AJ313" i="2"/>
  <c r="AJ214" i="2"/>
  <c r="AB242" i="2"/>
  <c r="W145" i="2"/>
  <c r="V145" i="2"/>
  <c r="U145" i="2"/>
  <c r="T145" i="2"/>
  <c r="L185" i="2"/>
  <c r="K232" i="2" s="1"/>
  <c r="J371" i="2"/>
  <c r="AE371" i="2"/>
  <c r="H418" i="2"/>
  <c r="AO299" i="2"/>
  <c r="AP252" i="2"/>
  <c r="AR252" i="2" s="1"/>
  <c r="T202" i="2"/>
  <c r="W202" i="2"/>
  <c r="U202" i="2"/>
  <c r="V202" i="2"/>
  <c r="AP259" i="2"/>
  <c r="AR259" i="2" s="1"/>
  <c r="AO306" i="2"/>
  <c r="Y321" i="2"/>
  <c r="AP254" i="2"/>
  <c r="AR254" i="2" s="1"/>
  <c r="AO301" i="2"/>
  <c r="Y303" i="2"/>
  <c r="H337" i="2"/>
  <c r="J290" i="2"/>
  <c r="AE290" i="2"/>
  <c r="AC210" i="2"/>
  <c r="AD210" i="2" s="1"/>
  <c r="AO325" i="2"/>
  <c r="AP278" i="2"/>
  <c r="AR278" i="2" s="1"/>
  <c r="AE311" i="2"/>
  <c r="H358" i="2"/>
  <c r="J311" i="2"/>
  <c r="J372" i="2"/>
  <c r="AE372" i="2"/>
  <c r="H419" i="2"/>
  <c r="AO316" i="2"/>
  <c r="AP269" i="2"/>
  <c r="AR269" i="2" s="1"/>
  <c r="T209" i="2"/>
  <c r="W209" i="2"/>
  <c r="V209" i="2"/>
  <c r="U209" i="2"/>
  <c r="AP257" i="2"/>
  <c r="AR257" i="2" s="1"/>
  <c r="AO304" i="2"/>
  <c r="AO298" i="2"/>
  <c r="AP251" i="2"/>
  <c r="AR251" i="2" s="1"/>
  <c r="Y250" i="2"/>
  <c r="AG187" i="2"/>
  <c r="AH187" i="2" s="1"/>
  <c r="AK203" i="2"/>
  <c r="AL203" i="2" s="1"/>
  <c r="L190" i="2"/>
  <c r="K237" i="2" s="1"/>
  <c r="T176" i="2"/>
  <c r="V176" i="2"/>
  <c r="U176" i="2"/>
  <c r="W176" i="2"/>
  <c r="AP336" i="2"/>
  <c r="AR336" i="2" s="1"/>
  <c r="AO383" i="2"/>
  <c r="Y259" i="2"/>
  <c r="J351" i="2"/>
  <c r="AE351" i="2"/>
  <c r="H398" i="2"/>
  <c r="H339" i="2"/>
  <c r="J292" i="2"/>
  <c r="AE292" i="2"/>
  <c r="J352" i="2"/>
  <c r="AE352" i="2"/>
  <c r="H399" i="2"/>
  <c r="L194" i="2"/>
  <c r="K241" i="2" s="1"/>
  <c r="AF246" i="2"/>
  <c r="AG246" i="2" s="1"/>
  <c r="AH246" i="2" s="1"/>
  <c r="AO292" i="2"/>
  <c r="AP245" i="2"/>
  <c r="AR245" i="2" s="1"/>
  <c r="Y249" i="2"/>
  <c r="L151" i="2"/>
  <c r="K198" i="2" s="1"/>
  <c r="J374" i="2"/>
  <c r="AE374" i="2"/>
  <c r="H421" i="2"/>
  <c r="W161" i="2"/>
  <c r="V161" i="2"/>
  <c r="U161" i="2"/>
  <c r="T161" i="2"/>
  <c r="AG201" i="2"/>
  <c r="AH201" i="2" s="1"/>
  <c r="AE313" i="2"/>
  <c r="H360" i="2"/>
  <c r="J313" i="2"/>
  <c r="K264" i="2"/>
  <c r="L264" i="2" s="1"/>
  <c r="AO331" i="2"/>
  <c r="AP284" i="2"/>
  <c r="AR284" i="2" s="1"/>
  <c r="W167" i="2"/>
  <c r="V167" i="2"/>
  <c r="U167" i="2"/>
  <c r="T167" i="2"/>
  <c r="L216" i="2"/>
  <c r="K263" i="2" s="1"/>
  <c r="AB251" i="2"/>
  <c r="AO326" i="2"/>
  <c r="AP279" i="2"/>
  <c r="AR279" i="2" s="1"/>
  <c r="AG220" i="2"/>
  <c r="AH220" i="2" s="1"/>
  <c r="T226" i="2"/>
  <c r="W226" i="2"/>
  <c r="V226" i="2"/>
  <c r="U226" i="2"/>
  <c r="J349" i="2"/>
  <c r="AE349" i="2"/>
  <c r="H396" i="2"/>
  <c r="AB206" i="2"/>
  <c r="L146" i="2"/>
  <c r="K193" i="2" s="1"/>
  <c r="Y244" i="2"/>
  <c r="AJ258" i="2"/>
  <c r="L195" i="2"/>
  <c r="K242" i="2" s="1"/>
  <c r="AJ251" i="2"/>
  <c r="AJ191" i="2"/>
  <c r="AP253" i="2"/>
  <c r="AR253" i="2" s="1"/>
  <c r="AO300" i="2"/>
  <c r="Y319" i="2"/>
  <c r="AO296" i="2"/>
  <c r="AP249" i="2"/>
  <c r="AR249" i="2" s="1"/>
  <c r="AF260" i="2"/>
  <c r="AG260" i="2" s="1"/>
  <c r="AH260" i="2" s="1"/>
  <c r="AB224" i="2"/>
  <c r="Y243" i="2"/>
  <c r="AF255" i="2"/>
  <c r="AK138" i="2"/>
  <c r="AL138" i="2" s="1"/>
  <c r="L168" i="2"/>
  <c r="AO312" i="2"/>
  <c r="AP265" i="2"/>
  <c r="AR265" i="2" s="1"/>
  <c r="AC152" i="2"/>
  <c r="AD152" i="2" s="1"/>
  <c r="AF192" i="2"/>
  <c r="AC168" i="2"/>
  <c r="AD168" i="2" s="1"/>
  <c r="AF224" i="2"/>
  <c r="Y325" i="2"/>
  <c r="J289" i="2"/>
  <c r="H336" i="2"/>
  <c r="AE289" i="2"/>
  <c r="AK162" i="2"/>
  <c r="AL162" i="2" s="1"/>
  <c r="AP263" i="2"/>
  <c r="AR263" i="2" s="1"/>
  <c r="AO310" i="2"/>
  <c r="AP338" i="2"/>
  <c r="AR338" i="2" s="1"/>
  <c r="AO385" i="2"/>
  <c r="AK181" i="2"/>
  <c r="AL181" i="2" s="1"/>
  <c r="Y286" i="2"/>
  <c r="W143" i="2"/>
  <c r="V143" i="2"/>
  <c r="U143" i="2"/>
  <c r="T143" i="2"/>
  <c r="J348" i="2"/>
  <c r="AE348" i="2"/>
  <c r="H395" i="2"/>
  <c r="AO318" i="2"/>
  <c r="AP271" i="2"/>
  <c r="AR271" i="2" s="1"/>
  <c r="X236" i="2"/>
  <c r="Y262" i="2"/>
  <c r="AO313" i="2"/>
  <c r="AP266" i="2"/>
  <c r="AR266" i="2" s="1"/>
  <c r="Y332" i="2"/>
  <c r="K223" i="2"/>
  <c r="X136" i="2"/>
  <c r="AJ179" i="2"/>
  <c r="AB196" i="2"/>
  <c r="AB230" i="2"/>
  <c r="K252" i="2"/>
  <c r="L252" i="2" s="1"/>
  <c r="Y310" i="2"/>
  <c r="Y248" i="2"/>
  <c r="Y300" i="2"/>
  <c r="AE317" i="2"/>
  <c r="H364" i="2"/>
  <c r="J317" i="2"/>
  <c r="J296" i="2"/>
  <c r="H343" i="2"/>
  <c r="AE296" i="2"/>
  <c r="AF274" i="2"/>
  <c r="W170" i="2"/>
  <c r="V170" i="2"/>
  <c r="U170" i="2"/>
  <c r="T170" i="2"/>
  <c r="J369" i="2"/>
  <c r="AE369" i="2"/>
  <c r="H416" i="2"/>
  <c r="AP277" i="2"/>
  <c r="AR277" i="2" s="1"/>
  <c r="AO324" i="2"/>
  <c r="J335" i="2"/>
  <c r="H382" i="2"/>
  <c r="AE335" i="2"/>
  <c r="J299" i="2"/>
  <c r="H346" i="2"/>
  <c r="AE299" i="2"/>
  <c r="AJ233" i="2"/>
  <c r="X105" i="2"/>
  <c r="AP256" i="2"/>
  <c r="AR256" i="2" s="1"/>
  <c r="AO303" i="2"/>
  <c r="K208" i="2"/>
  <c r="AP275" i="2"/>
  <c r="AR275" i="2" s="1"/>
  <c r="AO322" i="2"/>
  <c r="H345" i="2"/>
  <c r="J298" i="2"/>
  <c r="AE298" i="2"/>
  <c r="Y323" i="2"/>
  <c r="H341" i="2"/>
  <c r="J294" i="2"/>
  <c r="AE294" i="2"/>
  <c r="J377" i="2"/>
  <c r="AE377" i="2"/>
  <c r="H424" i="2"/>
  <c r="AO333" i="2"/>
  <c r="AP286" i="2"/>
  <c r="AR286" i="2" s="1"/>
  <c r="AC184" i="2"/>
  <c r="AD184" i="2" s="1"/>
  <c r="H363" i="2"/>
  <c r="AE316" i="2"/>
  <c r="J316" i="2"/>
  <c r="AK223" i="2"/>
  <c r="AL223" i="2" s="1"/>
  <c r="AF250" i="2"/>
  <c r="AG250" i="2" s="1"/>
  <c r="AH250" i="2" s="1"/>
  <c r="AK230" i="2"/>
  <c r="AL230" i="2" s="1"/>
  <c r="AC166" i="2"/>
  <c r="AD166" i="2" s="1"/>
  <c r="K210" i="2"/>
  <c r="X147" i="2"/>
  <c r="K214" i="2"/>
  <c r="AO328" i="2"/>
  <c r="AP281" i="2"/>
  <c r="AR281" i="2" s="1"/>
  <c r="L157" i="2"/>
  <c r="L175" i="2"/>
  <c r="K222" i="2" s="1"/>
  <c r="AO311" i="2"/>
  <c r="AP264" i="2"/>
  <c r="AR264" i="2" s="1"/>
  <c r="AF304" i="2"/>
  <c r="Y287" i="2"/>
  <c r="AP260" i="2"/>
  <c r="AR260" i="2" s="1"/>
  <c r="AO307" i="2"/>
  <c r="K249" i="2"/>
  <c r="T212" i="2"/>
  <c r="W212" i="2"/>
  <c r="U212" i="2"/>
  <c r="V212" i="2"/>
  <c r="AK163" i="2"/>
  <c r="AL163" i="2" s="1"/>
  <c r="J373" i="2"/>
  <c r="AE373" i="2"/>
  <c r="H420" i="2"/>
  <c r="K330" i="2"/>
  <c r="L330" i="2" s="1"/>
  <c r="L153" i="2"/>
  <c r="K200" i="2" s="1"/>
  <c r="AO295" i="2"/>
  <c r="AP248" i="2"/>
  <c r="AR248" i="2" s="1"/>
  <c r="W155" i="2"/>
  <c r="V155" i="2"/>
  <c r="U155" i="2"/>
  <c r="T155" i="2"/>
  <c r="AO320" i="2"/>
  <c r="AP273" i="2"/>
  <c r="AR273" i="2" s="1"/>
  <c r="AF300" i="2"/>
  <c r="X112" i="2"/>
  <c r="X114" i="2"/>
  <c r="Y314" i="2"/>
  <c r="H338" i="2"/>
  <c r="J291" i="2"/>
  <c r="AE291" i="2"/>
  <c r="T225" i="2"/>
  <c r="W225" i="2"/>
  <c r="V225" i="2"/>
  <c r="U225" i="2"/>
  <c r="J375" i="2"/>
  <c r="AE375" i="2"/>
  <c r="H422" i="2"/>
  <c r="J365" i="2"/>
  <c r="AE365" i="2"/>
  <c r="H412" i="2"/>
  <c r="AP255" i="2"/>
  <c r="AR255" i="2" s="1"/>
  <c r="AO302" i="2"/>
  <c r="J366" i="2"/>
  <c r="AE366" i="2"/>
  <c r="H413" i="2"/>
  <c r="X106" i="2"/>
  <c r="K259" i="2"/>
  <c r="L207" i="2"/>
  <c r="K254" i="2" s="1"/>
  <c r="AF327" i="2"/>
  <c r="AG327" i="2" s="1"/>
  <c r="AH327" i="2" s="1"/>
  <c r="AG230" i="2"/>
  <c r="AH230" i="2" s="1"/>
  <c r="Y312" i="2"/>
  <c r="AO315" i="2"/>
  <c r="AP268" i="2"/>
  <c r="AR268" i="2" s="1"/>
  <c r="AF262" i="2"/>
  <c r="J293" i="2"/>
  <c r="H340" i="2"/>
  <c r="AE293" i="2"/>
  <c r="AG209" i="2"/>
  <c r="AH209" i="2" s="1"/>
  <c r="W154" i="2"/>
  <c r="V154" i="2"/>
  <c r="U154" i="2"/>
  <c r="T154" i="2"/>
  <c r="X116" i="2"/>
  <c r="AF273" i="2"/>
  <c r="AG273" i="2" s="1"/>
  <c r="AH273" i="2" s="1"/>
  <c r="Y242" i="2"/>
  <c r="H344" i="2"/>
  <c r="J297" i="2"/>
  <c r="AE297" i="2"/>
  <c r="AK147" i="2"/>
  <c r="AL147" i="2" s="1"/>
  <c r="AO294" i="2"/>
  <c r="AP247" i="2"/>
  <c r="AR247" i="2" s="1"/>
  <c r="AP258" i="2"/>
  <c r="AR258" i="2" s="1"/>
  <c r="AO305" i="2"/>
  <c r="Y282" i="2"/>
  <c r="AC205" i="2"/>
  <c r="AD205" i="2" s="1"/>
  <c r="J333" i="2"/>
  <c r="H380" i="2"/>
  <c r="AE333" i="2"/>
  <c r="Y301" i="2"/>
  <c r="K325" i="2"/>
  <c r="AK234" i="2"/>
  <c r="AL234" i="2" s="1"/>
  <c r="H353" i="2"/>
  <c r="J306" i="2"/>
  <c r="AE306" i="2"/>
  <c r="AF265" i="2"/>
  <c r="Y304" i="2"/>
  <c r="J409" i="2"/>
  <c r="AE409" i="2"/>
  <c r="H456" i="2"/>
  <c r="AP262" i="2"/>
  <c r="AR262" i="2" s="1"/>
  <c r="AO309" i="2"/>
  <c r="Y245" i="2"/>
  <c r="AC201" i="2"/>
  <c r="AD201" i="2" s="1"/>
  <c r="X113" i="2"/>
  <c r="Y305" i="2"/>
  <c r="AG279" i="2"/>
  <c r="AH279" i="2" s="1"/>
  <c r="J357" i="2"/>
  <c r="AE357" i="2"/>
  <c r="H404" i="2"/>
  <c r="J347" i="2"/>
  <c r="AE347" i="2"/>
  <c r="H394" i="2"/>
  <c r="X179" i="2"/>
  <c r="X173" i="2"/>
  <c r="L218" i="2"/>
  <c r="K265" i="2" s="1"/>
  <c r="AF301" i="2"/>
  <c r="K201" i="2"/>
  <c r="Y322" i="2"/>
  <c r="AC181" i="2"/>
  <c r="AD181" i="2" s="1"/>
  <c r="AC164" i="2"/>
  <c r="AD164" i="2" s="1"/>
  <c r="Y252" i="2"/>
  <c r="L152" i="2"/>
  <c r="K199" i="2" s="1"/>
  <c r="AP261" i="2"/>
  <c r="AR261" i="2" s="1"/>
  <c r="AO308" i="2"/>
  <c r="Y273" i="2"/>
  <c r="L273" i="2"/>
  <c r="L206" i="2"/>
  <c r="K253" i="2" s="1"/>
  <c r="AC233" i="2"/>
  <c r="AD233" i="2" s="1"/>
  <c r="X99" i="2"/>
  <c r="AG263" i="2"/>
  <c r="AH263" i="2" s="1"/>
  <c r="Y251" i="2"/>
  <c r="J370" i="2"/>
  <c r="AE370" i="2"/>
  <c r="H417" i="2"/>
  <c r="Y266" i="2"/>
  <c r="Y247" i="2"/>
  <c r="H354" i="2"/>
  <c r="J307" i="2"/>
  <c r="AE307" i="2"/>
  <c r="Y330" i="2"/>
  <c r="X104" i="2"/>
  <c r="L281" i="2"/>
  <c r="L188" i="2"/>
  <c r="K235" i="2" s="1"/>
  <c r="AK229" i="2"/>
  <c r="AL229" i="2" s="1"/>
  <c r="W135" i="2"/>
  <c r="U135" i="2"/>
  <c r="V135" i="2"/>
  <c r="T135" i="2"/>
  <c r="AF222" i="2"/>
  <c r="AC185" i="2"/>
  <c r="AD185" i="2" s="1"/>
  <c r="X102" i="2"/>
  <c r="AF240" i="2"/>
  <c r="H355" i="2"/>
  <c r="J308" i="2"/>
  <c r="AE308" i="2"/>
  <c r="AJ237" i="2"/>
  <c r="L219" i="2"/>
  <c r="K266" i="2" s="1"/>
  <c r="L197" i="2"/>
  <c r="K272" i="2"/>
  <c r="AB193" i="2"/>
  <c r="AO317" i="2"/>
  <c r="AP270" i="2"/>
  <c r="AR270" i="2" s="1"/>
  <c r="AP334" i="2"/>
  <c r="AR334" i="2" s="1"/>
  <c r="AO381" i="2"/>
  <c r="AJ202" i="2"/>
  <c r="AP332" i="2"/>
  <c r="AR332" i="2" s="1"/>
  <c r="AO379" i="2"/>
  <c r="AO321" i="2"/>
  <c r="AP274" i="2"/>
  <c r="AR274" i="2" s="1"/>
  <c r="AO319" i="2"/>
  <c r="AP272" i="2"/>
  <c r="AR272" i="2" s="1"/>
  <c r="X228" i="2"/>
  <c r="X109" i="2"/>
  <c r="K192" i="2"/>
  <c r="X234" i="2"/>
  <c r="X158" i="2"/>
  <c r="AF259" i="2" l="1"/>
  <c r="AG259" i="2" s="1"/>
  <c r="AH259" i="2" s="1"/>
  <c r="AF299" i="2"/>
  <c r="AF325" i="2"/>
  <c r="AG325" i="2" s="1"/>
  <c r="AH325" i="2" s="1"/>
  <c r="AF331" i="2"/>
  <c r="AG331" i="2" s="1"/>
  <c r="AH331" i="2" s="1"/>
  <c r="K221" i="2"/>
  <c r="V174" i="2"/>
  <c r="U174" i="2"/>
  <c r="T174" i="2"/>
  <c r="W174" i="2"/>
  <c r="X127" i="2"/>
  <c r="X224" i="2"/>
  <c r="T271" i="2"/>
  <c r="AF298" i="2"/>
  <c r="AK146" i="2"/>
  <c r="AL146" i="2" s="1"/>
  <c r="K318" i="2"/>
  <c r="L318" i="2" s="1"/>
  <c r="V318" i="2" s="1"/>
  <c r="U271" i="2"/>
  <c r="V271" i="2"/>
  <c r="AG264" i="2"/>
  <c r="AH264" i="2" s="1"/>
  <c r="AJ207" i="2"/>
  <c r="AK207" i="2" s="1"/>
  <c r="AL207" i="2" s="1"/>
  <c r="AG244" i="2"/>
  <c r="AH244" i="2" s="1"/>
  <c r="AJ158" i="2"/>
  <c r="AG198" i="2"/>
  <c r="AH198" i="2" s="1"/>
  <c r="AJ319" i="2"/>
  <c r="AK319" i="2" s="1"/>
  <c r="AL319" i="2" s="1"/>
  <c r="AJ341" i="2"/>
  <c r="AK341" i="2" s="1"/>
  <c r="AL341" i="2" s="1"/>
  <c r="AB268" i="2"/>
  <c r="AC268" i="2" s="1"/>
  <c r="AD268" i="2" s="1"/>
  <c r="AF294" i="2"/>
  <c r="AG294" i="2" s="1"/>
  <c r="AH294" i="2" s="1"/>
  <c r="AF296" i="2"/>
  <c r="AG296" i="2" s="1"/>
  <c r="AH296" i="2" s="1"/>
  <c r="AC160" i="2"/>
  <c r="AD160" i="2" s="1"/>
  <c r="AH266" i="2"/>
  <c r="AF313" i="2"/>
  <c r="AG313" i="2" s="1"/>
  <c r="AH313" i="2" s="1"/>
  <c r="AB276" i="2"/>
  <c r="AC276" i="2" s="1"/>
  <c r="AD276" i="2" s="1"/>
  <c r="AB200" i="2"/>
  <c r="AC200" i="2" s="1"/>
  <c r="AD200" i="2" s="1"/>
  <c r="AB216" i="2"/>
  <c r="AC216" i="2" s="1"/>
  <c r="AD216" i="2" s="1"/>
  <c r="AJ228" i="2"/>
  <c r="AK228" i="2" s="1"/>
  <c r="AL228" i="2" s="1"/>
  <c r="AF308" i="2"/>
  <c r="AJ268" i="2"/>
  <c r="AK268" i="2" s="1"/>
  <c r="AL268" i="2" s="1"/>
  <c r="X144" i="2"/>
  <c r="V180" i="2"/>
  <c r="U180" i="2"/>
  <c r="T180" i="2"/>
  <c r="W180" i="2"/>
  <c r="AJ217" i="2"/>
  <c r="AK217" i="2" s="1"/>
  <c r="AL217" i="2" s="1"/>
  <c r="AB280" i="2"/>
  <c r="AC280" i="2" s="1"/>
  <c r="AD280" i="2" s="1"/>
  <c r="AJ262" i="2"/>
  <c r="AK262" i="2" s="1"/>
  <c r="AL262" i="2" s="1"/>
  <c r="AB266" i="2"/>
  <c r="AC266" i="2" s="1"/>
  <c r="AD266" i="2" s="1"/>
  <c r="AJ246" i="2"/>
  <c r="AK246" i="2" s="1"/>
  <c r="AL246" i="2" s="1"/>
  <c r="AJ250" i="2"/>
  <c r="AK250" i="2" s="1"/>
  <c r="AL250" i="2" s="1"/>
  <c r="AK307" i="2"/>
  <c r="AL307" i="2" s="1"/>
  <c r="AB273" i="2"/>
  <c r="AC273" i="2" s="1"/>
  <c r="AD273" i="2" s="1"/>
  <c r="X133" i="2"/>
  <c r="AG308" i="2"/>
  <c r="AH308" i="2" s="1"/>
  <c r="AF241" i="2"/>
  <c r="AG241" i="2" s="1"/>
  <c r="AH241" i="2" s="1"/>
  <c r="X226" i="2"/>
  <c r="AJ278" i="2"/>
  <c r="AK278" i="2" s="1"/>
  <c r="AL278" i="2" s="1"/>
  <c r="K227" i="2"/>
  <c r="AD234" i="2"/>
  <c r="AB281" i="2"/>
  <c r="AC281" i="2" s="1"/>
  <c r="AD281" i="2" s="1"/>
  <c r="AB211" i="2"/>
  <c r="AC211" i="2" s="1"/>
  <c r="AD211" i="2" s="1"/>
  <c r="AJ281" i="2"/>
  <c r="AK281" i="2" s="1"/>
  <c r="AL281" i="2" s="1"/>
  <c r="AB252" i="2"/>
  <c r="AC252" i="2" s="1"/>
  <c r="AD252" i="2" s="1"/>
  <c r="AJ194" i="2"/>
  <c r="AK194" i="2" s="1"/>
  <c r="AL194" i="2" s="1"/>
  <c r="AB213" i="2"/>
  <c r="AC213" i="2" s="1"/>
  <c r="AD213" i="2" s="1"/>
  <c r="AJ270" i="2"/>
  <c r="AK270" i="2" s="1"/>
  <c r="AL270" i="2" s="1"/>
  <c r="AJ185" i="2"/>
  <c r="AK185" i="2" s="1"/>
  <c r="AL185" i="2" s="1"/>
  <c r="AJ290" i="2"/>
  <c r="AK290" i="2" s="1"/>
  <c r="AL290" i="2" s="1"/>
  <c r="AF234" i="2"/>
  <c r="AG234" i="2" s="1"/>
  <c r="AH234" i="2" s="1"/>
  <c r="AB269" i="2"/>
  <c r="AC269" i="2" s="1"/>
  <c r="AD269" i="2" s="1"/>
  <c r="AB245" i="2"/>
  <c r="AC245" i="2" s="1"/>
  <c r="AD245" i="2" s="1"/>
  <c r="X205" i="2"/>
  <c r="X275" i="2"/>
  <c r="AF272" i="2"/>
  <c r="AG272" i="2" s="1"/>
  <c r="AH272" i="2" s="1"/>
  <c r="X217" i="2"/>
  <c r="AG299" i="2"/>
  <c r="AH299" i="2" s="1"/>
  <c r="AF289" i="2"/>
  <c r="AG289" i="2" s="1"/>
  <c r="AH289" i="2" s="1"/>
  <c r="L238" i="2"/>
  <c r="K285" i="2" s="1"/>
  <c r="X155" i="2"/>
  <c r="X212" i="2"/>
  <c r="X135" i="2"/>
  <c r="AB282" i="2"/>
  <c r="AC282" i="2" s="1"/>
  <c r="AD282" i="2" s="1"/>
  <c r="AJ286" i="2"/>
  <c r="AK286" i="2" s="1"/>
  <c r="AL286" i="2" s="1"/>
  <c r="AB248" i="2"/>
  <c r="AC248" i="2" s="1"/>
  <c r="AD248" i="2" s="1"/>
  <c r="AF277" i="2"/>
  <c r="AG277" i="2" s="1"/>
  <c r="AH277" i="2" s="1"/>
  <c r="X225" i="2"/>
  <c r="AF352" i="2"/>
  <c r="AG352" i="2" s="1"/>
  <c r="AH352" i="2" s="1"/>
  <c r="AJ274" i="2"/>
  <c r="AK274" i="2" s="1"/>
  <c r="AL274" i="2" s="1"/>
  <c r="AF268" i="2"/>
  <c r="AG268" i="2" s="1"/>
  <c r="AH268" i="2" s="1"/>
  <c r="X161" i="2"/>
  <c r="AJ212" i="2"/>
  <c r="AK212" i="2" s="1"/>
  <c r="AL212" i="2" s="1"/>
  <c r="X166" i="2"/>
  <c r="L186" i="2"/>
  <c r="K233" i="2" s="1"/>
  <c r="X139" i="2"/>
  <c r="T191" i="2"/>
  <c r="W191" i="2"/>
  <c r="V191" i="2"/>
  <c r="U191" i="2"/>
  <c r="L200" i="2"/>
  <c r="L232" i="2"/>
  <c r="K279" i="2" s="1"/>
  <c r="U330" i="2"/>
  <c r="T330" i="2"/>
  <c r="W330" i="2"/>
  <c r="V330" i="2"/>
  <c r="U264" i="2"/>
  <c r="T264" i="2"/>
  <c r="W264" i="2"/>
  <c r="V264" i="2"/>
  <c r="L237" i="2"/>
  <c r="K284" i="2" s="1"/>
  <c r="L241" i="2"/>
  <c r="L198" i="2"/>
  <c r="Y307" i="2"/>
  <c r="U252" i="2"/>
  <c r="W252" i="2"/>
  <c r="T252" i="2"/>
  <c r="V252" i="2"/>
  <c r="Y293" i="2"/>
  <c r="Y366" i="2"/>
  <c r="J420" i="2"/>
  <c r="AE420" i="2"/>
  <c r="H467" i="2"/>
  <c r="W157" i="2"/>
  <c r="V157" i="2"/>
  <c r="U157" i="2"/>
  <c r="T157" i="2"/>
  <c r="AP328" i="2"/>
  <c r="AR328" i="2" s="1"/>
  <c r="AO375" i="2"/>
  <c r="J416" i="2"/>
  <c r="AE416" i="2"/>
  <c r="H463" i="2"/>
  <c r="AG274" i="2"/>
  <c r="AH274" i="2" s="1"/>
  <c r="L223" i="2"/>
  <c r="K270" i="2" s="1"/>
  <c r="Y348" i="2"/>
  <c r="Y289" i="2"/>
  <c r="W168" i="2"/>
  <c r="V168" i="2"/>
  <c r="U168" i="2"/>
  <c r="T168" i="2"/>
  <c r="AK191" i="2"/>
  <c r="AL191" i="2" s="1"/>
  <c r="L193" i="2"/>
  <c r="K240" i="2" s="1"/>
  <c r="Y349" i="2"/>
  <c r="Y372" i="2"/>
  <c r="J418" i="2"/>
  <c r="AE418" i="2"/>
  <c r="H465" i="2"/>
  <c r="AP327" i="2"/>
  <c r="AR327" i="2" s="1"/>
  <c r="AO374" i="2"/>
  <c r="AC217" i="2"/>
  <c r="AD217" i="2" s="1"/>
  <c r="AK198" i="2"/>
  <c r="AL198" i="2" s="1"/>
  <c r="Y379" i="2"/>
  <c r="AO434" i="2"/>
  <c r="AP387" i="2"/>
  <c r="AR387" i="2" s="1"/>
  <c r="AG228" i="2"/>
  <c r="AH228" i="2" s="1"/>
  <c r="AC238" i="2"/>
  <c r="AD238" i="2" s="1"/>
  <c r="T183" i="2"/>
  <c r="W183" i="2"/>
  <c r="V183" i="2"/>
  <c r="U183" i="2"/>
  <c r="AC220" i="2"/>
  <c r="AD220" i="2" s="1"/>
  <c r="T197" i="2"/>
  <c r="W197" i="2"/>
  <c r="V197" i="2"/>
  <c r="U197" i="2"/>
  <c r="Y308" i="2"/>
  <c r="AJ276" i="2"/>
  <c r="U281" i="2"/>
  <c r="T281" i="2"/>
  <c r="W281" i="2"/>
  <c r="V281" i="2"/>
  <c r="J354" i="2"/>
  <c r="AE354" i="2"/>
  <c r="H401" i="2"/>
  <c r="T206" i="2"/>
  <c r="W206" i="2"/>
  <c r="U206" i="2"/>
  <c r="V206" i="2"/>
  <c r="U273" i="2"/>
  <c r="T273" i="2"/>
  <c r="W273" i="2"/>
  <c r="V273" i="2"/>
  <c r="W152" i="2"/>
  <c r="V152" i="2"/>
  <c r="U152" i="2"/>
  <c r="T152" i="2"/>
  <c r="AB228" i="2"/>
  <c r="L201" i="2"/>
  <c r="K248" i="2" s="1"/>
  <c r="T218" i="2"/>
  <c r="W218" i="2"/>
  <c r="V218" i="2"/>
  <c r="U218" i="2"/>
  <c r="AJ283" i="2"/>
  <c r="AO356" i="2"/>
  <c r="AP309" i="2"/>
  <c r="AR309" i="2" s="1"/>
  <c r="Y409" i="2"/>
  <c r="AG265" i="2"/>
  <c r="AH265" i="2" s="1"/>
  <c r="Y333" i="2"/>
  <c r="L242" i="2"/>
  <c r="AB261" i="2"/>
  <c r="AF256" i="2"/>
  <c r="AF374" i="2"/>
  <c r="AG374" i="2" s="1"/>
  <c r="AH374" i="2" s="1"/>
  <c r="T207" i="2"/>
  <c r="W207" i="2"/>
  <c r="V207" i="2"/>
  <c r="U207" i="2"/>
  <c r="AO349" i="2"/>
  <c r="AP302" i="2"/>
  <c r="AR302" i="2" s="1"/>
  <c r="Y365" i="2"/>
  <c r="AO342" i="2"/>
  <c r="AP295" i="2"/>
  <c r="AR295" i="2" s="1"/>
  <c r="AJ210" i="2"/>
  <c r="T175" i="2"/>
  <c r="W175" i="2"/>
  <c r="V175" i="2"/>
  <c r="U175" i="2"/>
  <c r="L214" i="2"/>
  <c r="K261" i="2" s="1"/>
  <c r="L210" i="2"/>
  <c r="K257" i="2" s="1"/>
  <c r="AJ277" i="2"/>
  <c r="Y316" i="2"/>
  <c r="AB231" i="2"/>
  <c r="Y294" i="2"/>
  <c r="AO369" i="2"/>
  <c r="AP322" i="2"/>
  <c r="AR322" i="2" s="1"/>
  <c r="L208" i="2"/>
  <c r="Y299" i="2"/>
  <c r="J364" i="2"/>
  <c r="AE364" i="2"/>
  <c r="H411" i="2"/>
  <c r="AK179" i="2"/>
  <c r="AL179" i="2" s="1"/>
  <c r="AO365" i="2"/>
  <c r="AP318" i="2"/>
  <c r="AR318" i="2" s="1"/>
  <c r="X143" i="2"/>
  <c r="AO357" i="2"/>
  <c r="AP310" i="2"/>
  <c r="AR310" i="2" s="1"/>
  <c r="AJ209" i="2"/>
  <c r="L325" i="2"/>
  <c r="K372" i="2" s="1"/>
  <c r="AB199" i="2"/>
  <c r="AG255" i="2"/>
  <c r="AH255" i="2" s="1"/>
  <c r="AC224" i="2"/>
  <c r="AD224" i="2" s="1"/>
  <c r="AO343" i="2"/>
  <c r="AP296" i="2"/>
  <c r="AR296" i="2" s="1"/>
  <c r="AF326" i="2"/>
  <c r="AK251" i="2"/>
  <c r="AL251" i="2" s="1"/>
  <c r="AC206" i="2"/>
  <c r="AD206" i="2" s="1"/>
  <c r="AC251" i="2"/>
  <c r="AD251" i="2" s="1"/>
  <c r="X167" i="2"/>
  <c r="J360" i="2"/>
  <c r="AE360" i="2"/>
  <c r="H407" i="2"/>
  <c r="AB239" i="2"/>
  <c r="AO339" i="2"/>
  <c r="AP292" i="2"/>
  <c r="AR292" i="2" s="1"/>
  <c r="Y292" i="2"/>
  <c r="AJ282" i="2"/>
  <c r="AO345" i="2"/>
  <c r="AP298" i="2"/>
  <c r="AR298" i="2" s="1"/>
  <c r="AO363" i="2"/>
  <c r="AP316" i="2"/>
  <c r="AR316" i="2" s="1"/>
  <c r="Y311" i="2"/>
  <c r="K244" i="2"/>
  <c r="AB257" i="2"/>
  <c r="AB270" i="2"/>
  <c r="AO346" i="2"/>
  <c r="AP299" i="2"/>
  <c r="AR299" i="2" s="1"/>
  <c r="AC265" i="2"/>
  <c r="AD265" i="2" s="1"/>
  <c r="AC236" i="2"/>
  <c r="AD236" i="2" s="1"/>
  <c r="K320" i="2"/>
  <c r="AF379" i="2"/>
  <c r="AG379" i="2" s="1"/>
  <c r="AH379" i="2" s="1"/>
  <c r="X141" i="2"/>
  <c r="AG300" i="2"/>
  <c r="AH300" i="2" s="1"/>
  <c r="AB249" i="2"/>
  <c r="J356" i="2"/>
  <c r="AE356" i="2"/>
  <c r="H403" i="2"/>
  <c r="Y329" i="2"/>
  <c r="AK201" i="2"/>
  <c r="AL201" i="2" s="1"/>
  <c r="J406" i="2"/>
  <c r="AE406" i="2"/>
  <c r="H453" i="2"/>
  <c r="X160" i="2"/>
  <c r="AF290" i="2"/>
  <c r="AG290" i="2" s="1"/>
  <c r="AH290" i="2" s="1"/>
  <c r="AK244" i="2"/>
  <c r="AL244" i="2" s="1"/>
  <c r="J408" i="2"/>
  <c r="AE408" i="2"/>
  <c r="H455" i="2"/>
  <c r="AB274" i="2"/>
  <c r="AB197" i="2"/>
  <c r="Y295" i="2"/>
  <c r="T182" i="2"/>
  <c r="W182" i="2"/>
  <c r="V182" i="2"/>
  <c r="U182" i="2"/>
  <c r="J417" i="2"/>
  <c r="AE417" i="2"/>
  <c r="H464" i="2"/>
  <c r="H427" i="2"/>
  <c r="J380" i="2"/>
  <c r="AE380" i="2"/>
  <c r="J344" i="2"/>
  <c r="AE344" i="2"/>
  <c r="H391" i="2"/>
  <c r="Y375" i="2"/>
  <c r="AO358" i="2"/>
  <c r="AP311" i="2"/>
  <c r="AR311" i="2" s="1"/>
  <c r="J424" i="2"/>
  <c r="AE424" i="2"/>
  <c r="H471" i="2"/>
  <c r="J345" i="2"/>
  <c r="AE345" i="2"/>
  <c r="H392" i="2"/>
  <c r="J346" i="2"/>
  <c r="AE346" i="2"/>
  <c r="H393" i="2"/>
  <c r="Y335" i="2"/>
  <c r="Y317" i="2"/>
  <c r="AC196" i="2"/>
  <c r="AD196" i="2" s="1"/>
  <c r="AP326" i="2"/>
  <c r="AR326" i="2" s="1"/>
  <c r="AO373" i="2"/>
  <c r="L263" i="2"/>
  <c r="K311" i="2"/>
  <c r="Y313" i="2"/>
  <c r="J421" i="2"/>
  <c r="AE421" i="2"/>
  <c r="H468" i="2"/>
  <c r="J399" i="2"/>
  <c r="AE399" i="2"/>
  <c r="H446" i="2"/>
  <c r="J398" i="2"/>
  <c r="AE398" i="2"/>
  <c r="H445" i="2"/>
  <c r="AO430" i="2"/>
  <c r="AP383" i="2"/>
  <c r="AR383" i="2" s="1"/>
  <c r="J337" i="2"/>
  <c r="H384" i="2"/>
  <c r="AE337" i="2"/>
  <c r="AK313" i="2"/>
  <c r="AL313" i="2" s="1"/>
  <c r="AK222" i="2"/>
  <c r="AL222" i="2" s="1"/>
  <c r="AK195" i="2"/>
  <c r="AL195" i="2" s="1"/>
  <c r="L258" i="2"/>
  <c r="Y309" i="2"/>
  <c r="J397" i="2"/>
  <c r="AE397" i="2"/>
  <c r="H444" i="2"/>
  <c r="AP329" i="2"/>
  <c r="AR329" i="2" s="1"/>
  <c r="AO376" i="2"/>
  <c r="Y368" i="2"/>
  <c r="L196" i="2"/>
  <c r="L203" i="2"/>
  <c r="L267" i="2"/>
  <c r="K314" i="2" s="1"/>
  <c r="J367" i="2"/>
  <c r="AE367" i="2"/>
  <c r="H414" i="2"/>
  <c r="AO361" i="2"/>
  <c r="AP314" i="2"/>
  <c r="AR314" i="2" s="1"/>
  <c r="AO429" i="2"/>
  <c r="AP382" i="2"/>
  <c r="AR382" i="2" s="1"/>
  <c r="U256" i="2"/>
  <c r="T256" i="2"/>
  <c r="W256" i="2"/>
  <c r="V256" i="2"/>
  <c r="AK202" i="2"/>
  <c r="AL202" i="2" s="1"/>
  <c r="AO364" i="2"/>
  <c r="AP317" i="2"/>
  <c r="AR317" i="2" s="1"/>
  <c r="T219" i="2"/>
  <c r="W219" i="2"/>
  <c r="V219" i="2"/>
  <c r="U219" i="2"/>
  <c r="J355" i="2"/>
  <c r="AE355" i="2"/>
  <c r="H402" i="2"/>
  <c r="AB232" i="2"/>
  <c r="T188" i="2"/>
  <c r="W188" i="2"/>
  <c r="U188" i="2"/>
  <c r="V188" i="2"/>
  <c r="L266" i="2"/>
  <c r="Y370" i="2"/>
  <c r="L322" i="2"/>
  <c r="Y347" i="2"/>
  <c r="Y357" i="2"/>
  <c r="AO341" i="2"/>
  <c r="AP294" i="2"/>
  <c r="AR294" i="2" s="1"/>
  <c r="J413" i="2"/>
  <c r="AE413" i="2"/>
  <c r="H460" i="2"/>
  <c r="J422" i="2"/>
  <c r="AE422" i="2"/>
  <c r="H469" i="2"/>
  <c r="AB255" i="2"/>
  <c r="AB259" i="2"/>
  <c r="Y291" i="2"/>
  <c r="Y373" i="2"/>
  <c r="K204" i="2"/>
  <c r="AF297" i="2"/>
  <c r="AG297" i="2" s="1"/>
  <c r="AH297" i="2" s="1"/>
  <c r="Y377" i="2"/>
  <c r="J341" i="2"/>
  <c r="AE341" i="2"/>
  <c r="H388" i="2"/>
  <c r="AG298" i="2"/>
  <c r="AH298" i="2" s="1"/>
  <c r="AO350" i="2"/>
  <c r="AP303" i="2"/>
  <c r="AR303" i="2" s="1"/>
  <c r="AK233" i="2"/>
  <c r="AL233" i="2" s="1"/>
  <c r="AO371" i="2"/>
  <c r="AP324" i="2"/>
  <c r="AR324" i="2" s="1"/>
  <c r="Y369" i="2"/>
  <c r="J343" i="2"/>
  <c r="AE343" i="2"/>
  <c r="H390" i="2"/>
  <c r="K299" i="2"/>
  <c r="AG304" i="2"/>
  <c r="AH304" i="2" s="1"/>
  <c r="AO360" i="2"/>
  <c r="AP313" i="2"/>
  <c r="AR313" i="2" s="1"/>
  <c r="J395" i="2"/>
  <c r="AE395" i="2"/>
  <c r="H442" i="2"/>
  <c r="AF306" i="2"/>
  <c r="AG306" i="2" s="1"/>
  <c r="AH306" i="2" s="1"/>
  <c r="AB215" i="2"/>
  <c r="K215" i="2"/>
  <c r="AO347" i="2"/>
  <c r="AP300" i="2"/>
  <c r="AR300" i="2" s="1"/>
  <c r="T195" i="2"/>
  <c r="W195" i="2"/>
  <c r="V195" i="2"/>
  <c r="U195" i="2"/>
  <c r="W146" i="2"/>
  <c r="V146" i="2"/>
  <c r="U146" i="2"/>
  <c r="T146" i="2"/>
  <c r="J396" i="2"/>
  <c r="AE396" i="2"/>
  <c r="H443" i="2"/>
  <c r="AF267" i="2"/>
  <c r="T216" i="2"/>
  <c r="W216" i="2"/>
  <c r="V216" i="2"/>
  <c r="U216" i="2"/>
  <c r="AP331" i="2"/>
  <c r="AR331" i="2" s="1"/>
  <c r="AO378" i="2"/>
  <c r="Y374" i="2"/>
  <c r="L249" i="2"/>
  <c r="AF293" i="2"/>
  <c r="Y352" i="2"/>
  <c r="J339" i="2"/>
  <c r="AE339" i="2"/>
  <c r="H386" i="2"/>
  <c r="Y351" i="2"/>
  <c r="L259" i="2"/>
  <c r="AG262" i="2"/>
  <c r="AH262" i="2" s="1"/>
  <c r="X176" i="2"/>
  <c r="AO351" i="2"/>
  <c r="AP304" i="2"/>
  <c r="AR304" i="2" s="1"/>
  <c r="J419" i="2"/>
  <c r="AE419" i="2"/>
  <c r="H466" i="2"/>
  <c r="J358" i="2"/>
  <c r="AE358" i="2"/>
  <c r="H405" i="2"/>
  <c r="K328" i="2"/>
  <c r="X202" i="2"/>
  <c r="AF276" i="2"/>
  <c r="Y371" i="2"/>
  <c r="X145" i="2"/>
  <c r="AC242" i="2"/>
  <c r="AD242" i="2" s="1"/>
  <c r="AK216" i="2"/>
  <c r="AL216" i="2" s="1"/>
  <c r="AJ267" i="2"/>
  <c r="X159" i="2"/>
  <c r="AF235" i="2"/>
  <c r="AJ206" i="2"/>
  <c r="AG301" i="2"/>
  <c r="AH301" i="2" s="1"/>
  <c r="X148" i="2"/>
  <c r="AB194" i="2"/>
  <c r="AJ255" i="2"/>
  <c r="X211" i="2"/>
  <c r="K230" i="2"/>
  <c r="Y350" i="2"/>
  <c r="J415" i="2"/>
  <c r="AE415" i="2"/>
  <c r="H462" i="2"/>
  <c r="W149" i="2"/>
  <c r="V149" i="2"/>
  <c r="U149" i="2"/>
  <c r="T149" i="2"/>
  <c r="J381" i="2"/>
  <c r="AE381" i="2"/>
  <c r="H428" i="2"/>
  <c r="W156" i="2"/>
  <c r="V156" i="2"/>
  <c r="U156" i="2"/>
  <c r="T156" i="2"/>
  <c r="AK224" i="2"/>
  <c r="AL224" i="2" s="1"/>
  <c r="T220" i="2"/>
  <c r="W220" i="2"/>
  <c r="V220" i="2"/>
  <c r="U220" i="2"/>
  <c r="AC237" i="2"/>
  <c r="AD237" i="2" s="1"/>
  <c r="X163" i="2"/>
  <c r="Y378" i="2"/>
  <c r="Y320" i="2"/>
  <c r="AB209" i="2"/>
  <c r="AG270" i="2"/>
  <c r="AH270" i="2" s="1"/>
  <c r="J342" i="2"/>
  <c r="AE342" i="2"/>
  <c r="H389" i="2"/>
  <c r="X283" i="2"/>
  <c r="X278" i="2"/>
  <c r="K303" i="2"/>
  <c r="L192" i="2"/>
  <c r="AO366" i="2"/>
  <c r="AP319" i="2"/>
  <c r="AR319" i="2" s="1"/>
  <c r="AO426" i="2"/>
  <c r="AP379" i="2"/>
  <c r="AR379" i="2" s="1"/>
  <c r="L272" i="2"/>
  <c r="K319" i="2" s="1"/>
  <c r="L235" i="2"/>
  <c r="K282" i="2" s="1"/>
  <c r="J394" i="2"/>
  <c r="AE394" i="2"/>
  <c r="H441" i="2"/>
  <c r="J404" i="2"/>
  <c r="AE404" i="2"/>
  <c r="H451" i="2"/>
  <c r="J353" i="2"/>
  <c r="AE353" i="2"/>
  <c r="H400" i="2"/>
  <c r="AO368" i="2"/>
  <c r="AP321" i="2"/>
  <c r="AR321" i="2" s="1"/>
  <c r="AO428" i="2"/>
  <c r="AP381" i="2"/>
  <c r="AR381" i="2" s="1"/>
  <c r="AC193" i="2"/>
  <c r="AD193" i="2" s="1"/>
  <c r="AK237" i="2"/>
  <c r="AL237" i="2" s="1"/>
  <c r="AG240" i="2"/>
  <c r="AH240" i="2" s="1"/>
  <c r="AG222" i="2"/>
  <c r="AH222" i="2" s="1"/>
  <c r="L253" i="2"/>
  <c r="K300" i="2" s="1"/>
  <c r="AO355" i="2"/>
  <c r="AP308" i="2"/>
  <c r="AR308" i="2" s="1"/>
  <c r="L199" i="2"/>
  <c r="L265" i="2"/>
  <c r="H503" i="2"/>
  <c r="AE456" i="2"/>
  <c r="J456" i="2"/>
  <c r="Y306" i="2"/>
  <c r="AO352" i="2"/>
  <c r="AP305" i="2"/>
  <c r="AR305" i="2" s="1"/>
  <c r="Y297" i="2"/>
  <c r="AF320" i="2"/>
  <c r="AG320" i="2" s="1"/>
  <c r="AH320" i="2" s="1"/>
  <c r="X154" i="2"/>
  <c r="J340" i="2"/>
  <c r="AE340" i="2"/>
  <c r="H387" i="2"/>
  <c r="AO362" i="2"/>
  <c r="AP315" i="2"/>
  <c r="AR315" i="2" s="1"/>
  <c r="L254" i="2"/>
  <c r="K301" i="2" s="1"/>
  <c r="J412" i="2"/>
  <c r="AE412" i="2"/>
  <c r="H459" i="2"/>
  <c r="J338" i="2"/>
  <c r="AE338" i="2"/>
  <c r="H385" i="2"/>
  <c r="AO367" i="2"/>
  <c r="AP320" i="2"/>
  <c r="AR320" i="2" s="1"/>
  <c r="W153" i="2"/>
  <c r="V153" i="2"/>
  <c r="U153" i="2"/>
  <c r="T153" i="2"/>
  <c r="K377" i="2"/>
  <c r="L377" i="2" s="1"/>
  <c r="AO354" i="2"/>
  <c r="AP307" i="2"/>
  <c r="AR307" i="2" s="1"/>
  <c r="L222" i="2"/>
  <c r="K269" i="2" s="1"/>
  <c r="J363" i="2"/>
  <c r="AE363" i="2"/>
  <c r="H410" i="2"/>
  <c r="AP333" i="2"/>
  <c r="AR333" i="2" s="1"/>
  <c r="AO380" i="2"/>
  <c r="Y298" i="2"/>
  <c r="H429" i="2"/>
  <c r="J382" i="2"/>
  <c r="AE382" i="2"/>
  <c r="X170" i="2"/>
  <c r="Y296" i="2"/>
  <c r="AC230" i="2"/>
  <c r="AD230" i="2" s="1"/>
  <c r="AO432" i="2"/>
  <c r="AP385" i="2"/>
  <c r="AR385" i="2" s="1"/>
  <c r="J336" i="2"/>
  <c r="H383" i="2"/>
  <c r="AE336" i="2"/>
  <c r="AG224" i="2"/>
  <c r="AH224" i="2" s="1"/>
  <c r="AG192" i="2"/>
  <c r="AH192" i="2" s="1"/>
  <c r="AO359" i="2"/>
  <c r="AP312" i="2"/>
  <c r="AR312" i="2" s="1"/>
  <c r="AF307" i="2"/>
  <c r="AK258" i="2"/>
  <c r="AL258" i="2" s="1"/>
  <c r="W151" i="2"/>
  <c r="V151" i="2"/>
  <c r="U151" i="2"/>
  <c r="T151" i="2"/>
  <c r="T194" i="2"/>
  <c r="W194" i="2"/>
  <c r="U194" i="2"/>
  <c r="V194" i="2"/>
  <c r="AF372" i="2"/>
  <c r="AG372" i="2" s="1"/>
  <c r="AH372" i="2" s="1"/>
  <c r="T190" i="2"/>
  <c r="W190" i="2"/>
  <c r="U190" i="2"/>
  <c r="V190" i="2"/>
  <c r="X209" i="2"/>
  <c r="AP325" i="2"/>
  <c r="AR325" i="2" s="1"/>
  <c r="AO372" i="2"/>
  <c r="Y290" i="2"/>
  <c r="AO348" i="2"/>
  <c r="AP301" i="2"/>
  <c r="AR301" i="2" s="1"/>
  <c r="AO353" i="2"/>
  <c r="AP306" i="2"/>
  <c r="AR306" i="2" s="1"/>
  <c r="AF248" i="2"/>
  <c r="T185" i="2"/>
  <c r="W185" i="2"/>
  <c r="V185" i="2"/>
  <c r="U185" i="2"/>
  <c r="AK214" i="2"/>
  <c r="AL214" i="2" s="1"/>
  <c r="AO344" i="2"/>
  <c r="AP297" i="2"/>
  <c r="AR297" i="2" s="1"/>
  <c r="AP330" i="2"/>
  <c r="AR330" i="2" s="1"/>
  <c r="AO377" i="2"/>
  <c r="AO370" i="2"/>
  <c r="AP323" i="2"/>
  <c r="AR323" i="2" s="1"/>
  <c r="L213" i="2"/>
  <c r="K260" i="2" s="1"/>
  <c r="AC203" i="2"/>
  <c r="AD203" i="2" s="1"/>
  <c r="X171" i="2"/>
  <c r="AK171" i="2"/>
  <c r="AL171" i="2" s="1"/>
  <c r="AC272" i="2"/>
  <c r="AD272" i="2" s="1"/>
  <c r="J426" i="2"/>
  <c r="AE426" i="2"/>
  <c r="H473" i="2"/>
  <c r="J376" i="2"/>
  <c r="AE376" i="2"/>
  <c r="H423" i="2"/>
  <c r="Y359" i="2"/>
  <c r="Y334" i="2"/>
  <c r="AO431" i="2"/>
  <c r="AP384" i="2"/>
  <c r="AR384" i="2" s="1"/>
  <c r="Y361" i="2"/>
  <c r="AF310" i="2"/>
  <c r="J425" i="2"/>
  <c r="AE425" i="2"/>
  <c r="H472" i="2"/>
  <c r="AF330" i="2"/>
  <c r="L229" i="2"/>
  <c r="K276" i="2" s="1"/>
  <c r="W318" i="2" l="1"/>
  <c r="U318" i="2"/>
  <c r="AF378" i="2"/>
  <c r="AG378" i="2" s="1"/>
  <c r="AH378" i="2" s="1"/>
  <c r="K365" i="2"/>
  <c r="AF345" i="2"/>
  <c r="AG345" i="2" s="1"/>
  <c r="AH345" i="2" s="1"/>
  <c r="L221" i="2"/>
  <c r="K268" i="2" s="1"/>
  <c r="X174" i="2"/>
  <c r="AJ264" i="2"/>
  <c r="AK264" i="2" s="1"/>
  <c r="AL264" i="2" s="1"/>
  <c r="T318" i="2"/>
  <c r="X271" i="2"/>
  <c r="AJ193" i="2"/>
  <c r="AJ254" i="2"/>
  <c r="AK254" i="2" s="1"/>
  <c r="AL254" i="2" s="1"/>
  <c r="AF343" i="2"/>
  <c r="AG343" i="2" s="1"/>
  <c r="AF355" i="2"/>
  <c r="AG355" i="2" s="1"/>
  <c r="AH355" i="2" s="1"/>
  <c r="AF311" i="2"/>
  <c r="AF341" i="2"/>
  <c r="AF291" i="2"/>
  <c r="AG291" i="2" s="1"/>
  <c r="AH291" i="2" s="1"/>
  <c r="AF245" i="2"/>
  <c r="AK158" i="2"/>
  <c r="AL158" i="2" s="1"/>
  <c r="AB258" i="2"/>
  <c r="AC258" i="2" s="1"/>
  <c r="AD258" i="2" s="1"/>
  <c r="AB207" i="2"/>
  <c r="AF346" i="2"/>
  <c r="AG346" i="2" s="1"/>
  <c r="AB320" i="2"/>
  <c r="AC320" i="2" s="1"/>
  <c r="AD320" i="2" s="1"/>
  <c r="AJ245" i="2"/>
  <c r="AK245" i="2" s="1"/>
  <c r="AL245" i="2" s="1"/>
  <c r="AF336" i="2"/>
  <c r="X180" i="2"/>
  <c r="X264" i="2"/>
  <c r="L227" i="2"/>
  <c r="AF239" i="2"/>
  <c r="AG239" i="2" s="1"/>
  <c r="AH239" i="2" s="1"/>
  <c r="AF281" i="2"/>
  <c r="AG281" i="2" s="1"/>
  <c r="AH281" i="2" s="1"/>
  <c r="AJ263" i="2"/>
  <c r="AK263" i="2" s="1"/>
  <c r="AL263" i="2" s="1"/>
  <c r="AJ298" i="2"/>
  <c r="AK298" i="2" s="1"/>
  <c r="AL298" i="2" s="1"/>
  <c r="AF321" i="2"/>
  <c r="AG321" i="2" s="1"/>
  <c r="AH321" i="2" s="1"/>
  <c r="AJ218" i="2"/>
  <c r="AK218" i="2" s="1"/>
  <c r="AL218" i="2" s="1"/>
  <c r="X216" i="2"/>
  <c r="X195" i="2"/>
  <c r="AB298" i="2"/>
  <c r="AJ354" i="2"/>
  <c r="AK354" i="2" s="1"/>
  <c r="AL354" i="2" s="1"/>
  <c r="AF348" i="2"/>
  <c r="AG348" i="2" s="1"/>
  <c r="AH348" i="2" s="1"/>
  <c r="X330" i="2"/>
  <c r="L233" i="2"/>
  <c r="K280" i="2" s="1"/>
  <c r="L285" i="2"/>
  <c r="K332" i="2" s="1"/>
  <c r="AB316" i="2"/>
  <c r="AC316" i="2" s="1"/>
  <c r="AD316" i="2" s="1"/>
  <c r="AJ241" i="2"/>
  <c r="AK241" i="2" s="1"/>
  <c r="AL241" i="2" s="1"/>
  <c r="AB312" i="2"/>
  <c r="AC312" i="2" s="1"/>
  <c r="AD312" i="2" s="1"/>
  <c r="U238" i="2"/>
  <c r="T238" i="2"/>
  <c r="W238" i="2"/>
  <c r="V238" i="2"/>
  <c r="AB263" i="2"/>
  <c r="AC263" i="2" s="1"/>
  <c r="AD263" i="2" s="1"/>
  <c r="X151" i="2"/>
  <c r="AJ333" i="2"/>
  <c r="AK333" i="2" s="1"/>
  <c r="AL333" i="2" s="1"/>
  <c r="AB243" i="2"/>
  <c r="AC243" i="2" s="1"/>
  <c r="AD243" i="2" s="1"/>
  <c r="AF317" i="2"/>
  <c r="AG317" i="2" s="1"/>
  <c r="AH317" i="2" s="1"/>
  <c r="X191" i="2"/>
  <c r="V186" i="2"/>
  <c r="U186" i="2"/>
  <c r="T186" i="2"/>
  <c r="W186" i="2"/>
  <c r="AJ261" i="2"/>
  <c r="AK261" i="2" s="1"/>
  <c r="AL261" i="2" s="1"/>
  <c r="X185" i="2"/>
  <c r="AB260" i="2"/>
  <c r="AC260" i="2" s="1"/>
  <c r="AD260" i="2" s="1"/>
  <c r="AF324" i="2"/>
  <c r="AG324" i="2" s="1"/>
  <c r="AH324" i="2" s="1"/>
  <c r="X220" i="2"/>
  <c r="AJ388" i="2"/>
  <c r="AK388" i="2" s="1"/>
  <c r="AL388" i="2" s="1"/>
  <c r="AJ328" i="2"/>
  <c r="AK328" i="2" s="1"/>
  <c r="AL328" i="2" s="1"/>
  <c r="X188" i="2"/>
  <c r="X219" i="2"/>
  <c r="AJ249" i="2"/>
  <c r="AK249" i="2" s="1"/>
  <c r="AL249" i="2" s="1"/>
  <c r="X175" i="2"/>
  <c r="AF399" i="2"/>
  <c r="AG399" i="2" s="1"/>
  <c r="X252" i="2"/>
  <c r="L270" i="2"/>
  <c r="L301" i="2"/>
  <c r="K348" i="2" s="1"/>
  <c r="J383" i="2"/>
  <c r="AE383" i="2"/>
  <c r="H430" i="2"/>
  <c r="U265" i="2"/>
  <c r="T265" i="2"/>
  <c r="W265" i="2"/>
  <c r="V265" i="2"/>
  <c r="AE389" i="2"/>
  <c r="J389" i="2"/>
  <c r="H436" i="2"/>
  <c r="Y358" i="2"/>
  <c r="U259" i="2"/>
  <c r="T259" i="2"/>
  <c r="W259" i="2"/>
  <c r="V259" i="2"/>
  <c r="Y396" i="2"/>
  <c r="U377" i="2"/>
  <c r="T377" i="2"/>
  <c r="W377" i="2"/>
  <c r="V377" i="2"/>
  <c r="AC255" i="2"/>
  <c r="AD255" i="2" s="1"/>
  <c r="U263" i="2"/>
  <c r="T263" i="2"/>
  <c r="W263" i="2"/>
  <c r="V263" i="2"/>
  <c r="AO392" i="2"/>
  <c r="AP345" i="2"/>
  <c r="AR345" i="2" s="1"/>
  <c r="AC199" i="2"/>
  <c r="AD199" i="2" s="1"/>
  <c r="J401" i="2"/>
  <c r="AE401" i="2"/>
  <c r="H448" i="2"/>
  <c r="AE465" i="2"/>
  <c r="H512" i="2"/>
  <c r="J465" i="2"/>
  <c r="L276" i="2"/>
  <c r="K323" i="2" s="1"/>
  <c r="AJ293" i="2"/>
  <c r="Y336" i="2"/>
  <c r="AO398" i="2"/>
  <c r="AP351" i="2"/>
  <c r="AR351" i="2" s="1"/>
  <c r="Y339" i="2"/>
  <c r="U249" i="2"/>
  <c r="W249" i="2"/>
  <c r="V249" i="2"/>
  <c r="T249" i="2"/>
  <c r="AG267" i="2"/>
  <c r="AH267" i="2" s="1"/>
  <c r="X146" i="2"/>
  <c r="AC215" i="2"/>
  <c r="AD215" i="2" s="1"/>
  <c r="Y395" i="2"/>
  <c r="AJ280" i="2"/>
  <c r="AE388" i="2"/>
  <c r="J388" i="2"/>
  <c r="H435" i="2"/>
  <c r="H516" i="2"/>
  <c r="AE469" i="2"/>
  <c r="J469" i="2"/>
  <c r="U322" i="2"/>
  <c r="V322" i="2"/>
  <c r="T322" i="2"/>
  <c r="W322" i="2"/>
  <c r="AC232" i="2"/>
  <c r="AD232" i="2" s="1"/>
  <c r="Y367" i="2"/>
  <c r="T203" i="2"/>
  <c r="W203" i="2"/>
  <c r="V203" i="2"/>
  <c r="U203" i="2"/>
  <c r="AO423" i="2"/>
  <c r="AP376" i="2"/>
  <c r="AR376" i="2" s="1"/>
  <c r="Y397" i="2"/>
  <c r="U258" i="2"/>
  <c r="T258" i="2"/>
  <c r="W258" i="2"/>
  <c r="V258" i="2"/>
  <c r="AB247" i="2"/>
  <c r="AJ259" i="2"/>
  <c r="AJ360" i="2"/>
  <c r="Y398" i="2"/>
  <c r="H515" i="2"/>
  <c r="AE468" i="2"/>
  <c r="J468" i="2"/>
  <c r="J393" i="2"/>
  <c r="AE393" i="2"/>
  <c r="H440" i="2"/>
  <c r="AF315" i="2"/>
  <c r="H518" i="2"/>
  <c r="AE471" i="2"/>
  <c r="J471" i="2"/>
  <c r="AJ317" i="2"/>
  <c r="AO405" i="2"/>
  <c r="AP358" i="2"/>
  <c r="AR358" i="2" s="1"/>
  <c r="AB315" i="2"/>
  <c r="AJ309" i="2"/>
  <c r="AE464" i="2"/>
  <c r="H511" i="2"/>
  <c r="J464" i="2"/>
  <c r="H502" i="2"/>
  <c r="AE455" i="2"/>
  <c r="J455" i="2"/>
  <c r="AJ291" i="2"/>
  <c r="Y406" i="2"/>
  <c r="AC249" i="2"/>
  <c r="AD249" i="2" s="1"/>
  <c r="AC257" i="2"/>
  <c r="AD257" i="2" s="1"/>
  <c r="AC239" i="2"/>
  <c r="AD239" i="2" s="1"/>
  <c r="Y360" i="2"/>
  <c r="AG326" i="2"/>
  <c r="AH326" i="2" s="1"/>
  <c r="AB271" i="2"/>
  <c r="U325" i="2"/>
  <c r="T325" i="2"/>
  <c r="W325" i="2"/>
  <c r="V325" i="2"/>
  <c r="AJ226" i="2"/>
  <c r="T208" i="2"/>
  <c r="W208" i="2"/>
  <c r="U208" i="2"/>
  <c r="V208" i="2"/>
  <c r="AO416" i="2"/>
  <c r="AP369" i="2"/>
  <c r="AR369" i="2" s="1"/>
  <c r="AC231" i="2"/>
  <c r="AD231" i="2" s="1"/>
  <c r="AK210" i="2"/>
  <c r="AL210" i="2" s="1"/>
  <c r="K306" i="2"/>
  <c r="X207" i="2"/>
  <c r="AC261" i="2"/>
  <c r="AD261" i="2" s="1"/>
  <c r="L248" i="2"/>
  <c r="K295" i="2" s="1"/>
  <c r="X273" i="2"/>
  <c r="X281" i="2"/>
  <c r="X197" i="2"/>
  <c r="AB285" i="2"/>
  <c r="AF275" i="2"/>
  <c r="AB264" i="2"/>
  <c r="AE463" i="2"/>
  <c r="H510" i="2"/>
  <c r="J463" i="2"/>
  <c r="Y420" i="2"/>
  <c r="T198" i="2"/>
  <c r="W198" i="2"/>
  <c r="U198" i="2"/>
  <c r="V198" i="2"/>
  <c r="L284" i="2"/>
  <c r="K331" i="2" s="1"/>
  <c r="T200" i="2"/>
  <c r="W200" i="2"/>
  <c r="U200" i="2"/>
  <c r="V200" i="2"/>
  <c r="Y425" i="2"/>
  <c r="J423" i="2"/>
  <c r="AE423" i="2"/>
  <c r="H470" i="2"/>
  <c r="L260" i="2"/>
  <c r="AO395" i="2"/>
  <c r="AP348" i="2"/>
  <c r="AR348" i="2" s="1"/>
  <c r="J410" i="2"/>
  <c r="AE410" i="2"/>
  <c r="H457" i="2"/>
  <c r="AE385" i="2"/>
  <c r="J385" i="2"/>
  <c r="H432" i="2"/>
  <c r="L300" i="2"/>
  <c r="K347" i="2" s="1"/>
  <c r="J400" i="2"/>
  <c r="AE400" i="2"/>
  <c r="H447" i="2"/>
  <c r="L319" i="2"/>
  <c r="K366" i="2" s="1"/>
  <c r="L303" i="2"/>
  <c r="K350" i="2" s="1"/>
  <c r="AC209" i="2"/>
  <c r="AD209" i="2" s="1"/>
  <c r="Y415" i="2"/>
  <c r="AG235" i="2"/>
  <c r="AH235" i="2" s="1"/>
  <c r="L204" i="2"/>
  <c r="K251" i="2" s="1"/>
  <c r="H507" i="2"/>
  <c r="AE460" i="2"/>
  <c r="J460" i="2"/>
  <c r="U266" i="2"/>
  <c r="T266" i="2"/>
  <c r="W266" i="2"/>
  <c r="V266" i="2"/>
  <c r="Y355" i="2"/>
  <c r="T196" i="2"/>
  <c r="W196" i="2"/>
  <c r="U196" i="2"/>
  <c r="V196" i="2"/>
  <c r="Y399" i="2"/>
  <c r="Y345" i="2"/>
  <c r="AC270" i="2"/>
  <c r="AD270" i="2" s="1"/>
  <c r="AO386" i="2"/>
  <c r="AP339" i="2"/>
  <c r="AR339" i="2" s="1"/>
  <c r="AO404" i="2"/>
  <c r="AP357" i="2"/>
  <c r="AR357" i="2" s="1"/>
  <c r="AK277" i="2"/>
  <c r="AL277" i="2" s="1"/>
  <c r="L261" i="2"/>
  <c r="AG256" i="2"/>
  <c r="AH256" i="2" s="1"/>
  <c r="L240" i="2"/>
  <c r="T241" i="2"/>
  <c r="W241" i="2"/>
  <c r="V241" i="2"/>
  <c r="U241" i="2"/>
  <c r="L279" i="2"/>
  <c r="K326" i="2" s="1"/>
  <c r="AB250" i="2"/>
  <c r="X194" i="2"/>
  <c r="K424" i="2"/>
  <c r="L424" i="2" s="1"/>
  <c r="Y340" i="2"/>
  <c r="Y456" i="2"/>
  <c r="AO475" i="2"/>
  <c r="AP428" i="2"/>
  <c r="AR428" i="2" s="1"/>
  <c r="L282" i="2"/>
  <c r="K329" i="2" s="1"/>
  <c r="L320" i="2"/>
  <c r="K367" i="2" s="1"/>
  <c r="L367" i="2" s="1"/>
  <c r="Y381" i="2"/>
  <c r="AE466" i="2"/>
  <c r="J466" i="2"/>
  <c r="H513" i="2"/>
  <c r="H519" i="2"/>
  <c r="AE472" i="2"/>
  <c r="J472" i="2"/>
  <c r="AJ325" i="2"/>
  <c r="Y376" i="2"/>
  <c r="Y426" i="2"/>
  <c r="AB319" i="2"/>
  <c r="T213" i="2"/>
  <c r="W213" i="2"/>
  <c r="V213" i="2"/>
  <c r="U213" i="2"/>
  <c r="AO417" i="2"/>
  <c r="AP370" i="2"/>
  <c r="AR370" i="2" s="1"/>
  <c r="AO391" i="2"/>
  <c r="AP344" i="2"/>
  <c r="AR344" i="2" s="1"/>
  <c r="AO400" i="2"/>
  <c r="AP353" i="2"/>
  <c r="AR353" i="2" s="1"/>
  <c r="AJ297" i="2"/>
  <c r="X190" i="2"/>
  <c r="AO406" i="2"/>
  <c r="AP359" i="2"/>
  <c r="AR359" i="2" s="1"/>
  <c r="AF271" i="2"/>
  <c r="Y382" i="2"/>
  <c r="AO427" i="2"/>
  <c r="AP380" i="2"/>
  <c r="AR380" i="2" s="1"/>
  <c r="Y363" i="2"/>
  <c r="AB328" i="2"/>
  <c r="X153" i="2"/>
  <c r="Y338" i="2"/>
  <c r="Y412" i="2"/>
  <c r="AO409" i="2"/>
  <c r="AP362" i="2"/>
  <c r="AR362" i="2" s="1"/>
  <c r="K312" i="2"/>
  <c r="U253" i="2"/>
  <c r="W253" i="2"/>
  <c r="V253" i="2"/>
  <c r="T253" i="2"/>
  <c r="Y353" i="2"/>
  <c r="Y394" i="2"/>
  <c r="U272" i="2"/>
  <c r="T272" i="2"/>
  <c r="W272" i="2"/>
  <c r="V272" i="2"/>
  <c r="AO473" i="2"/>
  <c r="AP426" i="2"/>
  <c r="AR426" i="2" s="1"/>
  <c r="Y342" i="2"/>
  <c r="AJ271" i="2"/>
  <c r="X149" i="2"/>
  <c r="AE462" i="2"/>
  <c r="H509" i="2"/>
  <c r="J462" i="2"/>
  <c r="AK255" i="2"/>
  <c r="AL255" i="2" s="1"/>
  <c r="AK206" i="2"/>
  <c r="AL206" i="2" s="1"/>
  <c r="AK267" i="2"/>
  <c r="AL267" i="2" s="1"/>
  <c r="AB289" i="2"/>
  <c r="AG276" i="2"/>
  <c r="AH276" i="2" s="1"/>
  <c r="J405" i="2"/>
  <c r="AE405" i="2"/>
  <c r="H452" i="2"/>
  <c r="AE443" i="2"/>
  <c r="J443" i="2"/>
  <c r="H490" i="2"/>
  <c r="AO394" i="2"/>
  <c r="AP347" i="2"/>
  <c r="AR347" i="2" s="1"/>
  <c r="AF353" i="2"/>
  <c r="AG353" i="2" s="1"/>
  <c r="AH353" i="2" s="1"/>
  <c r="Y343" i="2"/>
  <c r="AO418" i="2"/>
  <c r="AP371" i="2"/>
  <c r="AR371" i="2" s="1"/>
  <c r="AB323" i="2"/>
  <c r="K296" i="2"/>
  <c r="Y413" i="2"/>
  <c r="AP341" i="2"/>
  <c r="AR341" i="2" s="1"/>
  <c r="AO388" i="2"/>
  <c r="J402" i="2"/>
  <c r="AE402" i="2"/>
  <c r="H449" i="2"/>
  <c r="AO411" i="2"/>
  <c r="AP364" i="2"/>
  <c r="AR364" i="2" s="1"/>
  <c r="X256" i="2"/>
  <c r="AO408" i="2"/>
  <c r="AP361" i="2"/>
  <c r="AR361" i="2" s="1"/>
  <c r="U267" i="2"/>
  <c r="T267" i="2"/>
  <c r="W267" i="2"/>
  <c r="V267" i="2"/>
  <c r="K243" i="2"/>
  <c r="AP430" i="2"/>
  <c r="AR430" i="2" s="1"/>
  <c r="AO477" i="2"/>
  <c r="AE446" i="2"/>
  <c r="J446" i="2"/>
  <c r="H493" i="2"/>
  <c r="K310" i="2"/>
  <c r="AJ275" i="2"/>
  <c r="J392" i="2"/>
  <c r="AE392" i="2"/>
  <c r="H439" i="2"/>
  <c r="K313" i="2"/>
  <c r="Y344" i="2"/>
  <c r="Y380" i="2"/>
  <c r="AC197" i="2"/>
  <c r="AD197" i="2" s="1"/>
  <c r="J403" i="2"/>
  <c r="AE403" i="2"/>
  <c r="H450" i="2"/>
  <c r="AF426" i="2"/>
  <c r="AG426" i="2" s="1"/>
  <c r="AH426" i="2" s="1"/>
  <c r="AB283" i="2"/>
  <c r="L244" i="2"/>
  <c r="K291" i="2" s="1"/>
  <c r="AO410" i="2"/>
  <c r="AP363" i="2"/>
  <c r="AR363" i="2" s="1"/>
  <c r="AK282" i="2"/>
  <c r="AL282" i="2" s="1"/>
  <c r="AB253" i="2"/>
  <c r="AK209" i="2"/>
  <c r="AL209" i="2" s="1"/>
  <c r="J411" i="2"/>
  <c r="AE411" i="2"/>
  <c r="H458" i="2"/>
  <c r="T210" i="2"/>
  <c r="W210" i="2"/>
  <c r="U210" i="2"/>
  <c r="V210" i="2"/>
  <c r="T214" i="2"/>
  <c r="W214" i="2"/>
  <c r="V214" i="2"/>
  <c r="U214" i="2"/>
  <c r="AO396" i="2"/>
  <c r="AP349" i="2"/>
  <c r="AR349" i="2" s="1"/>
  <c r="AF421" i="2"/>
  <c r="T242" i="2"/>
  <c r="W242" i="2"/>
  <c r="V242" i="2"/>
  <c r="U242" i="2"/>
  <c r="X218" i="2"/>
  <c r="AC228" i="2"/>
  <c r="AD228" i="2" s="1"/>
  <c r="X206" i="2"/>
  <c r="Y354" i="2"/>
  <c r="AO421" i="2"/>
  <c r="AP374" i="2"/>
  <c r="AR374" i="2" s="1"/>
  <c r="Y418" i="2"/>
  <c r="K289" i="2"/>
  <c r="T193" i="2"/>
  <c r="W193" i="2"/>
  <c r="V193" i="2"/>
  <c r="U193" i="2"/>
  <c r="AJ238" i="2"/>
  <c r="AJ232" i="2"/>
  <c r="X157" i="2"/>
  <c r="AF351" i="2"/>
  <c r="AF347" i="2"/>
  <c r="AJ366" i="2"/>
  <c r="K288" i="2"/>
  <c r="T232" i="2"/>
  <c r="W232" i="2"/>
  <c r="V232" i="2"/>
  <c r="U232" i="2"/>
  <c r="H520" i="2"/>
  <c r="AE473" i="2"/>
  <c r="J473" i="2"/>
  <c r="AE459" i="2"/>
  <c r="H506" i="2"/>
  <c r="J459" i="2"/>
  <c r="U254" i="2"/>
  <c r="T254" i="2"/>
  <c r="W254" i="2"/>
  <c r="V254" i="2"/>
  <c r="AE441" i="2"/>
  <c r="J441" i="2"/>
  <c r="H488" i="2"/>
  <c r="AO413" i="2"/>
  <c r="AP366" i="2"/>
  <c r="AR366" i="2" s="1"/>
  <c r="L328" i="2"/>
  <c r="K375" i="2" s="1"/>
  <c r="L215" i="2"/>
  <c r="K262" i="2" s="1"/>
  <c r="AE390" i="2"/>
  <c r="J390" i="2"/>
  <c r="H437" i="2"/>
  <c r="AO476" i="2"/>
  <c r="AP429" i="2"/>
  <c r="AR429" i="2" s="1"/>
  <c r="L314" i="2"/>
  <c r="K361" i="2" s="1"/>
  <c r="Y337" i="2"/>
  <c r="AE391" i="2"/>
  <c r="J391" i="2"/>
  <c r="H438" i="2"/>
  <c r="AF337" i="2"/>
  <c r="AG337" i="2" s="1"/>
  <c r="AH337" i="2" s="1"/>
  <c r="Y356" i="2"/>
  <c r="Y364" i="2"/>
  <c r="L257" i="2"/>
  <c r="AP342" i="2"/>
  <c r="AR342" i="2" s="1"/>
  <c r="AO389" i="2"/>
  <c r="AK283" i="2"/>
  <c r="AL283" i="2" s="1"/>
  <c r="T223" i="2"/>
  <c r="W223" i="2"/>
  <c r="V223" i="2"/>
  <c r="U223" i="2"/>
  <c r="AO422" i="2"/>
  <c r="AP375" i="2"/>
  <c r="AR375" i="2" s="1"/>
  <c r="AJ315" i="2"/>
  <c r="AG248" i="2"/>
  <c r="AH248" i="2" s="1"/>
  <c r="L269" i="2"/>
  <c r="AB299" i="2"/>
  <c r="AF288" i="2"/>
  <c r="T199" i="2"/>
  <c r="W199" i="2"/>
  <c r="V199" i="2"/>
  <c r="U199" i="2"/>
  <c r="AO402" i="2"/>
  <c r="AP355" i="2"/>
  <c r="AR355" i="2" s="1"/>
  <c r="AF269" i="2"/>
  <c r="AJ284" i="2"/>
  <c r="AE451" i="2"/>
  <c r="J451" i="2"/>
  <c r="H498" i="2"/>
  <c r="T192" i="2"/>
  <c r="W192" i="2"/>
  <c r="U192" i="2"/>
  <c r="V192" i="2"/>
  <c r="AG330" i="2"/>
  <c r="AH330" i="2" s="1"/>
  <c r="T229" i="2"/>
  <c r="W229" i="2"/>
  <c r="V229" i="2"/>
  <c r="U229" i="2"/>
  <c r="AF319" i="2"/>
  <c r="AG310" i="2"/>
  <c r="AH310" i="2" s="1"/>
  <c r="AO478" i="2"/>
  <c r="AP431" i="2"/>
  <c r="AR431" i="2" s="1"/>
  <c r="AB292" i="2"/>
  <c r="AO424" i="2"/>
  <c r="AP377" i="2"/>
  <c r="AR377" i="2" s="1"/>
  <c r="AO419" i="2"/>
  <c r="AP372" i="2"/>
  <c r="AR372" i="2" s="1"/>
  <c r="AF419" i="2"/>
  <c r="AG419" i="2" s="1"/>
  <c r="AH419" i="2" s="1"/>
  <c r="AJ337" i="2"/>
  <c r="AJ305" i="2"/>
  <c r="AG336" i="2"/>
  <c r="AH336" i="2" s="1"/>
  <c r="AO479" i="2"/>
  <c r="AP432" i="2"/>
  <c r="AR432" i="2" s="1"/>
  <c r="AB277" i="2"/>
  <c r="J429" i="2"/>
  <c r="AE429" i="2"/>
  <c r="H476" i="2"/>
  <c r="T222" i="2"/>
  <c r="W222" i="2"/>
  <c r="V222" i="2"/>
  <c r="U222" i="2"/>
  <c r="AO401" i="2"/>
  <c r="AP354" i="2"/>
  <c r="AR354" i="2" s="1"/>
  <c r="AO414" i="2"/>
  <c r="AP367" i="2"/>
  <c r="AR367" i="2" s="1"/>
  <c r="AE387" i="2"/>
  <c r="J387" i="2"/>
  <c r="H434" i="2"/>
  <c r="AF367" i="2"/>
  <c r="AO399" i="2"/>
  <c r="AP352" i="2"/>
  <c r="AR352" i="2" s="1"/>
  <c r="H550" i="2"/>
  <c r="J503" i="2"/>
  <c r="AE503" i="2"/>
  <c r="AB329" i="2"/>
  <c r="K246" i="2"/>
  <c r="AG307" i="2"/>
  <c r="AH307" i="2" s="1"/>
  <c r="AF287" i="2"/>
  <c r="AB240" i="2"/>
  <c r="AO415" i="2"/>
  <c r="AP368" i="2"/>
  <c r="AR368" i="2" s="1"/>
  <c r="Y404" i="2"/>
  <c r="AB327" i="2"/>
  <c r="T235" i="2"/>
  <c r="W235" i="2"/>
  <c r="V235" i="2"/>
  <c r="U235" i="2"/>
  <c r="K239" i="2"/>
  <c r="AB284" i="2"/>
  <c r="X156" i="2"/>
  <c r="AE428" i="2"/>
  <c r="J428" i="2"/>
  <c r="H475" i="2"/>
  <c r="L230" i="2"/>
  <c r="AC194" i="2"/>
  <c r="AD194" i="2" s="1"/>
  <c r="Y419" i="2"/>
  <c r="AE386" i="2"/>
  <c r="J386" i="2"/>
  <c r="H433" i="2"/>
  <c r="AO425" i="2"/>
  <c r="AP378" i="2"/>
  <c r="AR378" i="2" s="1"/>
  <c r="AE442" i="2"/>
  <c r="J442" i="2"/>
  <c r="H489" i="2"/>
  <c r="AO407" i="2"/>
  <c r="AP360" i="2"/>
  <c r="AR360" i="2" s="1"/>
  <c r="AO397" i="2"/>
  <c r="AP350" i="2"/>
  <c r="AR350" i="2" s="1"/>
  <c r="Y341" i="2"/>
  <c r="AF344" i="2"/>
  <c r="AC259" i="2"/>
  <c r="AD259" i="2" s="1"/>
  <c r="Y422" i="2"/>
  <c r="AG293" i="2"/>
  <c r="AH293" i="2" s="1"/>
  <c r="AB295" i="2"/>
  <c r="J414" i="2"/>
  <c r="AE414" i="2"/>
  <c r="H461" i="2"/>
  <c r="K250" i="2"/>
  <c r="AE444" i="2"/>
  <c r="J444" i="2"/>
  <c r="H491" i="2"/>
  <c r="K305" i="2"/>
  <c r="AJ242" i="2"/>
  <c r="AJ269" i="2"/>
  <c r="H431" i="2"/>
  <c r="J384" i="2"/>
  <c r="AE384" i="2"/>
  <c r="AE445" i="2"/>
  <c r="J445" i="2"/>
  <c r="H492" i="2"/>
  <c r="Y421" i="2"/>
  <c r="AO420" i="2"/>
  <c r="AP373" i="2"/>
  <c r="AR373" i="2" s="1"/>
  <c r="Y346" i="2"/>
  <c r="Y424" i="2"/>
  <c r="AJ321" i="2"/>
  <c r="AB313" i="2"/>
  <c r="AF360" i="2"/>
  <c r="J427" i="2"/>
  <c r="AE427" i="2"/>
  <c r="H474" i="2"/>
  <c r="Y417" i="2"/>
  <c r="X182" i="2"/>
  <c r="AC274" i="2"/>
  <c r="AD274" i="2" s="1"/>
  <c r="Y408" i="2"/>
  <c r="H500" i="2"/>
  <c r="AE453" i="2"/>
  <c r="J453" i="2"/>
  <c r="AJ248" i="2"/>
  <c r="AO393" i="2"/>
  <c r="AP346" i="2"/>
  <c r="AR346" i="2" s="1"/>
  <c r="L311" i="2"/>
  <c r="K358" i="2" s="1"/>
  <c r="J407" i="2"/>
  <c r="AE407" i="2"/>
  <c r="H454" i="2"/>
  <c r="AO390" i="2"/>
  <c r="AP343" i="2"/>
  <c r="AR343" i="2" s="1"/>
  <c r="AF302" i="2"/>
  <c r="AO412" i="2"/>
  <c r="AP365" i="2"/>
  <c r="AR365" i="2" s="1"/>
  <c r="L299" i="2"/>
  <c r="K346" i="2" s="1"/>
  <c r="K255" i="2"/>
  <c r="AF338" i="2"/>
  <c r="AF309" i="2"/>
  <c r="AF312" i="2"/>
  <c r="AO403" i="2"/>
  <c r="AP356" i="2"/>
  <c r="AR356" i="2" s="1"/>
  <c r="T201" i="2"/>
  <c r="W201" i="2"/>
  <c r="V201" i="2"/>
  <c r="U201" i="2"/>
  <c r="X152" i="2"/>
  <c r="AK276" i="2"/>
  <c r="AL276" i="2" s="1"/>
  <c r="AB267" i="2"/>
  <c r="X183" i="2"/>
  <c r="K369" i="2"/>
  <c r="AP434" i="2"/>
  <c r="AR434" i="2" s="1"/>
  <c r="AO481" i="2"/>
  <c r="L372" i="2"/>
  <c r="K419" i="2" s="1"/>
  <c r="X168" i="2"/>
  <c r="Y416" i="2"/>
  <c r="AE467" i="2"/>
  <c r="H514" i="2"/>
  <c r="J467" i="2"/>
  <c r="K245" i="2"/>
  <c r="T237" i="2"/>
  <c r="W237" i="2"/>
  <c r="V237" i="2"/>
  <c r="U237" i="2"/>
  <c r="K247" i="2"/>
  <c r="AF425" i="2" l="1"/>
  <c r="AG425" i="2" s="1"/>
  <c r="AH425" i="2" s="1"/>
  <c r="AJ311" i="2"/>
  <c r="X318" i="2"/>
  <c r="L365" i="2"/>
  <c r="T365" i="2" s="1"/>
  <c r="L268" i="2"/>
  <c r="U221" i="2"/>
  <c r="T221" i="2"/>
  <c r="W221" i="2"/>
  <c r="V221" i="2"/>
  <c r="AH343" i="2"/>
  <c r="AF390" i="2"/>
  <c r="AG390" i="2" s="1"/>
  <c r="AH390" i="2" s="1"/>
  <c r="AJ301" i="2"/>
  <c r="AK301" i="2" s="1"/>
  <c r="AL301" i="2" s="1"/>
  <c r="AK193" i="2"/>
  <c r="AL193" i="2" s="1"/>
  <c r="AG341" i="2"/>
  <c r="AH341" i="2" s="1"/>
  <c r="AG311" i="2"/>
  <c r="AH311" i="2" s="1"/>
  <c r="AJ205" i="2"/>
  <c r="AG245" i="2"/>
  <c r="AH245" i="2" s="1"/>
  <c r="AJ380" i="2"/>
  <c r="AK380" i="2" s="1"/>
  <c r="AL380" i="2" s="1"/>
  <c r="AJ308" i="2"/>
  <c r="AK308" i="2" s="1"/>
  <c r="AL308" i="2" s="1"/>
  <c r="AF395" i="2"/>
  <c r="AG395" i="2" s="1"/>
  <c r="AH395" i="2" s="1"/>
  <c r="AC207" i="2"/>
  <c r="AD207" i="2" s="1"/>
  <c r="AH346" i="2"/>
  <c r="AF393" i="2"/>
  <c r="AG393" i="2" s="1"/>
  <c r="AH393" i="2" s="1"/>
  <c r="AF286" i="2"/>
  <c r="AG286" i="2" s="1"/>
  <c r="AH286" i="2" s="1"/>
  <c r="AJ257" i="2"/>
  <c r="AK257" i="2" s="1"/>
  <c r="AL257" i="2" s="1"/>
  <c r="AC298" i="2"/>
  <c r="AD298" i="2" s="1"/>
  <c r="X238" i="2"/>
  <c r="AJ401" i="2"/>
  <c r="AK401" i="2" s="1"/>
  <c r="AL401" i="2" s="1"/>
  <c r="AF303" i="2"/>
  <c r="AG303" i="2" s="1"/>
  <c r="AH303" i="2" s="1"/>
  <c r="AF357" i="2"/>
  <c r="AG357" i="2" s="1"/>
  <c r="AH357" i="2" s="1"/>
  <c r="AJ253" i="2"/>
  <c r="AK253" i="2" s="1"/>
  <c r="AL253" i="2" s="1"/>
  <c r="AB305" i="2"/>
  <c r="AC305" i="2" s="1"/>
  <c r="AD305" i="2" s="1"/>
  <c r="V227" i="2"/>
  <c r="U227" i="2"/>
  <c r="T227" i="2"/>
  <c r="W227" i="2"/>
  <c r="AF377" i="2"/>
  <c r="AG377" i="2" s="1"/>
  <c r="AH377" i="2" s="1"/>
  <c r="X254" i="2"/>
  <c r="X253" i="2"/>
  <c r="K274" i="2"/>
  <c r="AH399" i="2"/>
  <c r="AF446" i="2"/>
  <c r="AG446" i="2" s="1"/>
  <c r="AH446" i="2" s="1"/>
  <c r="L280" i="2"/>
  <c r="L332" i="2"/>
  <c r="K379" i="2" s="1"/>
  <c r="AB359" i="2"/>
  <c r="AC359" i="2" s="1"/>
  <c r="AD359" i="2" s="1"/>
  <c r="AF328" i="2"/>
  <c r="AG328" i="2" s="1"/>
  <c r="AH328" i="2" s="1"/>
  <c r="X232" i="2"/>
  <c r="AJ256" i="2"/>
  <c r="AK256" i="2" s="1"/>
  <c r="AL256" i="2" s="1"/>
  <c r="X241" i="2"/>
  <c r="AB308" i="2"/>
  <c r="AC308" i="2" s="1"/>
  <c r="AD308" i="2" s="1"/>
  <c r="AB278" i="2"/>
  <c r="AC278" i="2" s="1"/>
  <c r="AD278" i="2" s="1"/>
  <c r="AB296" i="2"/>
  <c r="AC296" i="2" s="1"/>
  <c r="AD296" i="2" s="1"/>
  <c r="AF314" i="2"/>
  <c r="AG314" i="2" s="1"/>
  <c r="AH314" i="2" s="1"/>
  <c r="AB246" i="2"/>
  <c r="T285" i="2"/>
  <c r="W285" i="2"/>
  <c r="V285" i="2"/>
  <c r="U285" i="2"/>
  <c r="AB241" i="2"/>
  <c r="AF354" i="2"/>
  <c r="AG354" i="2" s="1"/>
  <c r="AH354" i="2" s="1"/>
  <c r="X186" i="2"/>
  <c r="AF295" i="2"/>
  <c r="AG295" i="2" s="1"/>
  <c r="AH295" i="2" s="1"/>
  <c r="X193" i="2"/>
  <c r="X267" i="2"/>
  <c r="AB279" i="2"/>
  <c r="AC279" i="2" s="1"/>
  <c r="AD279" i="2" s="1"/>
  <c r="W233" i="2"/>
  <c r="V233" i="2"/>
  <c r="U233" i="2"/>
  <c r="T233" i="2"/>
  <c r="L419" i="2"/>
  <c r="L346" i="2"/>
  <c r="K393" i="2" s="1"/>
  <c r="L361" i="2"/>
  <c r="K408" i="2" s="1"/>
  <c r="L350" i="2"/>
  <c r="K397" i="2" s="1"/>
  <c r="AO450" i="2"/>
  <c r="AP403" i="2"/>
  <c r="AR403" i="2" s="1"/>
  <c r="J431" i="2"/>
  <c r="AE431" i="2"/>
  <c r="H478" i="2"/>
  <c r="AC329" i="2"/>
  <c r="AD329" i="2" s="1"/>
  <c r="Y390" i="2"/>
  <c r="L375" i="2"/>
  <c r="K422" i="2" s="1"/>
  <c r="AO460" i="2"/>
  <c r="AP413" i="2"/>
  <c r="AR413" i="2" s="1"/>
  <c r="L291" i="2"/>
  <c r="K338" i="2" s="1"/>
  <c r="J509" i="2"/>
  <c r="AE509" i="2"/>
  <c r="H556" i="2"/>
  <c r="AK325" i="2"/>
  <c r="AL325" i="2" s="1"/>
  <c r="H504" i="2"/>
  <c r="AE457" i="2"/>
  <c r="J457" i="2"/>
  <c r="AK309" i="2"/>
  <c r="AL309" i="2" s="1"/>
  <c r="J514" i="2"/>
  <c r="AE514" i="2"/>
  <c r="H561" i="2"/>
  <c r="AJ323" i="2"/>
  <c r="AO437" i="2"/>
  <c r="AP390" i="2"/>
  <c r="AR390" i="2" s="1"/>
  <c r="AC284" i="2"/>
  <c r="AD284" i="2" s="1"/>
  <c r="AG287" i="2"/>
  <c r="AH287" i="2" s="1"/>
  <c r="X222" i="2"/>
  <c r="AO525" i="2"/>
  <c r="AP525" i="2" s="1"/>
  <c r="AR525" i="2" s="1"/>
  <c r="AP478" i="2"/>
  <c r="AR478" i="2" s="1"/>
  <c r="H535" i="2"/>
  <c r="AE488" i="2"/>
  <c r="J488" i="2"/>
  <c r="AF371" i="2"/>
  <c r="AJ265" i="2"/>
  <c r="L288" i="2"/>
  <c r="L289" i="2"/>
  <c r="K336" i="2" s="1"/>
  <c r="AO468" i="2"/>
  <c r="AP421" i="2"/>
  <c r="AR421" i="2" s="1"/>
  <c r="AC253" i="2"/>
  <c r="AD253" i="2" s="1"/>
  <c r="AO457" i="2"/>
  <c r="AP410" i="2"/>
  <c r="AR410" i="2" s="1"/>
  <c r="AC283" i="2"/>
  <c r="AD283" i="2" s="1"/>
  <c r="Y403" i="2"/>
  <c r="AB244" i="2"/>
  <c r="AE439" i="2"/>
  <c r="J439" i="2"/>
  <c r="H486" i="2"/>
  <c r="L310" i="2"/>
  <c r="L243" i="2"/>
  <c r="Y402" i="2"/>
  <c r="AO441" i="2"/>
  <c r="AP394" i="2"/>
  <c r="AR394" i="2" s="1"/>
  <c r="Y405" i="2"/>
  <c r="AC328" i="2"/>
  <c r="AD328" i="2" s="1"/>
  <c r="AO474" i="2"/>
  <c r="AP427" i="2"/>
  <c r="AR427" i="2" s="1"/>
  <c r="Y472" i="2"/>
  <c r="Y466" i="2"/>
  <c r="U320" i="2"/>
  <c r="W320" i="2"/>
  <c r="V320" i="2"/>
  <c r="T320" i="2"/>
  <c r="L329" i="2"/>
  <c r="U261" i="2"/>
  <c r="T261" i="2"/>
  <c r="W261" i="2"/>
  <c r="V261" i="2"/>
  <c r="AJ324" i="2"/>
  <c r="AP386" i="2"/>
  <c r="AR386" i="2" s="1"/>
  <c r="AO433" i="2"/>
  <c r="AJ296" i="2"/>
  <c r="J507" i="2"/>
  <c r="AE507" i="2"/>
  <c r="H554" i="2"/>
  <c r="AF340" i="2"/>
  <c r="L366" i="2"/>
  <c r="L347" i="2"/>
  <c r="AE432" i="2"/>
  <c r="J432" i="2"/>
  <c r="H479" i="2"/>
  <c r="AO442" i="2"/>
  <c r="AP395" i="2"/>
  <c r="AR395" i="2" s="1"/>
  <c r="U260" i="2"/>
  <c r="T260" i="2"/>
  <c r="W260" i="2"/>
  <c r="V260" i="2"/>
  <c r="AB363" i="2"/>
  <c r="L331" i="2"/>
  <c r="K378" i="2" s="1"/>
  <c r="X198" i="2"/>
  <c r="J510" i="2"/>
  <c r="AE510" i="2"/>
  <c r="H557" i="2"/>
  <c r="AG275" i="2"/>
  <c r="AH275" i="2" s="1"/>
  <c r="L295" i="2"/>
  <c r="L306" i="2"/>
  <c r="K353" i="2" s="1"/>
  <c r="AC315" i="2"/>
  <c r="AD315" i="2" s="1"/>
  <c r="Y471" i="2"/>
  <c r="AE440" i="2"/>
  <c r="J440" i="2"/>
  <c r="H487" i="2"/>
  <c r="AK360" i="2"/>
  <c r="AL360" i="2" s="1"/>
  <c r="AE435" i="2"/>
  <c r="J435" i="2"/>
  <c r="H482" i="2"/>
  <c r="AB262" i="2"/>
  <c r="X249" i="2"/>
  <c r="AK293" i="2"/>
  <c r="AL293" i="2" s="1"/>
  <c r="Y465" i="2"/>
  <c r="X259" i="2"/>
  <c r="AE430" i="2"/>
  <c r="J430" i="2"/>
  <c r="H477" i="2"/>
  <c r="AB310" i="2"/>
  <c r="U270" i="2"/>
  <c r="T270" i="2"/>
  <c r="W270" i="2"/>
  <c r="V270" i="2"/>
  <c r="Y407" i="2"/>
  <c r="H538" i="2"/>
  <c r="AE491" i="2"/>
  <c r="J491" i="2"/>
  <c r="Y442" i="2"/>
  <c r="Y387" i="2"/>
  <c r="AO526" i="2"/>
  <c r="AP526" i="2" s="1"/>
  <c r="AR526" i="2" s="1"/>
  <c r="AP479" i="2"/>
  <c r="AR479" i="2" s="1"/>
  <c r="H545" i="2"/>
  <c r="AE498" i="2"/>
  <c r="J498" i="2"/>
  <c r="U257" i="2"/>
  <c r="T257" i="2"/>
  <c r="W257" i="2"/>
  <c r="V257" i="2"/>
  <c r="Y391" i="2"/>
  <c r="AO523" i="2"/>
  <c r="AP523" i="2" s="1"/>
  <c r="AR523" i="2" s="1"/>
  <c r="AP476" i="2"/>
  <c r="AR476" i="2" s="1"/>
  <c r="L262" i="2"/>
  <c r="K309" i="2" s="1"/>
  <c r="AG351" i="2"/>
  <c r="AH351" i="2" s="1"/>
  <c r="AK238" i="2"/>
  <c r="AL238" i="2" s="1"/>
  <c r="AK275" i="2"/>
  <c r="AL275" i="2" s="1"/>
  <c r="L312" i="2"/>
  <c r="AK297" i="2"/>
  <c r="AL297" i="2" s="1"/>
  <c r="T240" i="2"/>
  <c r="W240" i="2"/>
  <c r="V240" i="2"/>
  <c r="U240" i="2"/>
  <c r="L251" i="2"/>
  <c r="K298" i="2" s="1"/>
  <c r="AE447" i="2"/>
  <c r="J447" i="2"/>
  <c r="H494" i="2"/>
  <c r="Y423" i="2"/>
  <c r="Y463" i="2"/>
  <c r="AC264" i="2"/>
  <c r="AD264" i="2" s="1"/>
  <c r="AC271" i="2"/>
  <c r="AD271" i="2" s="1"/>
  <c r="Y455" i="2"/>
  <c r="AK317" i="2"/>
  <c r="AL317" i="2" s="1"/>
  <c r="Y468" i="2"/>
  <c r="U367" i="2"/>
  <c r="T367" i="2"/>
  <c r="W367" i="2"/>
  <c r="V367" i="2"/>
  <c r="AE448" i="2"/>
  <c r="J448" i="2"/>
  <c r="H495" i="2"/>
  <c r="K414" i="2"/>
  <c r="L414" i="2" s="1"/>
  <c r="L369" i="2"/>
  <c r="K416" i="2" s="1"/>
  <c r="AG312" i="2"/>
  <c r="AH312" i="2" s="1"/>
  <c r="H547" i="2"/>
  <c r="J500" i="2"/>
  <c r="AE500" i="2"/>
  <c r="AO472" i="2"/>
  <c r="AP425" i="2"/>
  <c r="AR425" i="2" s="1"/>
  <c r="H522" i="2"/>
  <c r="AE475" i="2"/>
  <c r="J475" i="2"/>
  <c r="AG319" i="2"/>
  <c r="AH319" i="2" s="1"/>
  <c r="U269" i="2"/>
  <c r="T269" i="2"/>
  <c r="W269" i="2"/>
  <c r="V269" i="2"/>
  <c r="AK315" i="2"/>
  <c r="AL315" i="2" s="1"/>
  <c r="AF368" i="2"/>
  <c r="AG360" i="2"/>
  <c r="AH360" i="2" s="1"/>
  <c r="L247" i="2"/>
  <c r="K294" i="2" s="1"/>
  <c r="X237" i="2"/>
  <c r="AJ292" i="2"/>
  <c r="X201" i="2"/>
  <c r="AF472" i="2"/>
  <c r="AG472" i="2" s="1"/>
  <c r="AH472" i="2" s="1"/>
  <c r="L255" i="2"/>
  <c r="K302" i="2" s="1"/>
  <c r="AO459" i="2"/>
  <c r="AP412" i="2"/>
  <c r="AR412" i="2" s="1"/>
  <c r="H501" i="2"/>
  <c r="AE454" i="2"/>
  <c r="J454" i="2"/>
  <c r="AK248" i="2"/>
  <c r="AL248" i="2" s="1"/>
  <c r="AC313" i="2"/>
  <c r="AD313" i="2" s="1"/>
  <c r="AO467" i="2"/>
  <c r="AP420" i="2"/>
  <c r="AR420" i="2" s="1"/>
  <c r="AK242" i="2"/>
  <c r="AL242" i="2" s="1"/>
  <c r="Y414" i="2"/>
  <c r="AB306" i="2"/>
  <c r="AO454" i="2"/>
  <c r="AP407" i="2"/>
  <c r="AR407" i="2" s="1"/>
  <c r="AF402" i="2"/>
  <c r="AG402" i="2" s="1"/>
  <c r="AH402" i="2" s="1"/>
  <c r="AE433" i="2"/>
  <c r="J433" i="2"/>
  <c r="H480" i="2"/>
  <c r="Y428" i="2"/>
  <c r="L239" i="2"/>
  <c r="X235" i="2"/>
  <c r="Y503" i="2"/>
  <c r="H523" i="2"/>
  <c r="AE476" i="2"/>
  <c r="J476" i="2"/>
  <c r="AC277" i="2"/>
  <c r="AD277" i="2" s="1"/>
  <c r="AK305" i="2"/>
  <c r="AL305" i="2" s="1"/>
  <c r="AO466" i="2"/>
  <c r="AP419" i="2"/>
  <c r="AR419" i="2" s="1"/>
  <c r="AO449" i="2"/>
  <c r="AP402" i="2"/>
  <c r="AR402" i="2" s="1"/>
  <c r="X199" i="2"/>
  <c r="AO436" i="2"/>
  <c r="AP389" i="2"/>
  <c r="AR389" i="2" s="1"/>
  <c r="K304" i="2"/>
  <c r="AJ345" i="2"/>
  <c r="AF384" i="2"/>
  <c r="AJ435" i="2"/>
  <c r="T215" i="2"/>
  <c r="W215" i="2"/>
  <c r="V215" i="2"/>
  <c r="U215" i="2"/>
  <c r="U328" i="2"/>
  <c r="T328" i="2"/>
  <c r="W328" i="2"/>
  <c r="V328" i="2"/>
  <c r="AJ310" i="2"/>
  <c r="Y441" i="2"/>
  <c r="Y459" i="2"/>
  <c r="AB307" i="2"/>
  <c r="Y473" i="2"/>
  <c r="AK366" i="2"/>
  <c r="AL366" i="2" s="1"/>
  <c r="AB275" i="2"/>
  <c r="AO443" i="2"/>
  <c r="AP396" i="2"/>
  <c r="AR396" i="2" s="1"/>
  <c r="X214" i="2"/>
  <c r="X210" i="2"/>
  <c r="Y411" i="2"/>
  <c r="T244" i="2"/>
  <c r="W244" i="2"/>
  <c r="V244" i="2"/>
  <c r="U244" i="2"/>
  <c r="AF473" i="2"/>
  <c r="AG473" i="2" s="1"/>
  <c r="AH473" i="2" s="1"/>
  <c r="AG421" i="2"/>
  <c r="AH421" i="2" s="1"/>
  <c r="AO524" i="2"/>
  <c r="AP524" i="2" s="1"/>
  <c r="AR524" i="2" s="1"/>
  <c r="AP477" i="2"/>
  <c r="AR477" i="2" s="1"/>
  <c r="AO458" i="2"/>
  <c r="AP411" i="2"/>
  <c r="AR411" i="2" s="1"/>
  <c r="AO435" i="2"/>
  <c r="AP388" i="2"/>
  <c r="AR388" i="2" s="1"/>
  <c r="AO465" i="2"/>
  <c r="AP418" i="2"/>
  <c r="AR418" i="2" s="1"/>
  <c r="H537" i="2"/>
  <c r="AE490" i="2"/>
  <c r="J490" i="2"/>
  <c r="AJ314" i="2"/>
  <c r="AJ302" i="2"/>
  <c r="X272" i="2"/>
  <c r="AO453" i="2"/>
  <c r="AP406" i="2"/>
  <c r="AR406" i="2" s="1"/>
  <c r="AO447" i="2"/>
  <c r="AP400" i="2"/>
  <c r="AR400" i="2" s="1"/>
  <c r="AO464" i="2"/>
  <c r="AP417" i="2"/>
  <c r="AR417" i="2" s="1"/>
  <c r="X213" i="2"/>
  <c r="K471" i="2"/>
  <c r="L471" i="2" s="1"/>
  <c r="U279" i="2"/>
  <c r="T279" i="2"/>
  <c r="W279" i="2"/>
  <c r="V279" i="2"/>
  <c r="K287" i="2"/>
  <c r="X196" i="2"/>
  <c r="X266" i="2"/>
  <c r="AJ375" i="2"/>
  <c r="T204" i="2"/>
  <c r="W204" i="2"/>
  <c r="U204" i="2"/>
  <c r="V204" i="2"/>
  <c r="Y400" i="2"/>
  <c r="Y385" i="2"/>
  <c r="Y410" i="2"/>
  <c r="AF383" i="2"/>
  <c r="AG383" i="2" s="1"/>
  <c r="AH383" i="2" s="1"/>
  <c r="AE470" i="2"/>
  <c r="J470" i="2"/>
  <c r="H517" i="2"/>
  <c r="X200" i="2"/>
  <c r="AC285" i="2"/>
  <c r="AD285" i="2" s="1"/>
  <c r="AB367" i="2"/>
  <c r="AO463" i="2"/>
  <c r="AP416" i="2"/>
  <c r="AR416" i="2" s="1"/>
  <c r="X208" i="2"/>
  <c r="X325" i="2"/>
  <c r="AF373" i="2"/>
  <c r="AB286" i="2"/>
  <c r="AB304" i="2"/>
  <c r="H549" i="2"/>
  <c r="J502" i="2"/>
  <c r="AE502" i="2"/>
  <c r="J515" i="2"/>
  <c r="AE515" i="2"/>
  <c r="H562" i="2"/>
  <c r="AK259" i="2"/>
  <c r="AL259" i="2" s="1"/>
  <c r="X258" i="2"/>
  <c r="X322" i="2"/>
  <c r="Y469" i="2"/>
  <c r="Y388" i="2"/>
  <c r="AG338" i="2"/>
  <c r="AH338" i="2" s="1"/>
  <c r="U276" i="2"/>
  <c r="T276" i="2"/>
  <c r="W276" i="2"/>
  <c r="V276" i="2"/>
  <c r="J512" i="2"/>
  <c r="AE512" i="2"/>
  <c r="H559" i="2"/>
  <c r="Y401" i="2"/>
  <c r="AO439" i="2"/>
  <c r="AP392" i="2"/>
  <c r="AR392" i="2" s="1"/>
  <c r="X377" i="2"/>
  <c r="AE436" i="2"/>
  <c r="J436" i="2"/>
  <c r="H483" i="2"/>
  <c r="U301" i="2"/>
  <c r="T301" i="2"/>
  <c r="W301" i="2"/>
  <c r="V301" i="2"/>
  <c r="Y467" i="2"/>
  <c r="U372" i="2"/>
  <c r="T372" i="2"/>
  <c r="W372" i="2"/>
  <c r="V372" i="2"/>
  <c r="W424" i="2"/>
  <c r="V424" i="2"/>
  <c r="U424" i="2"/>
  <c r="T424" i="2"/>
  <c r="Y445" i="2"/>
  <c r="AE461" i="2"/>
  <c r="H508" i="2"/>
  <c r="J461" i="2"/>
  <c r="AC241" i="2"/>
  <c r="AD241" i="2" s="1"/>
  <c r="AC240" i="2"/>
  <c r="AD240" i="2" s="1"/>
  <c r="Y429" i="2"/>
  <c r="AF466" i="2"/>
  <c r="AG466" i="2" s="1"/>
  <c r="AH466" i="2" s="1"/>
  <c r="AG269" i="2"/>
  <c r="AH269" i="2" s="1"/>
  <c r="AC299" i="2"/>
  <c r="AD299" i="2" s="1"/>
  <c r="U314" i="2"/>
  <c r="W314" i="2"/>
  <c r="V314" i="2"/>
  <c r="T314" i="2"/>
  <c r="J520" i="2"/>
  <c r="AE520" i="2"/>
  <c r="H567" i="2"/>
  <c r="H505" i="2"/>
  <c r="AE458" i="2"/>
  <c r="J458" i="2"/>
  <c r="Y446" i="2"/>
  <c r="AC323" i="2"/>
  <c r="AD323" i="2" s="1"/>
  <c r="AC289" i="2"/>
  <c r="AD289" i="2" s="1"/>
  <c r="AG271" i="2"/>
  <c r="AH271" i="2" s="1"/>
  <c r="AO438" i="2"/>
  <c r="AP391" i="2"/>
  <c r="AR391" i="2" s="1"/>
  <c r="J513" i="2"/>
  <c r="AE513" i="2"/>
  <c r="H560" i="2"/>
  <c r="AC250" i="2"/>
  <c r="AD250" i="2" s="1"/>
  <c r="L326" i="2"/>
  <c r="K373" i="2" s="1"/>
  <c r="AF364" i="2"/>
  <c r="U303" i="2"/>
  <c r="T303" i="2"/>
  <c r="W303" i="2"/>
  <c r="V303" i="2"/>
  <c r="J511" i="2"/>
  <c r="AE511" i="2"/>
  <c r="H558" i="2"/>
  <c r="AG315" i="2"/>
  <c r="AH315" i="2" s="1"/>
  <c r="J516" i="2"/>
  <c r="AE516" i="2"/>
  <c r="H563" i="2"/>
  <c r="AK280" i="2"/>
  <c r="AL280" i="2" s="1"/>
  <c r="AO445" i="2"/>
  <c r="AP398" i="2"/>
  <c r="AR398" i="2" s="1"/>
  <c r="L323" i="2"/>
  <c r="L348" i="2"/>
  <c r="K395" i="2" s="1"/>
  <c r="U311" i="2"/>
  <c r="T311" i="2"/>
  <c r="W311" i="2"/>
  <c r="V311" i="2"/>
  <c r="AB321" i="2"/>
  <c r="H521" i="2"/>
  <c r="AE474" i="2"/>
  <c r="J474" i="2"/>
  <c r="AK269" i="2"/>
  <c r="AL269" i="2" s="1"/>
  <c r="Y444" i="2"/>
  <c r="AC295" i="2"/>
  <c r="AD295" i="2" s="1"/>
  <c r="T230" i="2"/>
  <c r="W230" i="2"/>
  <c r="V230" i="2"/>
  <c r="U230" i="2"/>
  <c r="AO446" i="2"/>
  <c r="AP399" i="2"/>
  <c r="AR399" i="2" s="1"/>
  <c r="AO448" i="2"/>
  <c r="AP401" i="2"/>
  <c r="AR401" i="2" s="1"/>
  <c r="AO471" i="2"/>
  <c r="AP424" i="2"/>
  <c r="AR424" i="2" s="1"/>
  <c r="X229" i="2"/>
  <c r="Y451" i="2"/>
  <c r="X223" i="2"/>
  <c r="AJ330" i="2"/>
  <c r="L245" i="2"/>
  <c r="AO528" i="2"/>
  <c r="AP528" i="2" s="1"/>
  <c r="AR528" i="2" s="1"/>
  <c r="AP481" i="2"/>
  <c r="AR481" i="2" s="1"/>
  <c r="AC267" i="2"/>
  <c r="AD267" i="2" s="1"/>
  <c r="AG309" i="2"/>
  <c r="AH309" i="2" s="1"/>
  <c r="U299" i="2"/>
  <c r="T299" i="2"/>
  <c r="W299" i="2"/>
  <c r="V299" i="2"/>
  <c r="AG302" i="2"/>
  <c r="AH302" i="2" s="1"/>
  <c r="AO440" i="2"/>
  <c r="AP393" i="2"/>
  <c r="AR393" i="2" s="1"/>
  <c r="Y453" i="2"/>
  <c r="Y427" i="2"/>
  <c r="AK321" i="2"/>
  <c r="AL321" i="2" s="1"/>
  <c r="H539" i="2"/>
  <c r="AE492" i="2"/>
  <c r="J492" i="2"/>
  <c r="Y384" i="2"/>
  <c r="L305" i="2"/>
  <c r="K352" i="2" s="1"/>
  <c r="L250" i="2"/>
  <c r="K297" i="2" s="1"/>
  <c r="AO444" i="2"/>
  <c r="AP397" i="2"/>
  <c r="AR397" i="2" s="1"/>
  <c r="H536" i="2"/>
  <c r="AE489" i="2"/>
  <c r="J489" i="2"/>
  <c r="Y386" i="2"/>
  <c r="K277" i="2"/>
  <c r="AC327" i="2"/>
  <c r="AD327" i="2" s="1"/>
  <c r="AO462" i="2"/>
  <c r="AP415" i="2"/>
  <c r="AR415" i="2" s="1"/>
  <c r="L246" i="2"/>
  <c r="AE550" i="2"/>
  <c r="J550" i="2"/>
  <c r="AE434" i="2"/>
  <c r="J434" i="2"/>
  <c r="H481" i="2"/>
  <c r="AO461" i="2"/>
  <c r="AP414" i="2"/>
  <c r="AR414" i="2" s="1"/>
  <c r="AK337" i="2"/>
  <c r="AL337" i="2" s="1"/>
  <c r="AK311" i="2"/>
  <c r="AL311" i="2" s="1"/>
  <c r="AC292" i="2"/>
  <c r="AD292" i="2" s="1"/>
  <c r="X192" i="2"/>
  <c r="AK284" i="2"/>
  <c r="AL284" i="2" s="1"/>
  <c r="AG288" i="2"/>
  <c r="AH288" i="2" s="1"/>
  <c r="K316" i="2"/>
  <c r="AO469" i="2"/>
  <c r="AP422" i="2"/>
  <c r="AR422" i="2" s="1"/>
  <c r="AE438" i="2"/>
  <c r="J438" i="2"/>
  <c r="H485" i="2"/>
  <c r="AE437" i="2"/>
  <c r="J437" i="2"/>
  <c r="H484" i="2"/>
  <c r="J506" i="2"/>
  <c r="AE506" i="2"/>
  <c r="H553" i="2"/>
  <c r="AG347" i="2"/>
  <c r="AH347" i="2" s="1"/>
  <c r="AK232" i="2"/>
  <c r="AL232" i="2" s="1"/>
  <c r="X242" i="2"/>
  <c r="AJ329" i="2"/>
  <c r="AE450" i="2"/>
  <c r="J450" i="2"/>
  <c r="H497" i="2"/>
  <c r="L313" i="2"/>
  <c r="K360" i="2" s="1"/>
  <c r="Y392" i="2"/>
  <c r="H540" i="2"/>
  <c r="AE493" i="2"/>
  <c r="J493" i="2"/>
  <c r="AO455" i="2"/>
  <c r="AP408" i="2"/>
  <c r="AR408" i="2" s="1"/>
  <c r="AE449" i="2"/>
  <c r="J449" i="2"/>
  <c r="H496" i="2"/>
  <c r="L296" i="2"/>
  <c r="AF400" i="2"/>
  <c r="Y443" i="2"/>
  <c r="AE452" i="2"/>
  <c r="J452" i="2"/>
  <c r="H499" i="2"/>
  <c r="AF323" i="2"/>
  <c r="Y462" i="2"/>
  <c r="AK271" i="2"/>
  <c r="AL271" i="2" s="1"/>
  <c r="AO520" i="2"/>
  <c r="AP473" i="2"/>
  <c r="AR473" i="2" s="1"/>
  <c r="K412" i="2"/>
  <c r="AP409" i="2"/>
  <c r="AR409" i="2" s="1"/>
  <c r="AO456" i="2"/>
  <c r="AC319" i="2"/>
  <c r="AD319" i="2" s="1"/>
  <c r="J519" i="2"/>
  <c r="AE519" i="2"/>
  <c r="H566" i="2"/>
  <c r="U282" i="2"/>
  <c r="T282" i="2"/>
  <c r="W282" i="2"/>
  <c r="V282" i="2"/>
  <c r="AO522" i="2"/>
  <c r="AP522" i="2" s="1"/>
  <c r="AR522" i="2" s="1"/>
  <c r="AP475" i="2"/>
  <c r="AR475" i="2" s="1"/>
  <c r="K308" i="2"/>
  <c r="AO451" i="2"/>
  <c r="AP404" i="2"/>
  <c r="AR404" i="2" s="1"/>
  <c r="AB317" i="2"/>
  <c r="AJ288" i="2"/>
  <c r="AB290" i="2"/>
  <c r="AG367" i="2"/>
  <c r="AH367" i="2" s="1"/>
  <c r="Y460" i="2"/>
  <c r="AF282" i="2"/>
  <c r="AB256" i="2"/>
  <c r="U319" i="2"/>
  <c r="W319" i="2"/>
  <c r="V319" i="2"/>
  <c r="T319" i="2"/>
  <c r="U300" i="2"/>
  <c r="T300" i="2"/>
  <c r="W300" i="2"/>
  <c r="V300" i="2"/>
  <c r="AF392" i="2"/>
  <c r="AG392" i="2" s="1"/>
  <c r="AH392" i="2" s="1"/>
  <c r="K307" i="2"/>
  <c r="U284" i="2"/>
  <c r="T284" i="2"/>
  <c r="W284" i="2"/>
  <c r="V284" i="2"/>
  <c r="U248" i="2"/>
  <c r="W248" i="2"/>
  <c r="V248" i="2"/>
  <c r="T248" i="2"/>
  <c r="AK226" i="2"/>
  <c r="AL226" i="2" s="1"/>
  <c r="AK291" i="2"/>
  <c r="AL291" i="2" s="1"/>
  <c r="Y464" i="2"/>
  <c r="AG344" i="2"/>
  <c r="AH344" i="2" s="1"/>
  <c r="AO452" i="2"/>
  <c r="AP405" i="2"/>
  <c r="AR405" i="2" s="1"/>
  <c r="J518" i="2"/>
  <c r="AE518" i="2"/>
  <c r="H565" i="2"/>
  <c r="Y393" i="2"/>
  <c r="AC247" i="2"/>
  <c r="AD247" i="2" s="1"/>
  <c r="AO470" i="2"/>
  <c r="AP423" i="2"/>
  <c r="AR423" i="2" s="1"/>
  <c r="X203" i="2"/>
  <c r="X263" i="2"/>
  <c r="AB302" i="2"/>
  <c r="L358" i="2"/>
  <c r="Y389" i="2"/>
  <c r="X265" i="2"/>
  <c r="Y383" i="2"/>
  <c r="K317" i="2"/>
  <c r="W365" i="2" l="1"/>
  <c r="U365" i="2"/>
  <c r="V365" i="2"/>
  <c r="AF440" i="2"/>
  <c r="AG440" i="2" s="1"/>
  <c r="AH440" i="2" s="1"/>
  <c r="X221" i="2"/>
  <c r="K315" i="2"/>
  <c r="V268" i="2"/>
  <c r="U268" i="2"/>
  <c r="T268" i="2"/>
  <c r="W268" i="2"/>
  <c r="AJ348" i="2"/>
  <c r="AK348" i="2" s="1"/>
  <c r="AL348" i="2" s="1"/>
  <c r="AJ240" i="2"/>
  <c r="AF437" i="2"/>
  <c r="AG437" i="2" s="1"/>
  <c r="AF292" i="2"/>
  <c r="AG292" i="2" s="1"/>
  <c r="AH292" i="2" s="1"/>
  <c r="AF358" i="2"/>
  <c r="AF388" i="2"/>
  <c r="AG388" i="2" s="1"/>
  <c r="AH388" i="2" s="1"/>
  <c r="AK205" i="2"/>
  <c r="AL205" i="2" s="1"/>
  <c r="AB366" i="2"/>
  <c r="AC366" i="2" s="1"/>
  <c r="AD366" i="2" s="1"/>
  <c r="AB254" i="2"/>
  <c r="X227" i="2"/>
  <c r="X372" i="2"/>
  <c r="AB331" i="2"/>
  <c r="AC331" i="2" s="1"/>
  <c r="AD331" i="2" s="1"/>
  <c r="AJ356" i="2"/>
  <c r="AK356" i="2" s="1"/>
  <c r="AL356" i="2" s="1"/>
  <c r="AB345" i="2"/>
  <c r="AC345" i="2" s="1"/>
  <c r="AD345" i="2" s="1"/>
  <c r="L379" i="2"/>
  <c r="K426" i="2" s="1"/>
  <c r="AF493" i="2"/>
  <c r="X270" i="2"/>
  <c r="AC246" i="2"/>
  <c r="AD246" i="2" s="1"/>
  <c r="AJ273" i="2"/>
  <c r="AK273" i="2" s="1"/>
  <c r="AL273" i="2" s="1"/>
  <c r="AG493" i="2"/>
  <c r="AH493" i="2" s="1"/>
  <c r="AJ331" i="2"/>
  <c r="AK331" i="2" s="1"/>
  <c r="AL331" i="2" s="1"/>
  <c r="AJ344" i="2"/>
  <c r="AK344" i="2" s="1"/>
  <c r="AL344" i="2" s="1"/>
  <c r="L274" i="2"/>
  <c r="AB346" i="2"/>
  <c r="AC346" i="2" s="1"/>
  <c r="AD346" i="2" s="1"/>
  <c r="AJ448" i="2"/>
  <c r="AK448" i="2" s="1"/>
  <c r="AL448" i="2" s="1"/>
  <c r="AJ362" i="2"/>
  <c r="AK362" i="2" s="1"/>
  <c r="AL362" i="2" s="1"/>
  <c r="AJ355" i="2"/>
  <c r="AK355" i="2" s="1"/>
  <c r="AL355" i="2" s="1"/>
  <c r="X285" i="2"/>
  <c r="V280" i="2"/>
  <c r="U280" i="2"/>
  <c r="T280" i="2"/>
  <c r="W280" i="2"/>
  <c r="AB352" i="2"/>
  <c r="AF391" i="2"/>
  <c r="AG391" i="2" s="1"/>
  <c r="AH391" i="2" s="1"/>
  <c r="X311" i="2"/>
  <c r="AB326" i="2"/>
  <c r="AC326" i="2" s="1"/>
  <c r="AD326" i="2" s="1"/>
  <c r="X279" i="2"/>
  <c r="X320" i="2"/>
  <c r="X233" i="2"/>
  <c r="U332" i="2"/>
  <c r="T332" i="2"/>
  <c r="W332" i="2"/>
  <c r="V332" i="2"/>
  <c r="AJ279" i="2"/>
  <c r="AK279" i="2" s="1"/>
  <c r="AL279" i="2" s="1"/>
  <c r="AJ368" i="2"/>
  <c r="X299" i="2"/>
  <c r="AB324" i="2"/>
  <c r="AC324" i="2" s="1"/>
  <c r="AD324" i="2" s="1"/>
  <c r="AF414" i="2"/>
  <c r="AG414" i="2" s="1"/>
  <c r="AH414" i="2" s="1"/>
  <c r="AJ322" i="2"/>
  <c r="AK322" i="2" s="1"/>
  <c r="AL322" i="2" s="1"/>
  <c r="AB375" i="2"/>
  <c r="AC375" i="2" s="1"/>
  <c r="AD375" i="2" s="1"/>
  <c r="X367" i="2"/>
  <c r="AF442" i="2"/>
  <c r="AG442" i="2" s="1"/>
  <c r="AH442" i="2" s="1"/>
  <c r="K327" i="2"/>
  <c r="L397" i="2"/>
  <c r="L297" i="2"/>
  <c r="K344" i="2" s="1"/>
  <c r="W414" i="2"/>
  <c r="V414" i="2"/>
  <c r="U414" i="2"/>
  <c r="T414" i="2"/>
  <c r="U358" i="2"/>
  <c r="T358" i="2"/>
  <c r="W358" i="2"/>
  <c r="V358" i="2"/>
  <c r="AO517" i="2"/>
  <c r="AP470" i="2"/>
  <c r="AR470" i="2" s="1"/>
  <c r="L307" i="2"/>
  <c r="AG282" i="2"/>
  <c r="AH282" i="2" s="1"/>
  <c r="AO498" i="2"/>
  <c r="AP451" i="2"/>
  <c r="AR451" i="2" s="1"/>
  <c r="AE566" i="2"/>
  <c r="J566" i="2"/>
  <c r="AO502" i="2"/>
  <c r="AP455" i="2"/>
  <c r="AR455" i="2" s="1"/>
  <c r="L360" i="2"/>
  <c r="AK329" i="2"/>
  <c r="AL329" i="2" s="1"/>
  <c r="Y506" i="2"/>
  <c r="U246" i="2"/>
  <c r="T246" i="2"/>
  <c r="W246" i="2"/>
  <c r="V246" i="2"/>
  <c r="L277" i="2"/>
  <c r="AO495" i="2"/>
  <c r="AP448" i="2"/>
  <c r="AR448" i="2" s="1"/>
  <c r="J521" i="2"/>
  <c r="AE521" i="2"/>
  <c r="AE563" i="2"/>
  <c r="J563" i="2"/>
  <c r="J508" i="2"/>
  <c r="AE508" i="2"/>
  <c r="H555" i="2"/>
  <c r="Y490" i="2"/>
  <c r="AO505" i="2"/>
  <c r="AP458" i="2"/>
  <c r="AR458" i="2" s="1"/>
  <c r="AO490" i="2"/>
  <c r="AP443" i="2"/>
  <c r="AR443" i="2" s="1"/>
  <c r="AK435" i="2"/>
  <c r="AL435" i="2" s="1"/>
  <c r="AK292" i="2"/>
  <c r="AL292" i="2" s="1"/>
  <c r="AO519" i="2"/>
  <c r="AP472" i="2"/>
  <c r="AR472" i="2" s="1"/>
  <c r="L309" i="2"/>
  <c r="K356" i="2" s="1"/>
  <c r="J538" i="2"/>
  <c r="AE538" i="2"/>
  <c r="V471" i="2"/>
  <c r="U471" i="2"/>
  <c r="T471" i="2"/>
  <c r="W471" i="2"/>
  <c r="L353" i="2"/>
  <c r="K400" i="2" s="1"/>
  <c r="Y439" i="2"/>
  <c r="AO504" i="2"/>
  <c r="AP457" i="2"/>
  <c r="AR457" i="2" s="1"/>
  <c r="Y493" i="2"/>
  <c r="AE485" i="2"/>
  <c r="H532" i="2"/>
  <c r="J485" i="2"/>
  <c r="AO516" i="2"/>
  <c r="AP469" i="2"/>
  <c r="AR469" i="2" s="1"/>
  <c r="AF404" i="2"/>
  <c r="AJ358" i="2"/>
  <c r="J536" i="2"/>
  <c r="AE536" i="2"/>
  <c r="L352" i="2"/>
  <c r="AF349" i="2"/>
  <c r="AB314" i="2"/>
  <c r="AC321" i="2"/>
  <c r="AD321" i="2" s="1"/>
  <c r="L395" i="2"/>
  <c r="K442" i="2" s="1"/>
  <c r="U323" i="2"/>
  <c r="V323" i="2"/>
  <c r="T323" i="2"/>
  <c r="W323" i="2"/>
  <c r="AO492" i="2"/>
  <c r="AP445" i="2"/>
  <c r="AR445" i="2" s="1"/>
  <c r="Y511" i="2"/>
  <c r="AG364" i="2"/>
  <c r="AH364" i="2" s="1"/>
  <c r="Y513" i="2"/>
  <c r="AF318" i="2"/>
  <c r="AB370" i="2"/>
  <c r="Y520" i="2"/>
  <c r="X314" i="2"/>
  <c r="AB288" i="2"/>
  <c r="K405" i="2"/>
  <c r="AE483" i="2"/>
  <c r="J483" i="2"/>
  <c r="H530" i="2"/>
  <c r="J559" i="2"/>
  <c r="AE559" i="2"/>
  <c r="Y515" i="2"/>
  <c r="Y502" i="2"/>
  <c r="AG373" i="2"/>
  <c r="AH373" i="2" s="1"/>
  <c r="AO510" i="2"/>
  <c r="AP463" i="2"/>
  <c r="AR463" i="2" s="1"/>
  <c r="AB332" i="2"/>
  <c r="Y470" i="2"/>
  <c r="X204" i="2"/>
  <c r="L287" i="2"/>
  <c r="AC275" i="2"/>
  <c r="AD275" i="2" s="1"/>
  <c r="AO483" i="2"/>
  <c r="AP436" i="2"/>
  <c r="AR436" i="2" s="1"/>
  <c r="Y476" i="2"/>
  <c r="T239" i="2"/>
  <c r="W239" i="2"/>
  <c r="V239" i="2"/>
  <c r="U239" i="2"/>
  <c r="AF449" i="2"/>
  <c r="AG449" i="2" s="1"/>
  <c r="AH449" i="2" s="1"/>
  <c r="AJ289" i="2"/>
  <c r="AJ295" i="2"/>
  <c r="L302" i="2"/>
  <c r="K349" i="2" s="1"/>
  <c r="L416" i="2"/>
  <c r="H542" i="2"/>
  <c r="AE495" i="2"/>
  <c r="J495" i="2"/>
  <c r="AF361" i="2"/>
  <c r="AJ364" i="2"/>
  <c r="AB343" i="2"/>
  <c r="AJ304" i="2"/>
  <c r="Y447" i="2"/>
  <c r="L298" i="2"/>
  <c r="K345" i="2" s="1"/>
  <c r="U312" i="2"/>
  <c r="W312" i="2"/>
  <c r="V312" i="2"/>
  <c r="T312" i="2"/>
  <c r="AJ300" i="2"/>
  <c r="AF468" i="2"/>
  <c r="AF398" i="2"/>
  <c r="Y498" i="2"/>
  <c r="AF407" i="2"/>
  <c r="AF385" i="2"/>
  <c r="AC262" i="2"/>
  <c r="AD262" i="2" s="1"/>
  <c r="H534" i="2"/>
  <c r="AE487" i="2"/>
  <c r="J487" i="2"/>
  <c r="U295" i="2"/>
  <c r="T295" i="2"/>
  <c r="W295" i="2"/>
  <c r="V295" i="2"/>
  <c r="Y510" i="2"/>
  <c r="L378" i="2"/>
  <c r="K425" i="2" s="1"/>
  <c r="X260" i="2"/>
  <c r="U347" i="2"/>
  <c r="T347" i="2"/>
  <c r="W347" i="2"/>
  <c r="V347" i="2"/>
  <c r="U366" i="2"/>
  <c r="T366" i="2"/>
  <c r="W366" i="2"/>
  <c r="V366" i="2"/>
  <c r="J554" i="2"/>
  <c r="AE554" i="2"/>
  <c r="AO480" i="2"/>
  <c r="AP433" i="2"/>
  <c r="AR433" i="2" s="1"/>
  <c r="U329" i="2"/>
  <c r="T329" i="2"/>
  <c r="W329" i="2"/>
  <c r="V329" i="2"/>
  <c r="AO521" i="2"/>
  <c r="AP521" i="2" s="1"/>
  <c r="AR521" i="2" s="1"/>
  <c r="AP474" i="2"/>
  <c r="AR474" i="2" s="1"/>
  <c r="T243" i="2"/>
  <c r="W243" i="2"/>
  <c r="V243" i="2"/>
  <c r="U243" i="2"/>
  <c r="AO515" i="2"/>
  <c r="AP468" i="2"/>
  <c r="AR468" i="2" s="1"/>
  <c r="U288" i="2"/>
  <c r="T288" i="2"/>
  <c r="W288" i="2"/>
  <c r="V288" i="2"/>
  <c r="AF401" i="2"/>
  <c r="J535" i="2"/>
  <c r="AE535" i="2"/>
  <c r="AF334" i="2"/>
  <c r="Y457" i="2"/>
  <c r="Y509" i="2"/>
  <c r="L422" i="2"/>
  <c r="AB376" i="2"/>
  <c r="L408" i="2"/>
  <c r="K455" i="2" s="1"/>
  <c r="W419" i="2"/>
  <c r="V419" i="2"/>
  <c r="U419" i="2"/>
  <c r="T419" i="2"/>
  <c r="AC352" i="2"/>
  <c r="AD352" i="2" s="1"/>
  <c r="AC290" i="2"/>
  <c r="AD290" i="2" s="1"/>
  <c r="Y452" i="2"/>
  <c r="Y434" i="2"/>
  <c r="AO509" i="2"/>
  <c r="AP462" i="2"/>
  <c r="AR462" i="2" s="1"/>
  <c r="Y492" i="2"/>
  <c r="U245" i="2"/>
  <c r="V245" i="2"/>
  <c r="T245" i="2"/>
  <c r="W245" i="2"/>
  <c r="L373" i="2"/>
  <c r="AO511" i="2"/>
  <c r="AP464" i="2"/>
  <c r="AR464" i="2" s="1"/>
  <c r="AO500" i="2"/>
  <c r="AP453" i="2"/>
  <c r="AR453" i="2" s="1"/>
  <c r="AO512" i="2"/>
  <c r="AP465" i="2"/>
  <c r="AR465" i="2" s="1"/>
  <c r="AC306" i="2"/>
  <c r="AD306" i="2" s="1"/>
  <c r="AO514" i="2"/>
  <c r="AP467" i="2"/>
  <c r="AR467" i="2" s="1"/>
  <c r="J547" i="2"/>
  <c r="AE547" i="2"/>
  <c r="K461" i="2"/>
  <c r="L461" i="2" s="1"/>
  <c r="H541" i="2"/>
  <c r="AE494" i="2"/>
  <c r="J494" i="2"/>
  <c r="AG400" i="2"/>
  <c r="AH400" i="2" s="1"/>
  <c r="AK296" i="2"/>
  <c r="AL296" i="2" s="1"/>
  <c r="U310" i="2"/>
  <c r="T310" i="2"/>
  <c r="W310" i="2"/>
  <c r="V310" i="2"/>
  <c r="L336" i="2"/>
  <c r="AK265" i="2"/>
  <c r="AL265" i="2" s="1"/>
  <c r="L338" i="2"/>
  <c r="K385" i="2" s="1"/>
  <c r="Y431" i="2"/>
  <c r="L317" i="2"/>
  <c r="K364" i="2" s="1"/>
  <c r="AC302" i="2"/>
  <c r="AD302" i="2" s="1"/>
  <c r="AO503" i="2"/>
  <c r="AP456" i="2"/>
  <c r="AR456" i="2" s="1"/>
  <c r="AO567" i="2"/>
  <c r="AP567" i="2" s="1"/>
  <c r="AR567" i="2" s="1"/>
  <c r="AP520" i="2"/>
  <c r="AR520" i="2" s="1"/>
  <c r="U296" i="2"/>
  <c r="T296" i="2"/>
  <c r="W296" i="2"/>
  <c r="V296" i="2"/>
  <c r="AB294" i="2"/>
  <c r="AJ338" i="2"/>
  <c r="AB355" i="2"/>
  <c r="AJ427" i="2"/>
  <c r="AC317" i="2"/>
  <c r="AD317" i="2" s="1"/>
  <c r="X282" i="2"/>
  <c r="Y519" i="2"/>
  <c r="AG323" i="2"/>
  <c r="AH323" i="2" s="1"/>
  <c r="U313" i="2"/>
  <c r="W313" i="2"/>
  <c r="V313" i="2"/>
  <c r="T313" i="2"/>
  <c r="Y450" i="2"/>
  <c r="AF394" i="2"/>
  <c r="AE553" i="2"/>
  <c r="J553" i="2"/>
  <c r="H531" i="2"/>
  <c r="AE484" i="2"/>
  <c r="J484" i="2"/>
  <c r="Y438" i="2"/>
  <c r="AF335" i="2"/>
  <c r="AO508" i="2"/>
  <c r="AP461" i="2"/>
  <c r="AR461" i="2" s="1"/>
  <c r="Y550" i="2"/>
  <c r="K293" i="2"/>
  <c r="AB374" i="2"/>
  <c r="J539" i="2"/>
  <c r="AE539" i="2"/>
  <c r="AP440" i="2"/>
  <c r="AR440" i="2" s="1"/>
  <c r="AO487" i="2"/>
  <c r="K292" i="2"/>
  <c r="AO518" i="2"/>
  <c r="AP471" i="2"/>
  <c r="AR471" i="2" s="1"/>
  <c r="AO493" i="2"/>
  <c r="AP446" i="2"/>
  <c r="AR446" i="2" s="1"/>
  <c r="AB342" i="2"/>
  <c r="AJ316" i="2"/>
  <c r="Y474" i="2"/>
  <c r="Y516" i="2"/>
  <c r="AF362" i="2"/>
  <c r="X303" i="2"/>
  <c r="U326" i="2"/>
  <c r="T326" i="2"/>
  <c r="W326" i="2"/>
  <c r="V326" i="2"/>
  <c r="AB297" i="2"/>
  <c r="AB336" i="2"/>
  <c r="J505" i="2"/>
  <c r="AE505" i="2"/>
  <c r="H552" i="2"/>
  <c r="AF316" i="2"/>
  <c r="X424" i="2"/>
  <c r="X301" i="2"/>
  <c r="Y436" i="2"/>
  <c r="AO486" i="2"/>
  <c r="AP439" i="2"/>
  <c r="AR439" i="2" s="1"/>
  <c r="X276" i="2"/>
  <c r="AJ306" i="2"/>
  <c r="J549" i="2"/>
  <c r="AE549" i="2"/>
  <c r="AC367" i="2"/>
  <c r="AD367" i="2" s="1"/>
  <c r="AK375" i="2"/>
  <c r="AL375" i="2" s="1"/>
  <c r="AO494" i="2"/>
  <c r="AP447" i="2"/>
  <c r="AR447" i="2" s="1"/>
  <c r="AK302" i="2"/>
  <c r="AL302" i="2" s="1"/>
  <c r="J537" i="2"/>
  <c r="AE537" i="2"/>
  <c r="AO482" i="2"/>
  <c r="AP435" i="2"/>
  <c r="AR435" i="2" s="1"/>
  <c r="AF520" i="2"/>
  <c r="X244" i="2"/>
  <c r="AC307" i="2"/>
  <c r="AD307" i="2" s="1"/>
  <c r="X328" i="2"/>
  <c r="AK345" i="2"/>
  <c r="AL345" i="2" s="1"/>
  <c r="AJ352" i="2"/>
  <c r="H527" i="2"/>
  <c r="AE480" i="2"/>
  <c r="J480" i="2"/>
  <c r="AG384" i="2"/>
  <c r="AH384" i="2" s="1"/>
  <c r="AB360" i="2"/>
  <c r="Y454" i="2"/>
  <c r="AO506" i="2"/>
  <c r="AP459" i="2"/>
  <c r="AR459" i="2" s="1"/>
  <c r="AF519" i="2"/>
  <c r="AG519" i="2" s="1"/>
  <c r="AH519" i="2" s="1"/>
  <c r="U247" i="2"/>
  <c r="W247" i="2"/>
  <c r="V247" i="2"/>
  <c r="T247" i="2"/>
  <c r="AG368" i="2"/>
  <c r="AH368" i="2" s="1"/>
  <c r="AF366" i="2"/>
  <c r="J522" i="2"/>
  <c r="AE522" i="2"/>
  <c r="AF359" i="2"/>
  <c r="Y448" i="2"/>
  <c r="U262" i="2"/>
  <c r="T262" i="2"/>
  <c r="W262" i="2"/>
  <c r="V262" i="2"/>
  <c r="Y491" i="2"/>
  <c r="AC310" i="2"/>
  <c r="AD310" i="2" s="1"/>
  <c r="H529" i="2"/>
  <c r="AE482" i="2"/>
  <c r="J482" i="2"/>
  <c r="Y440" i="2"/>
  <c r="U306" i="2"/>
  <c r="T306" i="2"/>
  <c r="W306" i="2"/>
  <c r="V306" i="2"/>
  <c r="AF322" i="2"/>
  <c r="AC363" i="2"/>
  <c r="AD363" i="2" s="1"/>
  <c r="H526" i="2"/>
  <c r="AE479" i="2"/>
  <c r="J479" i="2"/>
  <c r="X261" i="2"/>
  <c r="AO488" i="2"/>
  <c r="AP441" i="2"/>
  <c r="AR441" i="2" s="1"/>
  <c r="K357" i="2"/>
  <c r="AC244" i="2"/>
  <c r="AD244" i="2" s="1"/>
  <c r="AB330" i="2"/>
  <c r="AB300" i="2"/>
  <c r="U289" i="2"/>
  <c r="T289" i="2"/>
  <c r="W289" i="2"/>
  <c r="V289" i="2"/>
  <c r="AG371" i="2"/>
  <c r="AH371" i="2" s="1"/>
  <c r="AP437" i="2"/>
  <c r="AR437" i="2" s="1"/>
  <c r="AO484" i="2"/>
  <c r="Y514" i="2"/>
  <c r="AJ372" i="2"/>
  <c r="U291" i="2"/>
  <c r="T291" i="2"/>
  <c r="W291" i="2"/>
  <c r="V291" i="2"/>
  <c r="AO507" i="2"/>
  <c r="AP460" i="2"/>
  <c r="AR460" i="2" s="1"/>
  <c r="H525" i="2"/>
  <c r="AE478" i="2"/>
  <c r="J478" i="2"/>
  <c r="U346" i="2"/>
  <c r="T346" i="2"/>
  <c r="W346" i="2"/>
  <c r="V346" i="2"/>
  <c r="H543" i="2"/>
  <c r="AE496" i="2"/>
  <c r="J496" i="2"/>
  <c r="L316" i="2"/>
  <c r="K363" i="2" s="1"/>
  <c r="U250" i="2"/>
  <c r="W250" i="2"/>
  <c r="T250" i="2"/>
  <c r="V250" i="2"/>
  <c r="AK368" i="2"/>
  <c r="AL368" i="2" s="1"/>
  <c r="AK330" i="2"/>
  <c r="AL330" i="2" s="1"/>
  <c r="Y458" i="2"/>
  <c r="AC286" i="2"/>
  <c r="AD286" i="2" s="1"/>
  <c r="J517" i="2"/>
  <c r="AE517" i="2"/>
  <c r="H564" i="2"/>
  <c r="AO496" i="2"/>
  <c r="AP449" i="2"/>
  <c r="AR449" i="2" s="1"/>
  <c r="AO513" i="2"/>
  <c r="AP466" i="2"/>
  <c r="AR466" i="2" s="1"/>
  <c r="H548" i="2"/>
  <c r="J501" i="2"/>
  <c r="AE501" i="2"/>
  <c r="L294" i="2"/>
  <c r="K341" i="2" s="1"/>
  <c r="Y475" i="2"/>
  <c r="Y430" i="2"/>
  <c r="AP442" i="2"/>
  <c r="AR442" i="2" s="1"/>
  <c r="AO489" i="2"/>
  <c r="AG340" i="2"/>
  <c r="AH340" i="2" s="1"/>
  <c r="AE561" i="2"/>
  <c r="J561" i="2"/>
  <c r="U350" i="2"/>
  <c r="T350" i="2"/>
  <c r="W350" i="2"/>
  <c r="V350" i="2"/>
  <c r="AE565" i="2"/>
  <c r="J565" i="2"/>
  <c r="AO499" i="2"/>
  <c r="AP452" i="2"/>
  <c r="AR452" i="2" s="1"/>
  <c r="X284" i="2"/>
  <c r="AF439" i="2"/>
  <c r="AK288" i="2"/>
  <c r="AL288" i="2" s="1"/>
  <c r="L308" i="2"/>
  <c r="Y449" i="2"/>
  <c r="H544" i="2"/>
  <c r="AE497" i="2"/>
  <c r="J497" i="2"/>
  <c r="AF375" i="2"/>
  <c r="AB406" i="2"/>
  <c r="L393" i="2"/>
  <c r="Y518" i="2"/>
  <c r="X248" i="2"/>
  <c r="X300" i="2"/>
  <c r="X319" i="2"/>
  <c r="AC256" i="2"/>
  <c r="AD256" i="2" s="1"/>
  <c r="L412" i="2"/>
  <c r="K459" i="2" s="1"/>
  <c r="AJ318" i="2"/>
  <c r="H546" i="2"/>
  <c r="AE499" i="2"/>
  <c r="J499" i="2"/>
  <c r="K343" i="2"/>
  <c r="J540" i="2"/>
  <c r="AE540" i="2"/>
  <c r="Y437" i="2"/>
  <c r="AF342" i="2"/>
  <c r="AF424" i="2"/>
  <c r="AB339" i="2"/>
  <c r="AJ384" i="2"/>
  <c r="AE481" i="2"/>
  <c r="J481" i="2"/>
  <c r="H528" i="2"/>
  <c r="Y489" i="2"/>
  <c r="AO491" i="2"/>
  <c r="AP444" i="2"/>
  <c r="AR444" i="2" s="1"/>
  <c r="U305" i="2"/>
  <c r="T305" i="2"/>
  <c r="W305" i="2"/>
  <c r="V305" i="2"/>
  <c r="AF356" i="2"/>
  <c r="X230" i="2"/>
  <c r="V379" i="2"/>
  <c r="U348" i="2"/>
  <c r="T348" i="2"/>
  <c r="W348" i="2"/>
  <c r="V348" i="2"/>
  <c r="K370" i="2"/>
  <c r="AJ327" i="2"/>
  <c r="J558" i="2"/>
  <c r="AE558" i="2"/>
  <c r="AB325" i="2"/>
  <c r="J560" i="2"/>
  <c r="AE560" i="2"/>
  <c r="AO485" i="2"/>
  <c r="AP438" i="2"/>
  <c r="AR438" i="2" s="1"/>
  <c r="AJ303" i="2"/>
  <c r="AE567" i="2"/>
  <c r="J567" i="2"/>
  <c r="AF333" i="2"/>
  <c r="AF513" i="2"/>
  <c r="AG513" i="2" s="1"/>
  <c r="AH513" i="2" s="1"/>
  <c r="AB287" i="2"/>
  <c r="Y461" i="2"/>
  <c r="Y512" i="2"/>
  <c r="AE562" i="2"/>
  <c r="J562" i="2"/>
  <c r="AC304" i="2"/>
  <c r="AD304" i="2" s="1"/>
  <c r="AF430" i="2"/>
  <c r="AG430" i="2" s="1"/>
  <c r="AH430" i="2" s="1"/>
  <c r="K518" i="2"/>
  <c r="L518" i="2" s="1"/>
  <c r="AK314" i="2"/>
  <c r="AL314" i="2" s="1"/>
  <c r="AJ413" i="2"/>
  <c r="AK310" i="2"/>
  <c r="AL310" i="2" s="1"/>
  <c r="X215" i="2"/>
  <c r="L304" i="2"/>
  <c r="K351" i="2" s="1"/>
  <c r="J523" i="2"/>
  <c r="AE523" i="2"/>
  <c r="K286" i="2"/>
  <c r="Y433" i="2"/>
  <c r="AO501" i="2"/>
  <c r="AP454" i="2"/>
  <c r="AR454" i="2" s="1"/>
  <c r="U255" i="2"/>
  <c r="T255" i="2"/>
  <c r="W255" i="2"/>
  <c r="V255" i="2"/>
  <c r="X269" i="2"/>
  <c r="Y500" i="2"/>
  <c r="X365" i="2"/>
  <c r="U369" i="2"/>
  <c r="T369" i="2"/>
  <c r="W369" i="2"/>
  <c r="V369" i="2"/>
  <c r="AB318" i="2"/>
  <c r="AB311" i="2"/>
  <c r="U251" i="2"/>
  <c r="W251" i="2"/>
  <c r="V251" i="2"/>
  <c r="T251" i="2"/>
  <c r="AF350" i="2"/>
  <c r="X240" i="2"/>
  <c r="K359" i="2"/>
  <c r="AJ285" i="2"/>
  <c r="X257" i="2"/>
  <c r="J545" i="2"/>
  <c r="AE545" i="2"/>
  <c r="H524" i="2"/>
  <c r="AE477" i="2"/>
  <c r="J477" i="2"/>
  <c r="AJ340" i="2"/>
  <c r="Y435" i="2"/>
  <c r="AJ407" i="2"/>
  <c r="AB362" i="2"/>
  <c r="K342" i="2"/>
  <c r="J557" i="2"/>
  <c r="AE557" i="2"/>
  <c r="U331" i="2"/>
  <c r="T331" i="2"/>
  <c r="W331" i="2"/>
  <c r="V331" i="2"/>
  <c r="Y432" i="2"/>
  <c r="K394" i="2"/>
  <c r="K413" i="2"/>
  <c r="Y507" i="2"/>
  <c r="AK324" i="2"/>
  <c r="AL324" i="2" s="1"/>
  <c r="K376" i="2"/>
  <c r="K290" i="2"/>
  <c r="H533" i="2"/>
  <c r="AE486" i="2"/>
  <c r="J486" i="2"/>
  <c r="K335" i="2"/>
  <c r="Y488" i="2"/>
  <c r="AK323" i="2"/>
  <c r="AL323" i="2" s="1"/>
  <c r="J504" i="2"/>
  <c r="AE504" i="2"/>
  <c r="H551" i="2"/>
  <c r="J556" i="2"/>
  <c r="AE556" i="2"/>
  <c r="U375" i="2"/>
  <c r="T375" i="2"/>
  <c r="W375" i="2"/>
  <c r="V375" i="2"/>
  <c r="AO497" i="2"/>
  <c r="AP450" i="2"/>
  <c r="AR450" i="2" s="1"/>
  <c r="U361" i="2"/>
  <c r="T361" i="2"/>
  <c r="W361" i="2"/>
  <c r="V361" i="2"/>
  <c r="K466" i="2"/>
  <c r="AF540" i="2" l="1"/>
  <c r="AJ395" i="2"/>
  <c r="L315" i="2"/>
  <c r="X268" i="2"/>
  <c r="T379" i="2"/>
  <c r="U379" i="2"/>
  <c r="W379" i="2"/>
  <c r="AH437" i="2"/>
  <c r="AF484" i="2"/>
  <c r="AG484" i="2" s="1"/>
  <c r="AH484" i="2" s="1"/>
  <c r="AK240" i="2"/>
  <c r="AL240" i="2" s="1"/>
  <c r="AF339" i="2"/>
  <c r="AG339" i="2" s="1"/>
  <c r="AH339" i="2" s="1"/>
  <c r="AF435" i="2"/>
  <c r="AG435" i="2" s="1"/>
  <c r="AH435" i="2" s="1"/>
  <c r="AG358" i="2"/>
  <c r="AH358" i="2" s="1"/>
  <c r="AB392" i="2"/>
  <c r="AC392" i="2" s="1"/>
  <c r="AD392" i="2" s="1"/>
  <c r="AJ252" i="2"/>
  <c r="AB309" i="2"/>
  <c r="AB293" i="2"/>
  <c r="AC293" i="2" s="1"/>
  <c r="AD293" i="2" s="1"/>
  <c r="AC254" i="2"/>
  <c r="AD254" i="2" s="1"/>
  <c r="AB399" i="2"/>
  <c r="AC399" i="2" s="1"/>
  <c r="AD399" i="2" s="1"/>
  <c r="AF489" i="2"/>
  <c r="AG489" i="2" s="1"/>
  <c r="AH489" i="2" s="1"/>
  <c r="X291" i="2"/>
  <c r="AF461" i="2"/>
  <c r="AG461" i="2" s="1"/>
  <c r="AH461" i="2" s="1"/>
  <c r="L426" i="2"/>
  <c r="V426" i="2" s="1"/>
  <c r="W274" i="2"/>
  <c r="T274" i="2"/>
  <c r="V274" i="2"/>
  <c r="U274" i="2"/>
  <c r="AJ371" i="2"/>
  <c r="AK371" i="2" s="1"/>
  <c r="AL371" i="2" s="1"/>
  <c r="AB291" i="2"/>
  <c r="AC291" i="2" s="1"/>
  <c r="AD291" i="2" s="1"/>
  <c r="AJ312" i="2"/>
  <c r="AK312" i="2" s="1"/>
  <c r="AL312" i="2" s="1"/>
  <c r="AJ343" i="2"/>
  <c r="AK343" i="2" s="1"/>
  <c r="AL343" i="2" s="1"/>
  <c r="AJ369" i="2"/>
  <c r="AK369" i="2" s="1"/>
  <c r="AL369" i="2" s="1"/>
  <c r="AJ339" i="2"/>
  <c r="AK339" i="2" s="1"/>
  <c r="AL339" i="2" s="1"/>
  <c r="X332" i="2"/>
  <c r="X280" i="2"/>
  <c r="K321" i="2"/>
  <c r="X312" i="2"/>
  <c r="AB378" i="2"/>
  <c r="AC378" i="2" s="1"/>
  <c r="AD378" i="2" s="1"/>
  <c r="X255" i="2"/>
  <c r="AF387" i="2"/>
  <c r="AG387" i="2" s="1"/>
  <c r="AH387" i="2" s="1"/>
  <c r="AJ415" i="2"/>
  <c r="AK415" i="2" s="1"/>
  <c r="AL415" i="2" s="1"/>
  <c r="AF415" i="2"/>
  <c r="AG415" i="2" s="1"/>
  <c r="AH415" i="2" s="1"/>
  <c r="AF411" i="2"/>
  <c r="AG411" i="2" s="1"/>
  <c r="AH411" i="2" s="1"/>
  <c r="X369" i="2"/>
  <c r="AJ357" i="2"/>
  <c r="AK357" i="2" s="1"/>
  <c r="AL357" i="2" s="1"/>
  <c r="AB351" i="2"/>
  <c r="AC351" i="2" s="1"/>
  <c r="AD351" i="2" s="1"/>
  <c r="AJ495" i="2"/>
  <c r="AK495" i="2" s="1"/>
  <c r="AL495" i="2" s="1"/>
  <c r="AF418" i="2"/>
  <c r="AG418" i="2" s="1"/>
  <c r="AH418" i="2" s="1"/>
  <c r="AJ392" i="2"/>
  <c r="AK392" i="2" s="1"/>
  <c r="AL392" i="2" s="1"/>
  <c r="AF438" i="2"/>
  <c r="AG438" i="2" s="1"/>
  <c r="AH438" i="2" s="1"/>
  <c r="AB393" i="2"/>
  <c r="AC393" i="2" s="1"/>
  <c r="AD393" i="2" s="1"/>
  <c r="AJ376" i="2"/>
  <c r="AK376" i="2" s="1"/>
  <c r="AL376" i="2" s="1"/>
  <c r="L327" i="2"/>
  <c r="K374" i="2" s="1"/>
  <c r="X358" i="2"/>
  <c r="AG540" i="2"/>
  <c r="AH540" i="2" s="1"/>
  <c r="X262" i="2"/>
  <c r="AB413" i="2"/>
  <c r="AC413" i="2" s="1"/>
  <c r="AD413" i="2" s="1"/>
  <c r="AB322" i="2"/>
  <c r="AC322" i="2" s="1"/>
  <c r="AD322" i="2" s="1"/>
  <c r="AJ482" i="2"/>
  <c r="AK482" i="2" s="1"/>
  <c r="AL482" i="2" s="1"/>
  <c r="AF329" i="2"/>
  <c r="AG329" i="2" s="1"/>
  <c r="AH329" i="2" s="1"/>
  <c r="L345" i="2"/>
  <c r="L349" i="2"/>
  <c r="K396" i="2" s="1"/>
  <c r="U518" i="2"/>
  <c r="W518" i="2"/>
  <c r="V518" i="2"/>
  <c r="T518" i="2"/>
  <c r="L466" i="2"/>
  <c r="K513" i="2" s="1"/>
  <c r="L394" i="2"/>
  <c r="K441" i="2" s="1"/>
  <c r="AC318" i="2"/>
  <c r="AD318" i="2" s="1"/>
  <c r="L370" i="2"/>
  <c r="K417" i="2" s="1"/>
  <c r="AO541" i="2"/>
  <c r="AP541" i="2" s="1"/>
  <c r="AR541" i="2" s="1"/>
  <c r="AP494" i="2"/>
  <c r="AR494" i="2" s="1"/>
  <c r="AK306" i="2"/>
  <c r="AL306" i="2" s="1"/>
  <c r="AG394" i="2"/>
  <c r="AH394" i="2" s="1"/>
  <c r="W422" i="2"/>
  <c r="V422" i="2"/>
  <c r="U422" i="2"/>
  <c r="T422" i="2"/>
  <c r="L425" i="2"/>
  <c r="K472" i="2" s="1"/>
  <c r="AG361" i="2"/>
  <c r="AH361" i="2" s="1"/>
  <c r="W416" i="2"/>
  <c r="V416" i="2"/>
  <c r="U416" i="2"/>
  <c r="T416" i="2"/>
  <c r="AK289" i="2"/>
  <c r="AL289" i="2" s="1"/>
  <c r="U287" i="2"/>
  <c r="T287" i="2"/>
  <c r="W287" i="2"/>
  <c r="V287" i="2"/>
  <c r="L405" i="2"/>
  <c r="AG318" i="2"/>
  <c r="AH318" i="2" s="1"/>
  <c r="AO551" i="2"/>
  <c r="AP551" i="2" s="1"/>
  <c r="AR551" i="2" s="1"/>
  <c r="AP504" i="2"/>
  <c r="AR504" i="2" s="1"/>
  <c r="L400" i="2"/>
  <c r="K447" i="2" s="1"/>
  <c r="J555" i="2"/>
  <c r="AE555" i="2"/>
  <c r="U277" i="2"/>
  <c r="T277" i="2"/>
  <c r="W277" i="2"/>
  <c r="V277" i="2"/>
  <c r="AF477" i="2"/>
  <c r="AG477" i="2" s="1"/>
  <c r="AH477" i="2" s="1"/>
  <c r="AK395" i="2"/>
  <c r="AL395" i="2" s="1"/>
  <c r="AK318" i="2"/>
  <c r="AL318" i="2" s="1"/>
  <c r="AC406" i="2"/>
  <c r="AD406" i="2" s="1"/>
  <c r="U308" i="2"/>
  <c r="T308" i="2"/>
  <c r="W308" i="2"/>
  <c r="V308" i="2"/>
  <c r="AO546" i="2"/>
  <c r="AP546" i="2" s="1"/>
  <c r="AR546" i="2" s="1"/>
  <c r="AP499" i="2"/>
  <c r="AR499" i="2" s="1"/>
  <c r="AJ377" i="2"/>
  <c r="X250" i="2"/>
  <c r="AO554" i="2"/>
  <c r="AP554" i="2" s="1"/>
  <c r="AR554" i="2" s="1"/>
  <c r="AP507" i="2"/>
  <c r="AR507" i="2" s="1"/>
  <c r="AC300" i="2"/>
  <c r="AD300" i="2" s="1"/>
  <c r="Y522" i="2"/>
  <c r="X247" i="2"/>
  <c r="AB414" i="2"/>
  <c r="AG316" i="2"/>
  <c r="AH316" i="2" s="1"/>
  <c r="Y505" i="2"/>
  <c r="AG362" i="2"/>
  <c r="AH362" i="2" s="1"/>
  <c r="L292" i="2"/>
  <c r="Y539" i="2"/>
  <c r="J531" i="2"/>
  <c r="AE531" i="2"/>
  <c r="AF370" i="2"/>
  <c r="AK338" i="2"/>
  <c r="AL338" i="2" s="1"/>
  <c r="L364" i="2"/>
  <c r="X310" i="2"/>
  <c r="AJ391" i="2"/>
  <c r="U373" i="2"/>
  <c r="T373" i="2"/>
  <c r="W373" i="2"/>
  <c r="V373" i="2"/>
  <c r="AB373" i="2"/>
  <c r="L455" i="2"/>
  <c r="K502" i="2" s="1"/>
  <c r="AO562" i="2"/>
  <c r="AP562" i="2" s="1"/>
  <c r="AR562" i="2" s="1"/>
  <c r="AP515" i="2"/>
  <c r="AR515" i="2" s="1"/>
  <c r="X295" i="2"/>
  <c r="J534" i="2"/>
  <c r="AE534" i="2"/>
  <c r="AG385" i="2"/>
  <c r="AH385" i="2" s="1"/>
  <c r="AG398" i="2"/>
  <c r="AH398" i="2" s="1"/>
  <c r="AK304" i="2"/>
  <c r="AL304" i="2" s="1"/>
  <c r="Y495" i="2"/>
  <c r="AF496" i="2"/>
  <c r="AG496" i="2" s="1"/>
  <c r="AH496" i="2" s="1"/>
  <c r="X239" i="2"/>
  <c r="AO530" i="2"/>
  <c r="AP530" i="2" s="1"/>
  <c r="AR530" i="2" s="1"/>
  <c r="AP483" i="2"/>
  <c r="AR483" i="2" s="1"/>
  <c r="J530" i="2"/>
  <c r="AE530" i="2"/>
  <c r="AO539" i="2"/>
  <c r="AP539" i="2" s="1"/>
  <c r="AR539" i="2" s="1"/>
  <c r="AP492" i="2"/>
  <c r="AR492" i="2" s="1"/>
  <c r="U352" i="2"/>
  <c r="T352" i="2"/>
  <c r="W352" i="2"/>
  <c r="V352" i="2"/>
  <c r="Y536" i="2"/>
  <c r="L356" i="2"/>
  <c r="K403" i="2" s="1"/>
  <c r="AO566" i="2"/>
  <c r="AP566" i="2" s="1"/>
  <c r="AR566" i="2" s="1"/>
  <c r="AP519" i="2"/>
  <c r="AR519" i="2" s="1"/>
  <c r="AG520" i="2"/>
  <c r="AH520" i="2" s="1"/>
  <c r="Y521" i="2"/>
  <c r="X246" i="2"/>
  <c r="U360" i="2"/>
  <c r="T360" i="2"/>
  <c r="W360" i="2"/>
  <c r="V360" i="2"/>
  <c r="AO549" i="2"/>
  <c r="AP549" i="2" s="1"/>
  <c r="AR549" i="2" s="1"/>
  <c r="AP502" i="2"/>
  <c r="AR502" i="2" s="1"/>
  <c r="U307" i="2"/>
  <c r="T307" i="2"/>
  <c r="W307" i="2"/>
  <c r="V307" i="2"/>
  <c r="AO564" i="2"/>
  <c r="AP564" i="2" s="1"/>
  <c r="AR564" i="2" s="1"/>
  <c r="AP517" i="2"/>
  <c r="AR517" i="2" s="1"/>
  <c r="W397" i="2"/>
  <c r="V397" i="2"/>
  <c r="U397" i="2"/>
  <c r="T397" i="2"/>
  <c r="Y504" i="2"/>
  <c r="Y486" i="2"/>
  <c r="Y557" i="2"/>
  <c r="Y477" i="2"/>
  <c r="AO548" i="2"/>
  <c r="AP548" i="2" s="1"/>
  <c r="AR548" i="2" s="1"/>
  <c r="AP501" i="2"/>
  <c r="AR501" i="2" s="1"/>
  <c r="AK413" i="2"/>
  <c r="AL413" i="2" s="1"/>
  <c r="AG333" i="2"/>
  <c r="AH333" i="2" s="1"/>
  <c r="AC325" i="2"/>
  <c r="AD325" i="2" s="1"/>
  <c r="J546" i="2"/>
  <c r="AE546" i="2"/>
  <c r="Y480" i="2"/>
  <c r="AO533" i="2"/>
  <c r="AP533" i="2" s="1"/>
  <c r="AR533" i="2" s="1"/>
  <c r="AP486" i="2"/>
  <c r="AR486" i="2" s="1"/>
  <c r="AC342" i="2"/>
  <c r="AD342" i="2" s="1"/>
  <c r="AO565" i="2"/>
  <c r="AP565" i="2" s="1"/>
  <c r="AR565" i="2" s="1"/>
  <c r="AP518" i="2"/>
  <c r="AR518" i="2" s="1"/>
  <c r="L385" i="2"/>
  <c r="U336" i="2"/>
  <c r="T336" i="2"/>
  <c r="W336" i="2"/>
  <c r="V336" i="2"/>
  <c r="J541" i="2"/>
  <c r="AE541" i="2"/>
  <c r="AO561" i="2"/>
  <c r="AP561" i="2" s="1"/>
  <c r="AR561" i="2" s="1"/>
  <c r="AP514" i="2"/>
  <c r="AR514" i="2" s="1"/>
  <c r="AO558" i="2"/>
  <c r="AP558" i="2" s="1"/>
  <c r="AR558" i="2" s="1"/>
  <c r="AP511" i="2"/>
  <c r="AR511" i="2" s="1"/>
  <c r="AG334" i="2"/>
  <c r="AH334" i="2" s="1"/>
  <c r="Y554" i="2"/>
  <c r="AO557" i="2"/>
  <c r="AP557" i="2" s="1"/>
  <c r="AR557" i="2" s="1"/>
  <c r="AP510" i="2"/>
  <c r="AR510" i="2" s="1"/>
  <c r="L442" i="2"/>
  <c r="K489" i="2" s="1"/>
  <c r="J532" i="2"/>
  <c r="AE532" i="2"/>
  <c r="L344" i="2"/>
  <c r="K391" i="2" s="1"/>
  <c r="AB422" i="2"/>
  <c r="Y523" i="2"/>
  <c r="Y562" i="2"/>
  <c r="V461" i="2"/>
  <c r="W461" i="2"/>
  <c r="U461" i="2"/>
  <c r="T461" i="2"/>
  <c r="Y567" i="2"/>
  <c r="AO532" i="2"/>
  <c r="AP532" i="2" s="1"/>
  <c r="AR532" i="2" s="1"/>
  <c r="AP485" i="2"/>
  <c r="AR485" i="2" s="1"/>
  <c r="AK384" i="2"/>
  <c r="AL384" i="2" s="1"/>
  <c r="L343" i="2"/>
  <c r="J544" i="2"/>
  <c r="AE544" i="2"/>
  <c r="AJ335" i="2"/>
  <c r="AE564" i="2"/>
  <c r="J564" i="2"/>
  <c r="AB333" i="2"/>
  <c r="L363" i="2"/>
  <c r="K410" i="2" s="1"/>
  <c r="Y478" i="2"/>
  <c r="L357" i="2"/>
  <c r="AF566" i="2"/>
  <c r="AG566" i="2" s="1"/>
  <c r="AH566" i="2" s="1"/>
  <c r="AO544" i="2"/>
  <c r="AP544" i="2" s="1"/>
  <c r="AR544" i="2" s="1"/>
  <c r="AP497" i="2"/>
  <c r="AR497" i="2" s="1"/>
  <c r="X375" i="2"/>
  <c r="AE551" i="2"/>
  <c r="J551" i="2"/>
  <c r="AJ370" i="2"/>
  <c r="J533" i="2"/>
  <c r="AE533" i="2"/>
  <c r="L376" i="2"/>
  <c r="AC362" i="2"/>
  <c r="AD362" i="2" s="1"/>
  <c r="J524" i="2"/>
  <c r="AE524" i="2"/>
  <c r="AG350" i="2"/>
  <c r="AH350" i="2" s="1"/>
  <c r="U304" i="2"/>
  <c r="T304" i="2"/>
  <c r="W304" i="2"/>
  <c r="V304" i="2"/>
  <c r="AJ361" i="2"/>
  <c r="AC287" i="2"/>
  <c r="AD287" i="2" s="1"/>
  <c r="Y558" i="2"/>
  <c r="X305" i="2"/>
  <c r="AO538" i="2"/>
  <c r="AP538" i="2" s="1"/>
  <c r="AR538" i="2" s="1"/>
  <c r="AP491" i="2"/>
  <c r="AR491" i="2" s="1"/>
  <c r="AE528" i="2"/>
  <c r="J528" i="2"/>
  <c r="AC339" i="2"/>
  <c r="AD339" i="2" s="1"/>
  <c r="Y499" i="2"/>
  <c r="W412" i="2"/>
  <c r="V412" i="2"/>
  <c r="U412" i="2"/>
  <c r="T412" i="2"/>
  <c r="AB303" i="2"/>
  <c r="AG375" i="2"/>
  <c r="AH375" i="2" s="1"/>
  <c r="Y565" i="2"/>
  <c r="X350" i="2"/>
  <c r="AJ403" i="2"/>
  <c r="U294" i="2"/>
  <c r="T294" i="2"/>
  <c r="W294" i="2"/>
  <c r="V294" i="2"/>
  <c r="Y501" i="2"/>
  <c r="AO560" i="2"/>
  <c r="AP560" i="2" s="1"/>
  <c r="AR560" i="2" s="1"/>
  <c r="AP513" i="2"/>
  <c r="AR513" i="2" s="1"/>
  <c r="AJ378" i="2"/>
  <c r="Y496" i="2"/>
  <c r="AK372" i="2"/>
  <c r="AL372" i="2" s="1"/>
  <c r="AC330" i="2"/>
  <c r="AD330" i="2" s="1"/>
  <c r="Y479" i="2"/>
  <c r="AB410" i="2"/>
  <c r="X306" i="2"/>
  <c r="Y482" i="2"/>
  <c r="AB357" i="2"/>
  <c r="AG359" i="2"/>
  <c r="AH359" i="2" s="1"/>
  <c r="AG366" i="2"/>
  <c r="AH366" i="2" s="1"/>
  <c r="AC360" i="2"/>
  <c r="AD360" i="2" s="1"/>
  <c r="AE527" i="2"/>
  <c r="J527" i="2"/>
  <c r="AB354" i="2"/>
  <c r="AO529" i="2"/>
  <c r="AP529" i="2" s="1"/>
  <c r="AR529" i="2" s="1"/>
  <c r="AP482" i="2"/>
  <c r="AR482" i="2" s="1"/>
  <c r="AJ349" i="2"/>
  <c r="AJ422" i="2"/>
  <c r="AC336" i="2"/>
  <c r="AD336" i="2" s="1"/>
  <c r="X326" i="2"/>
  <c r="AO540" i="2"/>
  <c r="AP540" i="2" s="1"/>
  <c r="AR540" i="2" s="1"/>
  <c r="AP493" i="2"/>
  <c r="AR493" i="2" s="1"/>
  <c r="AO534" i="2"/>
  <c r="AP534" i="2" s="1"/>
  <c r="AR534" i="2" s="1"/>
  <c r="AP487" i="2"/>
  <c r="AR487" i="2" s="1"/>
  <c r="AC374" i="2"/>
  <c r="AD374" i="2" s="1"/>
  <c r="Y553" i="2"/>
  <c r="AB364" i="2"/>
  <c r="X296" i="2"/>
  <c r="AB349" i="2"/>
  <c r="U338" i="2"/>
  <c r="T338" i="2"/>
  <c r="W338" i="2"/>
  <c r="V338" i="2"/>
  <c r="K383" i="2"/>
  <c r="Y494" i="2"/>
  <c r="K508" i="2"/>
  <c r="L508" i="2" s="1"/>
  <c r="AJ409" i="2"/>
  <c r="AB353" i="2"/>
  <c r="AO547" i="2"/>
  <c r="AP547" i="2" s="1"/>
  <c r="AR547" i="2" s="1"/>
  <c r="AP500" i="2"/>
  <c r="AR500" i="2" s="1"/>
  <c r="AO556" i="2"/>
  <c r="AP556" i="2" s="1"/>
  <c r="AR556" i="2" s="1"/>
  <c r="AP509" i="2"/>
  <c r="AR509" i="2" s="1"/>
  <c r="AB337" i="2"/>
  <c r="AJ320" i="2"/>
  <c r="K469" i="2"/>
  <c r="Y535" i="2"/>
  <c r="X288" i="2"/>
  <c r="AG439" i="2"/>
  <c r="AH439" i="2" s="1"/>
  <c r="X243" i="2"/>
  <c r="AO527" i="2"/>
  <c r="AP527" i="2" s="1"/>
  <c r="AR527" i="2" s="1"/>
  <c r="AP480" i="2"/>
  <c r="AR480" i="2" s="1"/>
  <c r="U378" i="2"/>
  <c r="T378" i="2"/>
  <c r="W378" i="2"/>
  <c r="V378" i="2"/>
  <c r="AG407" i="2"/>
  <c r="AH407" i="2" s="1"/>
  <c r="AG468" i="2"/>
  <c r="AH468" i="2" s="1"/>
  <c r="AC343" i="2"/>
  <c r="AD343" i="2" s="1"/>
  <c r="K463" i="2"/>
  <c r="AF431" i="2"/>
  <c r="K334" i="2"/>
  <c r="AC332" i="2"/>
  <c r="AD332" i="2" s="1"/>
  <c r="AF420" i="2"/>
  <c r="Y483" i="2"/>
  <c r="AC288" i="2"/>
  <c r="AD288" i="2" s="1"/>
  <c r="W395" i="2"/>
  <c r="V395" i="2"/>
  <c r="U395" i="2"/>
  <c r="T395" i="2"/>
  <c r="AB368" i="2"/>
  <c r="AC314" i="2"/>
  <c r="AD314" i="2" s="1"/>
  <c r="AO563" i="2"/>
  <c r="AP563" i="2" s="1"/>
  <c r="AR563" i="2" s="1"/>
  <c r="AP516" i="2"/>
  <c r="AR516" i="2" s="1"/>
  <c r="AF487" i="2"/>
  <c r="AG487" i="2" s="1"/>
  <c r="AH487" i="2" s="1"/>
  <c r="AJ402" i="2"/>
  <c r="U353" i="2"/>
  <c r="T353" i="2"/>
  <c r="W353" i="2"/>
  <c r="V353" i="2"/>
  <c r="X471" i="2"/>
  <c r="Y538" i="2"/>
  <c r="AB371" i="2"/>
  <c r="AO537" i="2"/>
  <c r="AP537" i="2" s="1"/>
  <c r="AR537" i="2" s="1"/>
  <c r="AP490" i="2"/>
  <c r="AR490" i="2" s="1"/>
  <c r="Y508" i="2"/>
  <c r="Y563" i="2"/>
  <c r="K324" i="2"/>
  <c r="AJ326" i="2"/>
  <c r="AF447" i="2"/>
  <c r="AO545" i="2"/>
  <c r="AP545" i="2" s="1"/>
  <c r="AR545" i="2" s="1"/>
  <c r="AP498" i="2"/>
  <c r="AR498" i="2" s="1"/>
  <c r="X414" i="2"/>
  <c r="U297" i="2"/>
  <c r="T297" i="2"/>
  <c r="W297" i="2"/>
  <c r="V297" i="2"/>
  <c r="AK407" i="2"/>
  <c r="AL407" i="2" s="1"/>
  <c r="L359" i="2"/>
  <c r="L351" i="2"/>
  <c r="K565" i="2"/>
  <c r="AG342" i="2"/>
  <c r="AH342" i="2" s="1"/>
  <c r="Y540" i="2"/>
  <c r="L459" i="2"/>
  <c r="K506" i="2" s="1"/>
  <c r="W393" i="2"/>
  <c r="V393" i="2"/>
  <c r="U393" i="2"/>
  <c r="T393" i="2"/>
  <c r="AO536" i="2"/>
  <c r="AP536" i="2" s="1"/>
  <c r="AR536" i="2" s="1"/>
  <c r="AP489" i="2"/>
  <c r="AR489" i="2" s="1"/>
  <c r="L341" i="2"/>
  <c r="AO543" i="2"/>
  <c r="AP543" i="2" s="1"/>
  <c r="AR543" i="2" s="1"/>
  <c r="AP496" i="2"/>
  <c r="AR496" i="2" s="1"/>
  <c r="J543" i="2"/>
  <c r="AE543" i="2"/>
  <c r="J526" i="2"/>
  <c r="AE526" i="2"/>
  <c r="J529" i="2"/>
  <c r="AE529" i="2"/>
  <c r="AK352" i="2"/>
  <c r="AL352" i="2" s="1"/>
  <c r="Y537" i="2"/>
  <c r="AG335" i="2"/>
  <c r="AH335" i="2" s="1"/>
  <c r="AC355" i="2"/>
  <c r="AD355" i="2" s="1"/>
  <c r="Y547" i="2"/>
  <c r="AO559" i="2"/>
  <c r="AP559" i="2" s="1"/>
  <c r="AR559" i="2" s="1"/>
  <c r="AP512" i="2"/>
  <c r="AR512" i="2" s="1"/>
  <c r="U298" i="2"/>
  <c r="T298" i="2"/>
  <c r="W298" i="2"/>
  <c r="V298" i="2"/>
  <c r="U302" i="2"/>
  <c r="T302" i="2"/>
  <c r="W302" i="2"/>
  <c r="V302" i="2"/>
  <c r="Y559" i="2"/>
  <c r="AG404" i="2"/>
  <c r="AH404" i="2" s="1"/>
  <c r="AO552" i="2"/>
  <c r="AP552" i="2" s="1"/>
  <c r="AR552" i="2" s="1"/>
  <c r="AP505" i="2"/>
  <c r="AR505" i="2" s="1"/>
  <c r="Y556" i="2"/>
  <c r="X331" i="2"/>
  <c r="L342" i="2"/>
  <c r="Y545" i="2"/>
  <c r="X361" i="2"/>
  <c r="L335" i="2"/>
  <c r="L290" i="2"/>
  <c r="K337" i="2" s="1"/>
  <c r="L413" i="2"/>
  <c r="K460" i="2" s="1"/>
  <c r="AK340" i="2"/>
  <c r="AL340" i="2" s="1"/>
  <c r="AK285" i="2"/>
  <c r="AL285" i="2" s="1"/>
  <c r="X251" i="2"/>
  <c r="AC311" i="2"/>
  <c r="AD311" i="2" s="1"/>
  <c r="L286" i="2"/>
  <c r="K333" i="2" s="1"/>
  <c r="AF560" i="2"/>
  <c r="AG560" i="2" s="1"/>
  <c r="AH560" i="2" s="1"/>
  <c r="AK303" i="2"/>
  <c r="AL303" i="2" s="1"/>
  <c r="Y560" i="2"/>
  <c r="AK327" i="2"/>
  <c r="AL327" i="2" s="1"/>
  <c r="X348" i="2"/>
  <c r="AG356" i="2"/>
  <c r="AH356" i="2" s="1"/>
  <c r="Y481" i="2"/>
  <c r="AG424" i="2"/>
  <c r="AH424" i="2" s="1"/>
  <c r="Y497" i="2"/>
  <c r="K355" i="2"/>
  <c r="Y561" i="2"/>
  <c r="J548" i="2"/>
  <c r="AE548" i="2"/>
  <c r="Y517" i="2"/>
  <c r="U316" i="2"/>
  <c r="W316" i="2"/>
  <c r="V316" i="2"/>
  <c r="T316" i="2"/>
  <c r="X346" i="2"/>
  <c r="J525" i="2"/>
  <c r="AE525" i="2"/>
  <c r="AO531" i="2"/>
  <c r="AP531" i="2" s="1"/>
  <c r="AR531" i="2" s="1"/>
  <c r="AP484" i="2"/>
  <c r="AR484" i="2" s="1"/>
  <c r="X289" i="2"/>
  <c r="AO535" i="2"/>
  <c r="AP535" i="2" s="1"/>
  <c r="AR535" i="2" s="1"/>
  <c r="AP488" i="2"/>
  <c r="AR488" i="2" s="1"/>
  <c r="AG322" i="2"/>
  <c r="AH322" i="2" s="1"/>
  <c r="AO553" i="2"/>
  <c r="AP553" i="2" s="1"/>
  <c r="AR553" i="2" s="1"/>
  <c r="AP506" i="2"/>
  <c r="AR506" i="2" s="1"/>
  <c r="Y549" i="2"/>
  <c r="AE552" i="2"/>
  <c r="J552" i="2"/>
  <c r="AC297" i="2"/>
  <c r="AD297" i="2" s="1"/>
  <c r="AK316" i="2"/>
  <c r="AL316" i="2" s="1"/>
  <c r="L293" i="2"/>
  <c r="AO555" i="2"/>
  <c r="AP555" i="2" s="1"/>
  <c r="AR555" i="2" s="1"/>
  <c r="AP508" i="2"/>
  <c r="AR508" i="2" s="1"/>
  <c r="Y484" i="2"/>
  <c r="X313" i="2"/>
  <c r="AK427" i="2"/>
  <c r="AL427" i="2" s="1"/>
  <c r="AC294" i="2"/>
  <c r="AD294" i="2" s="1"/>
  <c r="AO550" i="2"/>
  <c r="AP550" i="2" s="1"/>
  <c r="AR550" i="2" s="1"/>
  <c r="AP503" i="2"/>
  <c r="AR503" i="2" s="1"/>
  <c r="U317" i="2"/>
  <c r="W317" i="2"/>
  <c r="V317" i="2"/>
  <c r="T317" i="2"/>
  <c r="K440" i="2"/>
  <c r="K420" i="2"/>
  <c r="X245" i="2"/>
  <c r="X419" i="2"/>
  <c r="W408" i="2"/>
  <c r="V408" i="2"/>
  <c r="U408" i="2"/>
  <c r="T408" i="2"/>
  <c r="AC376" i="2"/>
  <c r="AD376" i="2" s="1"/>
  <c r="AG401" i="2"/>
  <c r="AH401" i="2" s="1"/>
  <c r="X329" i="2"/>
  <c r="X366" i="2"/>
  <c r="X347" i="2"/>
  <c r="Y487" i="2"/>
  <c r="AC309" i="2"/>
  <c r="AD309" i="2" s="1"/>
  <c r="AK300" i="2"/>
  <c r="AL300" i="2" s="1"/>
  <c r="AK364" i="2"/>
  <c r="AL364" i="2" s="1"/>
  <c r="J542" i="2"/>
  <c r="AE542" i="2"/>
  <c r="AK295" i="2"/>
  <c r="AL295" i="2" s="1"/>
  <c r="AC370" i="2"/>
  <c r="AD370" i="2" s="1"/>
  <c r="X323" i="2"/>
  <c r="AG349" i="2"/>
  <c r="AH349" i="2" s="1"/>
  <c r="K399" i="2"/>
  <c r="AK358" i="2"/>
  <c r="AL358" i="2" s="1"/>
  <c r="Y485" i="2"/>
  <c r="U309" i="2"/>
  <c r="T309" i="2"/>
  <c r="W309" i="2"/>
  <c r="V309" i="2"/>
  <c r="AO542" i="2"/>
  <c r="AP542" i="2" s="1"/>
  <c r="AR542" i="2" s="1"/>
  <c r="AP495" i="2"/>
  <c r="AR495" i="2" s="1"/>
  <c r="K407" i="2"/>
  <c r="Y566" i="2"/>
  <c r="K354" i="2"/>
  <c r="K444" i="2"/>
  <c r="T426" i="2" l="1"/>
  <c r="AF386" i="2"/>
  <c r="AG386" i="2" s="1"/>
  <c r="AH386" i="2" s="1"/>
  <c r="K362" i="2"/>
  <c r="V315" i="2"/>
  <c r="U315" i="2"/>
  <c r="T315" i="2"/>
  <c r="W315" i="2"/>
  <c r="X379" i="2"/>
  <c r="AJ287" i="2"/>
  <c r="AF405" i="2"/>
  <c r="AG405" i="2" s="1"/>
  <c r="AH405" i="2" s="1"/>
  <c r="AJ332" i="2"/>
  <c r="AK332" i="2" s="1"/>
  <c r="AL332" i="2" s="1"/>
  <c r="AB340" i="2"/>
  <c r="AC340" i="2" s="1"/>
  <c r="AD340" i="2" s="1"/>
  <c r="AK252" i="2"/>
  <c r="AL252" i="2" s="1"/>
  <c r="AJ454" i="2"/>
  <c r="AK454" i="2" s="1"/>
  <c r="AL454" i="2" s="1"/>
  <c r="AJ431" i="2"/>
  <c r="AK431" i="2" s="1"/>
  <c r="AL431" i="2" s="1"/>
  <c r="AB301" i="2"/>
  <c r="AJ353" i="2"/>
  <c r="AK353" i="2" s="1"/>
  <c r="AL353" i="2" s="1"/>
  <c r="AJ390" i="2"/>
  <c r="AK390" i="2" s="1"/>
  <c r="AL390" i="2" s="1"/>
  <c r="W426" i="2"/>
  <c r="AF536" i="2"/>
  <c r="AG536" i="2" s="1"/>
  <c r="AH536" i="2" s="1"/>
  <c r="K473" i="2"/>
  <c r="U426" i="2"/>
  <c r="AF531" i="2"/>
  <c r="AG531" i="2" s="1"/>
  <c r="AH531" i="2" s="1"/>
  <c r="AB344" i="2"/>
  <c r="AC344" i="2" s="1"/>
  <c r="AD344" i="2" s="1"/>
  <c r="AF369" i="2"/>
  <c r="AG369" i="2" s="1"/>
  <c r="AH369" i="2" s="1"/>
  <c r="AJ374" i="2"/>
  <c r="AK374" i="2" s="1"/>
  <c r="AL374" i="2" s="1"/>
  <c r="AB365" i="2"/>
  <c r="AC365" i="2" s="1"/>
  <c r="AD365" i="2" s="1"/>
  <c r="X378" i="2"/>
  <c r="AF432" i="2"/>
  <c r="AG432" i="2" s="1"/>
  <c r="AH432" i="2" s="1"/>
  <c r="L321" i="2"/>
  <c r="K368" i="2" s="1"/>
  <c r="X274" i="2"/>
  <c r="L473" i="2"/>
  <c r="U473" i="2" s="1"/>
  <c r="AR568" i="2"/>
  <c r="C12" i="1" s="1"/>
  <c r="X408" i="2"/>
  <c r="AJ416" i="2"/>
  <c r="AK416" i="2" s="1"/>
  <c r="AL416" i="2" s="1"/>
  <c r="AF451" i="2"/>
  <c r="AG451" i="2" s="1"/>
  <c r="AH451" i="2" s="1"/>
  <c r="AF382" i="2"/>
  <c r="AG382" i="2" s="1"/>
  <c r="AH382" i="2" s="1"/>
  <c r="AF462" i="2"/>
  <c r="AG462" i="2" s="1"/>
  <c r="AH462" i="2" s="1"/>
  <c r="AB372" i="2"/>
  <c r="AC372" i="2" s="1"/>
  <c r="AD372" i="2" s="1"/>
  <c r="X308" i="2"/>
  <c r="L374" i="2"/>
  <c r="K421" i="2" s="1"/>
  <c r="AJ347" i="2"/>
  <c r="AB423" i="2"/>
  <c r="AC423" i="2" s="1"/>
  <c r="AD423" i="2" s="1"/>
  <c r="X395" i="2"/>
  <c r="AF485" i="2"/>
  <c r="AG485" i="2" s="1"/>
  <c r="AH485" i="2" s="1"/>
  <c r="AJ405" i="2"/>
  <c r="AJ359" i="2"/>
  <c r="AF434" i="2"/>
  <c r="AG434" i="2" s="1"/>
  <c r="AH434" i="2" s="1"/>
  <c r="AJ404" i="2"/>
  <c r="AK404" i="2" s="1"/>
  <c r="AL404" i="2" s="1"/>
  <c r="AB358" i="2"/>
  <c r="AC358" i="2" s="1"/>
  <c r="AD358" i="2" s="1"/>
  <c r="AJ423" i="2"/>
  <c r="AK423" i="2" s="1"/>
  <c r="AL423" i="2" s="1"/>
  <c r="AF397" i="2"/>
  <c r="AG397" i="2" s="1"/>
  <c r="AH397" i="2" s="1"/>
  <c r="AB409" i="2"/>
  <c r="AC409" i="2" s="1"/>
  <c r="AD409" i="2" s="1"/>
  <c r="AB389" i="2"/>
  <c r="AC389" i="2" s="1"/>
  <c r="AD389" i="2" s="1"/>
  <c r="AJ351" i="2"/>
  <c r="AK351" i="2" s="1"/>
  <c r="AL351" i="2" s="1"/>
  <c r="AF508" i="2"/>
  <c r="AG508" i="2" s="1"/>
  <c r="AH508" i="2" s="1"/>
  <c r="AB341" i="2"/>
  <c r="AC341" i="2" s="1"/>
  <c r="AD341" i="2" s="1"/>
  <c r="AJ462" i="2"/>
  <c r="AK462" i="2" s="1"/>
  <c r="AL462" i="2" s="1"/>
  <c r="AJ350" i="2"/>
  <c r="AK350" i="2" s="1"/>
  <c r="AL350" i="2" s="1"/>
  <c r="AB369" i="2"/>
  <c r="AC369" i="2" s="1"/>
  <c r="AD369" i="2" s="1"/>
  <c r="AF389" i="2"/>
  <c r="AG389" i="2" s="1"/>
  <c r="AH389" i="2" s="1"/>
  <c r="AB334" i="2"/>
  <c r="AC334" i="2" s="1"/>
  <c r="AD334" i="2" s="1"/>
  <c r="AB446" i="2"/>
  <c r="AC446" i="2" s="1"/>
  <c r="AD446" i="2" s="1"/>
  <c r="AB398" i="2"/>
  <c r="AC398" i="2" s="1"/>
  <c r="AD398" i="2" s="1"/>
  <c r="AF409" i="2"/>
  <c r="AJ336" i="2"/>
  <c r="AK336" i="2" s="1"/>
  <c r="AL336" i="2" s="1"/>
  <c r="W327" i="2"/>
  <c r="V327" i="2"/>
  <c r="U327" i="2"/>
  <c r="T327" i="2"/>
  <c r="U508" i="2"/>
  <c r="T508" i="2"/>
  <c r="W508" i="2"/>
  <c r="V508" i="2"/>
  <c r="L333" i="2"/>
  <c r="L489" i="2"/>
  <c r="K536" i="2" s="1"/>
  <c r="U341" i="2"/>
  <c r="T341" i="2"/>
  <c r="W341" i="2"/>
  <c r="V341" i="2"/>
  <c r="L506" i="2"/>
  <c r="K553" i="2" s="1"/>
  <c r="U359" i="2"/>
  <c r="T359" i="2"/>
  <c r="W359" i="2"/>
  <c r="V359" i="2"/>
  <c r="AG420" i="2"/>
  <c r="AH420" i="2" s="1"/>
  <c r="L447" i="2"/>
  <c r="K494" i="2" s="1"/>
  <c r="L441" i="2"/>
  <c r="L396" i="2"/>
  <c r="K443" i="2" s="1"/>
  <c r="U293" i="2"/>
  <c r="T293" i="2"/>
  <c r="W293" i="2"/>
  <c r="V293" i="2"/>
  <c r="AJ363" i="2"/>
  <c r="U335" i="2"/>
  <c r="T335" i="2"/>
  <c r="W335" i="2"/>
  <c r="V335" i="2"/>
  <c r="Y526" i="2"/>
  <c r="Y543" i="2"/>
  <c r="AB335" i="2"/>
  <c r="AB390" i="2"/>
  <c r="AC353" i="2"/>
  <c r="AD353" i="2" s="1"/>
  <c r="AK422" i="2"/>
  <c r="AL422" i="2" s="1"/>
  <c r="AB407" i="2"/>
  <c r="AF406" i="2"/>
  <c r="AC357" i="2"/>
  <c r="AD357" i="2" s="1"/>
  <c r="AB377" i="2"/>
  <c r="AK403" i="2"/>
  <c r="AL403" i="2" s="1"/>
  <c r="AF486" i="2"/>
  <c r="Y533" i="2"/>
  <c r="AC333" i="2"/>
  <c r="AD333" i="2" s="1"/>
  <c r="X461" i="2"/>
  <c r="L444" i="2"/>
  <c r="L407" i="2"/>
  <c r="L399" i="2"/>
  <c r="K446" i="2" s="1"/>
  <c r="L440" i="2"/>
  <c r="K487" i="2" s="1"/>
  <c r="L355" i="2"/>
  <c r="K402" i="2" s="1"/>
  <c r="L337" i="2"/>
  <c r="K384" i="2" s="1"/>
  <c r="U342" i="2"/>
  <c r="T342" i="2"/>
  <c r="W342" i="2"/>
  <c r="V342" i="2"/>
  <c r="AG447" i="2"/>
  <c r="AH447" i="2" s="1"/>
  <c r="AC337" i="2"/>
  <c r="AD337" i="2" s="1"/>
  <c r="K555" i="2"/>
  <c r="AC349" i="2"/>
  <c r="AD349" i="2" s="1"/>
  <c r="AC303" i="2"/>
  <c r="AD303" i="2" s="1"/>
  <c r="L410" i="2"/>
  <c r="K457" i="2" s="1"/>
  <c r="U343" i="2"/>
  <c r="T343" i="2"/>
  <c r="W343" i="2"/>
  <c r="V343" i="2"/>
  <c r="L403" i="2"/>
  <c r="U292" i="2"/>
  <c r="T292" i="2"/>
  <c r="W292" i="2"/>
  <c r="V292" i="2"/>
  <c r="W405" i="2"/>
  <c r="V405" i="2"/>
  <c r="U405" i="2"/>
  <c r="T405" i="2"/>
  <c r="L354" i="2"/>
  <c r="AB417" i="2"/>
  <c r="AF448" i="2"/>
  <c r="X317" i="2"/>
  <c r="AF403" i="2"/>
  <c r="AJ387" i="2"/>
  <c r="L460" i="2"/>
  <c r="AK326" i="2"/>
  <c r="AL326" i="2" s="1"/>
  <c r="AK402" i="2"/>
  <c r="AL402" i="2" s="1"/>
  <c r="AG431" i="2"/>
  <c r="AH431" i="2" s="1"/>
  <c r="L469" i="2"/>
  <c r="K516" i="2" s="1"/>
  <c r="AB383" i="2"/>
  <c r="AC410" i="2"/>
  <c r="AD410" i="2" s="1"/>
  <c r="AC422" i="2"/>
  <c r="AD422" i="2" s="1"/>
  <c r="AF381" i="2"/>
  <c r="V385" i="2"/>
  <c r="T385" i="2"/>
  <c r="W385" i="2"/>
  <c r="U385" i="2"/>
  <c r="AJ460" i="2"/>
  <c r="AJ418" i="2"/>
  <c r="X309" i="2"/>
  <c r="AF396" i="2"/>
  <c r="L420" i="2"/>
  <c r="K467" i="2" s="1"/>
  <c r="AJ474" i="2"/>
  <c r="AJ439" i="2"/>
  <c r="X316" i="2"/>
  <c r="Y548" i="2"/>
  <c r="U290" i="2"/>
  <c r="T290" i="2"/>
  <c r="W290" i="2"/>
  <c r="V290" i="2"/>
  <c r="K389" i="2"/>
  <c r="AB440" i="2"/>
  <c r="AJ529" i="2"/>
  <c r="AK529" i="2" s="1"/>
  <c r="AL529" i="2" s="1"/>
  <c r="AB402" i="2"/>
  <c r="AF482" i="2"/>
  <c r="AJ399" i="2"/>
  <c r="K388" i="2"/>
  <c r="X393" i="2"/>
  <c r="V459" i="2"/>
  <c r="U459" i="2"/>
  <c r="T459" i="2"/>
  <c r="W459" i="2"/>
  <c r="AJ542" i="2"/>
  <c r="AK542" i="2" s="1"/>
  <c r="AL542" i="2" s="1"/>
  <c r="K406" i="2"/>
  <c r="L324" i="2"/>
  <c r="AF534" i="2"/>
  <c r="AG534" i="2" s="1"/>
  <c r="AH534" i="2" s="1"/>
  <c r="AB361" i="2"/>
  <c r="AB379" i="2"/>
  <c r="L463" i="2"/>
  <c r="K510" i="2" s="1"/>
  <c r="AK409" i="2"/>
  <c r="AL409" i="2" s="1"/>
  <c r="X338" i="2"/>
  <c r="AC364" i="2"/>
  <c r="AD364" i="2" s="1"/>
  <c r="AB421" i="2"/>
  <c r="AK349" i="2"/>
  <c r="AL349" i="2" s="1"/>
  <c r="Y527" i="2"/>
  <c r="Y528" i="2"/>
  <c r="AK361" i="2"/>
  <c r="AL361" i="2" s="1"/>
  <c r="Y524" i="2"/>
  <c r="AK370" i="2"/>
  <c r="AL370" i="2" s="1"/>
  <c r="U363" i="2"/>
  <c r="T363" i="2"/>
  <c r="W363" i="2"/>
  <c r="V363" i="2"/>
  <c r="Y564" i="2"/>
  <c r="K390" i="2"/>
  <c r="U344" i="2"/>
  <c r="T344" i="2"/>
  <c r="W344" i="2"/>
  <c r="V344" i="2"/>
  <c r="AF376" i="2"/>
  <c r="Y541" i="2"/>
  <c r="Y546" i="2"/>
  <c r="U356" i="2"/>
  <c r="T356" i="2"/>
  <c r="W356" i="2"/>
  <c r="V356" i="2"/>
  <c r="AF445" i="2"/>
  <c r="Y534" i="2"/>
  <c r="AC373" i="2"/>
  <c r="AD373" i="2" s="1"/>
  <c r="AJ385" i="2"/>
  <c r="K339" i="2"/>
  <c r="AC414" i="2"/>
  <c r="AD414" i="2" s="1"/>
  <c r="X277" i="2"/>
  <c r="W400" i="2"/>
  <c r="V400" i="2"/>
  <c r="U400" i="2"/>
  <c r="T400" i="2"/>
  <c r="K452" i="2"/>
  <c r="AF408" i="2"/>
  <c r="X422" i="2"/>
  <c r="W394" i="2"/>
  <c r="V394" i="2"/>
  <c r="U394" i="2"/>
  <c r="T394" i="2"/>
  <c r="AB425" i="2"/>
  <c r="X518" i="2"/>
  <c r="U349" i="2"/>
  <c r="T349" i="2"/>
  <c r="W349" i="2"/>
  <c r="V349" i="2"/>
  <c r="Y552" i="2"/>
  <c r="U286" i="2"/>
  <c r="T286" i="2"/>
  <c r="W286" i="2"/>
  <c r="V286" i="2"/>
  <c r="L391" i="2"/>
  <c r="V442" i="2"/>
  <c r="U442" i="2"/>
  <c r="T442" i="2"/>
  <c r="W442" i="2"/>
  <c r="Y530" i="2"/>
  <c r="AF543" i="2"/>
  <c r="AG543" i="2" s="1"/>
  <c r="AH543" i="2" s="1"/>
  <c r="AG409" i="2"/>
  <c r="AH409" i="2" s="1"/>
  <c r="AJ386" i="2"/>
  <c r="AJ342" i="2"/>
  <c r="AJ411" i="2"/>
  <c r="AB356" i="2"/>
  <c r="AF471" i="2"/>
  <c r="AF465" i="2"/>
  <c r="U351" i="2"/>
  <c r="T351" i="2"/>
  <c r="W351" i="2"/>
  <c r="V351" i="2"/>
  <c r="AC371" i="2"/>
  <c r="AD371" i="2" s="1"/>
  <c r="AF454" i="2"/>
  <c r="AC354" i="2"/>
  <c r="AD354" i="2" s="1"/>
  <c r="X412" i="2"/>
  <c r="AB386" i="2"/>
  <c r="X304" i="2"/>
  <c r="U376" i="2"/>
  <c r="T376" i="2"/>
  <c r="W376" i="2"/>
  <c r="V376" i="2"/>
  <c r="U357" i="2"/>
  <c r="T357" i="2"/>
  <c r="W357" i="2"/>
  <c r="V357" i="2"/>
  <c r="AK335" i="2"/>
  <c r="AL335" i="2" s="1"/>
  <c r="AF380" i="2"/>
  <c r="X360" i="2"/>
  <c r="L502" i="2"/>
  <c r="X373" i="2"/>
  <c r="U364" i="2"/>
  <c r="T364" i="2"/>
  <c r="W364" i="2"/>
  <c r="V364" i="2"/>
  <c r="Y531" i="2"/>
  <c r="AF363" i="2"/>
  <c r="AB347" i="2"/>
  <c r="AJ365" i="2"/>
  <c r="AF524" i="2"/>
  <c r="AG524" i="2" s="1"/>
  <c r="AH524" i="2" s="1"/>
  <c r="Y555" i="2"/>
  <c r="AF458" i="2"/>
  <c r="X287" i="2"/>
  <c r="X416" i="2"/>
  <c r="L472" i="2"/>
  <c r="K519" i="2" s="1"/>
  <c r="AF441" i="2"/>
  <c r="L417" i="2"/>
  <c r="K464" i="2" s="1"/>
  <c r="L513" i="2"/>
  <c r="K560" i="2" s="1"/>
  <c r="U345" i="2"/>
  <c r="T345" i="2"/>
  <c r="W345" i="2"/>
  <c r="V345" i="2"/>
  <c r="Y542" i="2"/>
  <c r="K340" i="2"/>
  <c r="Y525" i="2"/>
  <c r="W413" i="2"/>
  <c r="V413" i="2"/>
  <c r="U413" i="2"/>
  <c r="T413" i="2"/>
  <c r="K382" i="2"/>
  <c r="X302" i="2"/>
  <c r="X298" i="2"/>
  <c r="Y529" i="2"/>
  <c r="AB338" i="2"/>
  <c r="K398" i="2"/>
  <c r="X297" i="2"/>
  <c r="X353" i="2"/>
  <c r="AC368" i="2"/>
  <c r="AD368" i="2" s="1"/>
  <c r="L334" i="2"/>
  <c r="K381" i="2" s="1"/>
  <c r="AF515" i="2"/>
  <c r="AK320" i="2"/>
  <c r="AL320" i="2" s="1"/>
  <c r="L383" i="2"/>
  <c r="AB439" i="2"/>
  <c r="AF413" i="2"/>
  <c r="AJ419" i="2"/>
  <c r="AK378" i="2"/>
  <c r="AL378" i="2" s="1"/>
  <c r="X294" i="2"/>
  <c r="L565" i="2"/>
  <c r="AF422" i="2"/>
  <c r="K423" i="2"/>
  <c r="Y551" i="2"/>
  <c r="K404" i="2"/>
  <c r="Y544" i="2"/>
  <c r="Y532" i="2"/>
  <c r="X336" i="2"/>
  <c r="K432" i="2"/>
  <c r="X397" i="2"/>
  <c r="X307" i="2"/>
  <c r="X352" i="2"/>
  <c r="V455" i="2"/>
  <c r="U455" i="2"/>
  <c r="T455" i="2"/>
  <c r="W455" i="2"/>
  <c r="AK391" i="2"/>
  <c r="AL391" i="2" s="1"/>
  <c r="K411" i="2"/>
  <c r="AG370" i="2"/>
  <c r="AH370" i="2" s="1"/>
  <c r="AK377" i="2"/>
  <c r="AL377" i="2" s="1"/>
  <c r="AB453" i="2"/>
  <c r="AJ442" i="2"/>
  <c r="AF365" i="2"/>
  <c r="U425" i="2"/>
  <c r="W425" i="2"/>
  <c r="V425" i="2"/>
  <c r="T425" i="2"/>
  <c r="AB460" i="2"/>
  <c r="AF567" i="2"/>
  <c r="AG567" i="2" s="1"/>
  <c r="AH567" i="2" s="1"/>
  <c r="U370" i="2"/>
  <c r="T370" i="2"/>
  <c r="W370" i="2"/>
  <c r="V370" i="2"/>
  <c r="V466" i="2"/>
  <c r="U466" i="2"/>
  <c r="W466" i="2"/>
  <c r="T466" i="2"/>
  <c r="K392" i="2"/>
  <c r="AB387" i="2" l="1"/>
  <c r="V473" i="2"/>
  <c r="X315" i="2"/>
  <c r="L362" i="2"/>
  <c r="K409" i="2" s="1"/>
  <c r="AK287" i="2"/>
  <c r="AL287" i="2" s="1"/>
  <c r="K520" i="2"/>
  <c r="X426" i="2"/>
  <c r="AF452" i="2"/>
  <c r="AG452" i="2" s="1"/>
  <c r="AH452" i="2" s="1"/>
  <c r="AJ299" i="2"/>
  <c r="AC301" i="2"/>
  <c r="AD301" i="2" s="1"/>
  <c r="AB456" i="2"/>
  <c r="AC456" i="2" s="1"/>
  <c r="AD456" i="2" s="1"/>
  <c r="AF498" i="2"/>
  <c r="AG498" i="2" s="1"/>
  <c r="AH498" i="2" s="1"/>
  <c r="AK359" i="2"/>
  <c r="AL359" i="2" s="1"/>
  <c r="W473" i="2"/>
  <c r="AF433" i="2"/>
  <c r="AG433" i="2" s="1"/>
  <c r="AH433" i="2" s="1"/>
  <c r="X327" i="2"/>
  <c r="L555" i="2"/>
  <c r="W555" i="2" s="1"/>
  <c r="T473" i="2"/>
  <c r="L368" i="2"/>
  <c r="AB469" i="2"/>
  <c r="V321" i="2"/>
  <c r="W321" i="2"/>
  <c r="T321" i="2"/>
  <c r="U321" i="2"/>
  <c r="L421" i="2"/>
  <c r="U421" i="2" s="1"/>
  <c r="AB418" i="2"/>
  <c r="AC418" i="2" s="1"/>
  <c r="AD418" i="2" s="1"/>
  <c r="AJ437" i="2"/>
  <c r="AK437" i="2" s="1"/>
  <c r="AL437" i="2" s="1"/>
  <c r="X405" i="2"/>
  <c r="AF494" i="2"/>
  <c r="AG494" i="2" s="1"/>
  <c r="AH494" i="2" s="1"/>
  <c r="X293" i="2"/>
  <c r="AK405" i="2"/>
  <c r="AL405" i="2" s="1"/>
  <c r="AK347" i="2"/>
  <c r="AL347" i="2" s="1"/>
  <c r="AJ382" i="2"/>
  <c r="AK382" i="2" s="1"/>
  <c r="AL382" i="2" s="1"/>
  <c r="AB388" i="2"/>
  <c r="AC388" i="2" s="1"/>
  <c r="AD388" i="2" s="1"/>
  <c r="X343" i="2"/>
  <c r="T374" i="2"/>
  <c r="W374" i="2"/>
  <c r="V374" i="2"/>
  <c r="U374" i="2"/>
  <c r="Y568" i="2"/>
  <c r="C5" i="1" s="1"/>
  <c r="AJ425" i="2"/>
  <c r="AK425" i="2" s="1"/>
  <c r="AL425" i="2" s="1"/>
  <c r="AF481" i="2"/>
  <c r="AG481" i="2" s="1"/>
  <c r="AH481" i="2" s="1"/>
  <c r="X356" i="2"/>
  <c r="AB350" i="2"/>
  <c r="AJ450" i="2"/>
  <c r="AK450" i="2" s="1"/>
  <c r="AL450" i="2" s="1"/>
  <c r="X341" i="2"/>
  <c r="L402" i="2"/>
  <c r="L467" i="2"/>
  <c r="K514" i="2" s="1"/>
  <c r="L392" i="2"/>
  <c r="K439" i="2" s="1"/>
  <c r="AK442" i="2"/>
  <c r="AL442" i="2" s="1"/>
  <c r="AG422" i="2"/>
  <c r="AH422" i="2" s="1"/>
  <c r="AC439" i="2"/>
  <c r="AD439" i="2" s="1"/>
  <c r="AC338" i="2"/>
  <c r="AD338" i="2" s="1"/>
  <c r="L464" i="2"/>
  <c r="K511" i="2" s="1"/>
  <c r="L519" i="2"/>
  <c r="K566" i="2" s="1"/>
  <c r="AC347" i="2"/>
  <c r="AD347" i="2" s="1"/>
  <c r="AG408" i="2"/>
  <c r="AH408" i="2" s="1"/>
  <c r="L390" i="2"/>
  <c r="V460" i="2"/>
  <c r="U460" i="2"/>
  <c r="T460" i="2"/>
  <c r="W460" i="2"/>
  <c r="AG403" i="2"/>
  <c r="AH403" i="2" s="1"/>
  <c r="AC417" i="2"/>
  <c r="AD417" i="2" s="1"/>
  <c r="W403" i="2"/>
  <c r="V403" i="2"/>
  <c r="U403" i="2"/>
  <c r="T403" i="2"/>
  <c r="L457" i="2"/>
  <c r="L446" i="2"/>
  <c r="K493" i="2" s="1"/>
  <c r="V444" i="2"/>
  <c r="U444" i="2"/>
  <c r="T444" i="2"/>
  <c r="W444" i="2"/>
  <c r="AG406" i="2"/>
  <c r="AH406" i="2" s="1"/>
  <c r="L443" i="2"/>
  <c r="X466" i="2"/>
  <c r="U333" i="2"/>
  <c r="T333" i="2"/>
  <c r="W333" i="2"/>
  <c r="V333" i="2"/>
  <c r="AC460" i="2"/>
  <c r="AD460" i="2" s="1"/>
  <c r="L432" i="2"/>
  <c r="L423" i="2"/>
  <c r="K470" i="2" s="1"/>
  <c r="X413" i="2"/>
  <c r="L340" i="2"/>
  <c r="K387" i="2" s="1"/>
  <c r="AJ463" i="2"/>
  <c r="V472" i="2"/>
  <c r="U472" i="2"/>
  <c r="T472" i="2"/>
  <c r="W472" i="2"/>
  <c r="X364" i="2"/>
  <c r="AG380" i="2"/>
  <c r="AH380" i="2" s="1"/>
  <c r="AC386" i="2"/>
  <c r="AD386" i="2" s="1"/>
  <c r="AG454" i="2"/>
  <c r="AH454" i="2" s="1"/>
  <c r="AG471" i="2"/>
  <c r="AH471" i="2" s="1"/>
  <c r="AK342" i="2"/>
  <c r="AL342" i="2" s="1"/>
  <c r="AB412" i="2"/>
  <c r="X442" i="2"/>
  <c r="AJ501" i="2"/>
  <c r="AB416" i="2"/>
  <c r="AC425" i="2"/>
  <c r="AD425" i="2" s="1"/>
  <c r="X400" i="2"/>
  <c r="L339" i="2"/>
  <c r="K386" i="2" s="1"/>
  <c r="X344" i="2"/>
  <c r="X363" i="2"/>
  <c r="AB411" i="2"/>
  <c r="AC379" i="2"/>
  <c r="AD379" i="2" s="1"/>
  <c r="AG482" i="2"/>
  <c r="AH482" i="2" s="1"/>
  <c r="L389" i="2"/>
  <c r="AK439" i="2"/>
  <c r="AL439" i="2" s="1"/>
  <c r="AK418" i="2"/>
  <c r="AL418" i="2" s="1"/>
  <c r="AC383" i="2"/>
  <c r="AD383" i="2" s="1"/>
  <c r="K507" i="2"/>
  <c r="X292" i="2"/>
  <c r="K450" i="2"/>
  <c r="W410" i="2"/>
  <c r="V410" i="2"/>
  <c r="U410" i="2"/>
  <c r="T410" i="2"/>
  <c r="AB381" i="2"/>
  <c r="AB396" i="2"/>
  <c r="AB384" i="2"/>
  <c r="AF436" i="2"/>
  <c r="AJ470" i="2"/>
  <c r="W399" i="2"/>
  <c r="V399" i="2"/>
  <c r="U399" i="2"/>
  <c r="T399" i="2"/>
  <c r="K491" i="2"/>
  <c r="AB380" i="2"/>
  <c r="AG486" i="2"/>
  <c r="AH486" i="2" s="1"/>
  <c r="AC390" i="2"/>
  <c r="AD390" i="2" s="1"/>
  <c r="X335" i="2"/>
  <c r="W396" i="2"/>
  <c r="V396" i="2"/>
  <c r="U396" i="2"/>
  <c r="T396" i="2"/>
  <c r="V447" i="2"/>
  <c r="U447" i="2"/>
  <c r="T447" i="2"/>
  <c r="W447" i="2"/>
  <c r="AF467" i="2"/>
  <c r="V489" i="2"/>
  <c r="U489" i="2"/>
  <c r="T489" i="2"/>
  <c r="W489" i="2"/>
  <c r="X508" i="2"/>
  <c r="AC356" i="2"/>
  <c r="AD356" i="2" s="1"/>
  <c r="AK386" i="2"/>
  <c r="AL386" i="2" s="1"/>
  <c r="AG445" i="2"/>
  <c r="AH445" i="2" s="1"/>
  <c r="AC421" i="2"/>
  <c r="AD421" i="2" s="1"/>
  <c r="L406" i="2"/>
  <c r="K453" i="2" s="1"/>
  <c r="W420" i="2"/>
  <c r="V420" i="2"/>
  <c r="U420" i="2"/>
  <c r="T420" i="2"/>
  <c r="AG396" i="2"/>
  <c r="AH396" i="2" s="1"/>
  <c r="U355" i="2"/>
  <c r="T355" i="2"/>
  <c r="W355" i="2"/>
  <c r="V355" i="2"/>
  <c r="L494" i="2"/>
  <c r="K541" i="2" s="1"/>
  <c r="L536" i="2"/>
  <c r="AC453" i="2"/>
  <c r="AD453" i="2" s="1"/>
  <c r="AJ438" i="2"/>
  <c r="AB445" i="2"/>
  <c r="AB436" i="2"/>
  <c r="AB493" i="2"/>
  <c r="V565" i="2"/>
  <c r="U565" i="2"/>
  <c r="T565" i="2"/>
  <c r="W565" i="2"/>
  <c r="AK419" i="2"/>
  <c r="AL419" i="2" s="1"/>
  <c r="U383" i="2"/>
  <c r="T383" i="2"/>
  <c r="W383" i="2"/>
  <c r="V383" i="2"/>
  <c r="AJ367" i="2"/>
  <c r="L381" i="2"/>
  <c r="K428" i="2" s="1"/>
  <c r="L382" i="2"/>
  <c r="AJ451" i="2"/>
  <c r="AB391" i="2"/>
  <c r="X345" i="2"/>
  <c r="L560" i="2"/>
  <c r="AG441" i="2"/>
  <c r="AH441" i="2" s="1"/>
  <c r="AG363" i="2"/>
  <c r="AH363" i="2" s="1"/>
  <c r="T502" i="2"/>
  <c r="W502" i="2"/>
  <c r="U502" i="2"/>
  <c r="V502" i="2"/>
  <c r="AB401" i="2"/>
  <c r="AG465" i="2"/>
  <c r="AH465" i="2" s="1"/>
  <c r="AK411" i="2"/>
  <c r="AL411" i="2" s="1"/>
  <c r="AJ383" i="2"/>
  <c r="AF479" i="2"/>
  <c r="V391" i="2"/>
  <c r="W391" i="2"/>
  <c r="U391" i="2"/>
  <c r="T391" i="2"/>
  <c r="X286" i="2"/>
  <c r="L452" i="2"/>
  <c r="K499" i="2" s="1"/>
  <c r="AB461" i="2"/>
  <c r="AB420" i="2"/>
  <c r="AJ417" i="2"/>
  <c r="AJ408" i="2"/>
  <c r="AJ456" i="2"/>
  <c r="L510" i="2"/>
  <c r="K557" i="2" s="1"/>
  <c r="U324" i="2"/>
  <c r="T324" i="2"/>
  <c r="W324" i="2"/>
  <c r="V324" i="2"/>
  <c r="AK399" i="2"/>
  <c r="AL399" i="2" s="1"/>
  <c r="AC440" i="2"/>
  <c r="AD440" i="2" s="1"/>
  <c r="X290" i="2"/>
  <c r="AG381" i="2"/>
  <c r="AH381" i="2" s="1"/>
  <c r="AB457" i="2"/>
  <c r="L516" i="2"/>
  <c r="K563" i="2" s="1"/>
  <c r="AJ449" i="2"/>
  <c r="AC387" i="2"/>
  <c r="AD387" i="2" s="1"/>
  <c r="U354" i="2"/>
  <c r="T354" i="2"/>
  <c r="W354" i="2"/>
  <c r="V354" i="2"/>
  <c r="AJ478" i="2"/>
  <c r="X342" i="2"/>
  <c r="L384" i="2"/>
  <c r="K431" i="2" s="1"/>
  <c r="AJ397" i="2"/>
  <c r="L487" i="2"/>
  <c r="K534" i="2" s="1"/>
  <c r="W407" i="2"/>
  <c r="V407" i="2"/>
  <c r="U407" i="2"/>
  <c r="T407" i="2"/>
  <c r="AC377" i="2"/>
  <c r="AD377" i="2" s="1"/>
  <c r="AC407" i="2"/>
  <c r="AD407" i="2" s="1"/>
  <c r="AB400" i="2"/>
  <c r="AK363" i="2"/>
  <c r="AL363" i="2" s="1"/>
  <c r="V441" i="2"/>
  <c r="U441" i="2"/>
  <c r="T441" i="2"/>
  <c r="W441" i="2"/>
  <c r="AJ400" i="2"/>
  <c r="X359" i="2"/>
  <c r="L553" i="2"/>
  <c r="AF429" i="2"/>
  <c r="AF417" i="2"/>
  <c r="AG413" i="2"/>
  <c r="AH413" i="2" s="1"/>
  <c r="AG515" i="2"/>
  <c r="AH515" i="2" s="1"/>
  <c r="L398" i="2"/>
  <c r="K445" i="2" s="1"/>
  <c r="AB470" i="2"/>
  <c r="W417" i="2"/>
  <c r="V417" i="2"/>
  <c r="U417" i="2"/>
  <c r="T417" i="2"/>
  <c r="X370" i="2"/>
  <c r="X425" i="2"/>
  <c r="AG365" i="2"/>
  <c r="AH365" i="2" s="1"/>
  <c r="AJ424" i="2"/>
  <c r="L411" i="2"/>
  <c r="K458" i="2" s="1"/>
  <c r="X455" i="2"/>
  <c r="L520" i="2"/>
  <c r="K567" i="2" s="1"/>
  <c r="AB419" i="2"/>
  <c r="L404" i="2"/>
  <c r="K451" i="2" s="1"/>
  <c r="K430" i="2"/>
  <c r="U334" i="2"/>
  <c r="T334" i="2"/>
  <c r="W334" i="2"/>
  <c r="V334" i="2"/>
  <c r="AB415" i="2"/>
  <c r="AJ379" i="2"/>
  <c r="AJ509" i="2"/>
  <c r="AF416" i="2"/>
  <c r="U513" i="2"/>
  <c r="T513" i="2"/>
  <c r="W513" i="2"/>
  <c r="V513" i="2"/>
  <c r="AG458" i="2"/>
  <c r="AH458" i="2" s="1"/>
  <c r="AK365" i="2"/>
  <c r="AL365" i="2" s="1"/>
  <c r="K549" i="2"/>
  <c r="X357" i="2"/>
  <c r="X376" i="2"/>
  <c r="X351" i="2"/>
  <c r="AF555" i="2"/>
  <c r="AG555" i="2" s="1"/>
  <c r="AH555" i="2" s="1"/>
  <c r="AF456" i="2"/>
  <c r="AJ398" i="2"/>
  <c r="K438" i="2"/>
  <c r="X349" i="2"/>
  <c r="X394" i="2"/>
  <c r="AK385" i="2"/>
  <c r="AL385" i="2" s="1"/>
  <c r="AG376" i="2"/>
  <c r="AH376" i="2" s="1"/>
  <c r="AJ396" i="2"/>
  <c r="V463" i="2"/>
  <c r="U463" i="2"/>
  <c r="W463" i="2"/>
  <c r="T463" i="2"/>
  <c r="AC361" i="2"/>
  <c r="AD361" i="2" s="1"/>
  <c r="K371" i="2"/>
  <c r="X459" i="2"/>
  <c r="L388" i="2"/>
  <c r="K435" i="2" s="1"/>
  <c r="AC402" i="2"/>
  <c r="AD402" i="2" s="1"/>
  <c r="AK474" i="2"/>
  <c r="AL474" i="2" s="1"/>
  <c r="AK460" i="2"/>
  <c r="AL460" i="2" s="1"/>
  <c r="X385" i="2"/>
  <c r="V469" i="2"/>
  <c r="U469" i="2"/>
  <c r="T469" i="2"/>
  <c r="W469" i="2"/>
  <c r="AF478" i="2"/>
  <c r="AJ373" i="2"/>
  <c r="AK387" i="2"/>
  <c r="AL387" i="2" s="1"/>
  <c r="AG448" i="2"/>
  <c r="AH448" i="2" s="1"/>
  <c r="K401" i="2"/>
  <c r="AF532" i="2"/>
  <c r="AG532" i="2" s="1"/>
  <c r="AH532" i="2" s="1"/>
  <c r="U337" i="2"/>
  <c r="T337" i="2"/>
  <c r="W337" i="2"/>
  <c r="V337" i="2"/>
  <c r="AB405" i="2"/>
  <c r="AJ421" i="2"/>
  <c r="V440" i="2"/>
  <c r="U440" i="2"/>
  <c r="T440" i="2"/>
  <c r="W440" i="2"/>
  <c r="K454" i="2"/>
  <c r="AB404" i="2"/>
  <c r="AJ469" i="2"/>
  <c r="AC335" i="2"/>
  <c r="AD335" i="2" s="1"/>
  <c r="K488" i="2"/>
  <c r="AF444" i="2"/>
  <c r="U506" i="2"/>
  <c r="T506" i="2"/>
  <c r="W506" i="2"/>
  <c r="V506" i="2"/>
  <c r="AF509" i="2"/>
  <c r="K380" i="2"/>
  <c r="X473" i="2" l="1"/>
  <c r="L409" i="2"/>
  <c r="U362" i="2"/>
  <c r="T362" i="2"/>
  <c r="W362" i="2"/>
  <c r="V362" i="2"/>
  <c r="AJ334" i="2"/>
  <c r="AF499" i="2"/>
  <c r="AG499" i="2" s="1"/>
  <c r="AH499" i="2" s="1"/>
  <c r="W421" i="2"/>
  <c r="V555" i="2"/>
  <c r="V421" i="2"/>
  <c r="K468" i="2"/>
  <c r="T421" i="2"/>
  <c r="AK299" i="2"/>
  <c r="AL299" i="2" s="1"/>
  <c r="AJ433" i="2"/>
  <c r="AK433" i="2" s="1"/>
  <c r="AL433" i="2" s="1"/>
  <c r="AB348" i="2"/>
  <c r="U555" i="2"/>
  <c r="T555" i="2"/>
  <c r="AC469" i="2"/>
  <c r="AD469" i="2" s="1"/>
  <c r="V368" i="2"/>
  <c r="U368" i="2"/>
  <c r="T368" i="2"/>
  <c r="W368" i="2"/>
  <c r="AF518" i="2"/>
  <c r="AG518" i="2" s="1"/>
  <c r="AH518" i="2" s="1"/>
  <c r="X321" i="2"/>
  <c r="AB449" i="2"/>
  <c r="AC449" i="2" s="1"/>
  <c r="AJ458" i="2"/>
  <c r="AK458" i="2" s="1"/>
  <c r="AL458" i="2" s="1"/>
  <c r="AF428" i="2"/>
  <c r="AG428" i="2" s="1"/>
  <c r="AH428" i="2" s="1"/>
  <c r="AJ446" i="2"/>
  <c r="AF545" i="2"/>
  <c r="AG545" i="2" s="1"/>
  <c r="AH545" i="2" s="1"/>
  <c r="K415" i="2"/>
  <c r="AJ406" i="2"/>
  <c r="AK406" i="2" s="1"/>
  <c r="AL406" i="2" s="1"/>
  <c r="X374" i="2"/>
  <c r="AJ521" i="2"/>
  <c r="AK521" i="2" s="1"/>
  <c r="AL521" i="2" s="1"/>
  <c r="AJ432" i="2"/>
  <c r="AK432" i="2" s="1"/>
  <c r="AL432" i="2" s="1"/>
  <c r="X513" i="2"/>
  <c r="AB454" i="2"/>
  <c r="AB434" i="2"/>
  <c r="AC434" i="2" s="1"/>
  <c r="AD434" i="2" s="1"/>
  <c r="AF492" i="2"/>
  <c r="AG492" i="2" s="1"/>
  <c r="AH492" i="2" s="1"/>
  <c r="AB472" i="2"/>
  <c r="AC472" i="2" s="1"/>
  <c r="AD472" i="2" s="1"/>
  <c r="X333" i="2"/>
  <c r="AF480" i="2"/>
  <c r="AG480" i="2" s="1"/>
  <c r="AH480" i="2" s="1"/>
  <c r="AC350" i="2"/>
  <c r="AD350" i="2" s="1"/>
  <c r="X403" i="2"/>
  <c r="AF528" i="2"/>
  <c r="AG528" i="2" s="1"/>
  <c r="AH528" i="2" s="1"/>
  <c r="AJ472" i="2"/>
  <c r="AK472" i="2" s="1"/>
  <c r="AL472" i="2" s="1"/>
  <c r="AF495" i="2"/>
  <c r="AG495" i="2" s="1"/>
  <c r="AH495" i="2" s="1"/>
  <c r="AF460" i="2"/>
  <c r="AG460" i="2" s="1"/>
  <c r="AH460" i="2" s="1"/>
  <c r="X441" i="2"/>
  <c r="AJ410" i="2"/>
  <c r="AK410" i="2" s="1"/>
  <c r="AL410" i="2" s="1"/>
  <c r="AF410" i="2"/>
  <c r="AB437" i="2"/>
  <c r="AC437" i="2" s="1"/>
  <c r="AD437" i="2" s="1"/>
  <c r="X399" i="2"/>
  <c r="AF455" i="2"/>
  <c r="AG455" i="2" s="1"/>
  <c r="AH455" i="2" s="1"/>
  <c r="AB385" i="2"/>
  <c r="AC385" i="2" s="1"/>
  <c r="AD385" i="2" s="1"/>
  <c r="AJ394" i="2"/>
  <c r="AJ412" i="2"/>
  <c r="AK412" i="2" s="1"/>
  <c r="AL412" i="2" s="1"/>
  <c r="AB382" i="2"/>
  <c r="AC382" i="2" s="1"/>
  <c r="AD382" i="2" s="1"/>
  <c r="AJ466" i="2"/>
  <c r="AK466" i="2" s="1"/>
  <c r="AL466" i="2" s="1"/>
  <c r="AF443" i="2"/>
  <c r="AG443" i="2" s="1"/>
  <c r="AH443" i="2" s="1"/>
  <c r="AB465" i="2"/>
  <c r="AC465" i="2" s="1"/>
  <c r="AD465" i="2" s="1"/>
  <c r="X489" i="2"/>
  <c r="AJ486" i="2"/>
  <c r="AK486" i="2" s="1"/>
  <c r="AL486" i="2" s="1"/>
  <c r="AF529" i="2"/>
  <c r="AG529" i="2" s="1"/>
  <c r="AH529" i="2" s="1"/>
  <c r="AB433" i="2"/>
  <c r="AC433" i="2" s="1"/>
  <c r="AD433" i="2" s="1"/>
  <c r="AJ452" i="2"/>
  <c r="AK452" i="2" s="1"/>
  <c r="AL452" i="2" s="1"/>
  <c r="L435" i="2"/>
  <c r="L428" i="2"/>
  <c r="K475" i="2" s="1"/>
  <c r="AC419" i="2"/>
  <c r="AD419" i="2" s="1"/>
  <c r="AK424" i="2"/>
  <c r="AL424" i="2" s="1"/>
  <c r="L563" i="2"/>
  <c r="L371" i="2"/>
  <c r="K418" i="2" s="1"/>
  <c r="L431" i="2"/>
  <c r="K478" i="2" s="1"/>
  <c r="AG410" i="2"/>
  <c r="AH410" i="2" s="1"/>
  <c r="U382" i="2"/>
  <c r="T382" i="2"/>
  <c r="W382" i="2"/>
  <c r="V382" i="2"/>
  <c r="AK438" i="2"/>
  <c r="AL438" i="2" s="1"/>
  <c r="AK470" i="2"/>
  <c r="AL470" i="2" s="1"/>
  <c r="AC381" i="2"/>
  <c r="AD381" i="2" s="1"/>
  <c r="V389" i="2"/>
  <c r="T389" i="2"/>
  <c r="W389" i="2"/>
  <c r="U389" i="2"/>
  <c r="L386" i="2"/>
  <c r="K433" i="2" s="1"/>
  <c r="AC416" i="2"/>
  <c r="AD416" i="2" s="1"/>
  <c r="AK463" i="2"/>
  <c r="AL463" i="2" s="1"/>
  <c r="V432" i="2"/>
  <c r="U432" i="2"/>
  <c r="T432" i="2"/>
  <c r="W432" i="2"/>
  <c r="L493" i="2"/>
  <c r="K540" i="2" s="1"/>
  <c r="V390" i="2"/>
  <c r="W390" i="2"/>
  <c r="U390" i="2"/>
  <c r="T390" i="2"/>
  <c r="L511" i="2"/>
  <c r="K558" i="2" s="1"/>
  <c r="L514" i="2"/>
  <c r="K561" i="2" s="1"/>
  <c r="AG444" i="2"/>
  <c r="AH444" i="2" s="1"/>
  <c r="AK469" i="2"/>
  <c r="AL469" i="2" s="1"/>
  <c r="L454" i="2"/>
  <c r="L401" i="2"/>
  <c r="K448" i="2" s="1"/>
  <c r="AJ434" i="2"/>
  <c r="X469" i="2"/>
  <c r="AF423" i="2"/>
  <c r="L549" i="2"/>
  <c r="AF505" i="2"/>
  <c r="W404" i="2"/>
  <c r="V404" i="2"/>
  <c r="U404" i="2"/>
  <c r="T404" i="2"/>
  <c r="U520" i="2"/>
  <c r="W520" i="2"/>
  <c r="T520" i="2"/>
  <c r="V520" i="2"/>
  <c r="W411" i="2"/>
  <c r="V411" i="2"/>
  <c r="U411" i="2"/>
  <c r="T411" i="2"/>
  <c r="X417" i="2"/>
  <c r="AC470" i="2"/>
  <c r="AD470" i="2" s="1"/>
  <c r="AG417" i="2"/>
  <c r="AH417" i="2" s="1"/>
  <c r="AC400" i="2"/>
  <c r="AD400" i="2" s="1"/>
  <c r="AB424" i="2"/>
  <c r="AK397" i="2"/>
  <c r="AL397" i="2" s="1"/>
  <c r="X354" i="2"/>
  <c r="AK449" i="2"/>
  <c r="AL449" i="2" s="1"/>
  <c r="AC457" i="2"/>
  <c r="AD457" i="2" s="1"/>
  <c r="U510" i="2"/>
  <c r="T510" i="2"/>
  <c r="W510" i="2"/>
  <c r="V510" i="2"/>
  <c r="AK408" i="2"/>
  <c r="AL408" i="2" s="1"/>
  <c r="V452" i="2"/>
  <c r="U452" i="2"/>
  <c r="T452" i="2"/>
  <c r="W452" i="2"/>
  <c r="X391" i="2"/>
  <c r="AG479" i="2"/>
  <c r="AH479" i="2" s="1"/>
  <c r="X383" i="2"/>
  <c r="AC493" i="2"/>
  <c r="AD493" i="2" s="1"/>
  <c r="X355" i="2"/>
  <c r="X420" i="2"/>
  <c r="W406" i="2"/>
  <c r="V406" i="2"/>
  <c r="U406" i="2"/>
  <c r="T406" i="2"/>
  <c r="AB468" i="2"/>
  <c r="AJ484" i="2"/>
  <c r="AB403" i="2"/>
  <c r="AJ429" i="2"/>
  <c r="X396" i="2"/>
  <c r="AF533" i="2"/>
  <c r="AG533" i="2" s="1"/>
  <c r="AH533" i="2" s="1"/>
  <c r="AG436" i="2"/>
  <c r="AH436" i="2" s="1"/>
  <c r="X410" i="2"/>
  <c r="L450" i="2"/>
  <c r="K497" i="2" s="1"/>
  <c r="AB430" i="2"/>
  <c r="AJ465" i="2"/>
  <c r="AK501" i="2"/>
  <c r="AL501" i="2" s="1"/>
  <c r="AJ389" i="2"/>
  <c r="AF501" i="2"/>
  <c r="AF427" i="2"/>
  <c r="X472" i="2"/>
  <c r="U340" i="2"/>
  <c r="T340" i="2"/>
  <c r="W340" i="2"/>
  <c r="V340" i="2"/>
  <c r="W423" i="2"/>
  <c r="V423" i="2"/>
  <c r="U423" i="2"/>
  <c r="T423" i="2"/>
  <c r="AB507" i="2"/>
  <c r="V443" i="2"/>
  <c r="U443" i="2"/>
  <c r="T443" i="2"/>
  <c r="W443" i="2"/>
  <c r="AF453" i="2"/>
  <c r="V457" i="2"/>
  <c r="U457" i="2"/>
  <c r="T457" i="2"/>
  <c r="W457" i="2"/>
  <c r="AB464" i="2"/>
  <c r="X460" i="2"/>
  <c r="L566" i="2"/>
  <c r="L439" i="2"/>
  <c r="K486" i="2" s="1"/>
  <c r="W402" i="2"/>
  <c r="V402" i="2"/>
  <c r="U402" i="2"/>
  <c r="T402" i="2"/>
  <c r="L488" i="2"/>
  <c r="K535" i="2" s="1"/>
  <c r="AC404" i="2"/>
  <c r="AD404" i="2" s="1"/>
  <c r="AK421" i="2"/>
  <c r="AL421" i="2" s="1"/>
  <c r="X337" i="2"/>
  <c r="AK373" i="2"/>
  <c r="AL373" i="2" s="1"/>
  <c r="AJ507" i="2"/>
  <c r="AB408" i="2"/>
  <c r="L438" i="2"/>
  <c r="K485" i="2" s="1"/>
  <c r="AG416" i="2"/>
  <c r="AH416" i="2" s="1"/>
  <c r="X334" i="2"/>
  <c r="AF412" i="2"/>
  <c r="W398" i="2"/>
  <c r="V398" i="2"/>
  <c r="U398" i="2"/>
  <c r="T398" i="2"/>
  <c r="AF562" i="2"/>
  <c r="AG562" i="2" s="1"/>
  <c r="AH562" i="2" s="1"/>
  <c r="AG429" i="2"/>
  <c r="AH429" i="2" s="1"/>
  <c r="AK400" i="2"/>
  <c r="AL400" i="2" s="1"/>
  <c r="X407" i="2"/>
  <c r="V487" i="2"/>
  <c r="U487" i="2"/>
  <c r="T487" i="2"/>
  <c r="W487" i="2"/>
  <c r="U384" i="2"/>
  <c r="T384" i="2"/>
  <c r="W384" i="2"/>
  <c r="V384" i="2"/>
  <c r="AK478" i="2"/>
  <c r="AL478" i="2" s="1"/>
  <c r="U516" i="2"/>
  <c r="W516" i="2"/>
  <c r="V516" i="2"/>
  <c r="T516" i="2"/>
  <c r="AB487" i="2"/>
  <c r="AK417" i="2"/>
  <c r="AL417" i="2" s="1"/>
  <c r="AK383" i="2"/>
  <c r="AL383" i="2" s="1"/>
  <c r="AF512" i="2"/>
  <c r="X502" i="2"/>
  <c r="AF488" i="2"/>
  <c r="AC391" i="2"/>
  <c r="AD391" i="2" s="1"/>
  <c r="K429" i="2"/>
  <c r="AK367" i="2"/>
  <c r="AL367" i="2" s="1"/>
  <c r="X565" i="2"/>
  <c r="AC436" i="2"/>
  <c r="AD436" i="2" s="1"/>
  <c r="AB500" i="2"/>
  <c r="V494" i="2"/>
  <c r="U494" i="2"/>
  <c r="T494" i="2"/>
  <c r="W494" i="2"/>
  <c r="AJ497" i="2"/>
  <c r="AB503" i="2"/>
  <c r="X447" i="2"/>
  <c r="AC380" i="2"/>
  <c r="AD380" i="2" s="1"/>
  <c r="AC384" i="2"/>
  <c r="AD384" i="2" s="1"/>
  <c r="K436" i="2"/>
  <c r="AB426" i="2"/>
  <c r="U339" i="2"/>
  <c r="T339" i="2"/>
  <c r="W339" i="2"/>
  <c r="V339" i="2"/>
  <c r="K479" i="2"/>
  <c r="V446" i="2"/>
  <c r="U446" i="2"/>
  <c r="T446" i="2"/>
  <c r="W446" i="2"/>
  <c r="AF541" i="2"/>
  <c r="AG541" i="2" s="1"/>
  <c r="AH541" i="2" s="1"/>
  <c r="K437" i="2"/>
  <c r="AB435" i="2"/>
  <c r="AB394" i="2"/>
  <c r="V464" i="2"/>
  <c r="U464" i="2"/>
  <c r="T464" i="2"/>
  <c r="W464" i="2"/>
  <c r="AB486" i="2"/>
  <c r="AF469" i="2"/>
  <c r="AJ489" i="2"/>
  <c r="V467" i="2"/>
  <c r="U467" i="2"/>
  <c r="W467" i="2"/>
  <c r="T467" i="2"/>
  <c r="AG509" i="2"/>
  <c r="AH509" i="2" s="1"/>
  <c r="V388" i="2"/>
  <c r="U388" i="2"/>
  <c r="T388" i="2"/>
  <c r="W388" i="2"/>
  <c r="AG456" i="2"/>
  <c r="AH456" i="2" s="1"/>
  <c r="AK379" i="2"/>
  <c r="AL379" i="2" s="1"/>
  <c r="L430" i="2"/>
  <c r="L445" i="2"/>
  <c r="K492" i="2" s="1"/>
  <c r="L534" i="2"/>
  <c r="AK446" i="2"/>
  <c r="AL446" i="2" s="1"/>
  <c r="AK456" i="2"/>
  <c r="AL456" i="2" s="1"/>
  <c r="AC461" i="2"/>
  <c r="AD461" i="2" s="1"/>
  <c r="T536" i="2"/>
  <c r="W536" i="2"/>
  <c r="U536" i="2"/>
  <c r="V536" i="2"/>
  <c r="L541" i="2"/>
  <c r="L380" i="2"/>
  <c r="X506" i="2"/>
  <c r="X440" i="2"/>
  <c r="AC405" i="2"/>
  <c r="AD405" i="2" s="1"/>
  <c r="AG478" i="2"/>
  <c r="AH478" i="2" s="1"/>
  <c r="X463" i="2"/>
  <c r="AK396" i="2"/>
  <c r="AL396" i="2" s="1"/>
  <c r="AK398" i="2"/>
  <c r="AL398" i="2" s="1"/>
  <c r="AK509" i="2"/>
  <c r="AL509" i="2" s="1"/>
  <c r="AC415" i="2"/>
  <c r="AD415" i="2" s="1"/>
  <c r="L451" i="2"/>
  <c r="K498" i="2" s="1"/>
  <c r="L567" i="2"/>
  <c r="L458" i="2"/>
  <c r="K505" i="2" s="1"/>
  <c r="V553" i="2"/>
  <c r="T553" i="2"/>
  <c r="W553" i="2"/>
  <c r="U553" i="2"/>
  <c r="AC454" i="2"/>
  <c r="AD454" i="2" s="1"/>
  <c r="X324" i="2"/>
  <c r="L557" i="2"/>
  <c r="AC420" i="2"/>
  <c r="AD420" i="2" s="1"/>
  <c r="L499" i="2"/>
  <c r="K546" i="2" s="1"/>
  <c r="AC401" i="2"/>
  <c r="AD401" i="2" s="1"/>
  <c r="W560" i="2"/>
  <c r="V560" i="2"/>
  <c r="U560" i="2"/>
  <c r="T560" i="2"/>
  <c r="AK451" i="2"/>
  <c r="AL451" i="2" s="1"/>
  <c r="U381" i="2"/>
  <c r="T381" i="2"/>
  <c r="W381" i="2"/>
  <c r="V381" i="2"/>
  <c r="AC445" i="2"/>
  <c r="AD445" i="2" s="1"/>
  <c r="L453" i="2"/>
  <c r="AG467" i="2"/>
  <c r="AH467" i="2" s="1"/>
  <c r="L491" i="2"/>
  <c r="AC396" i="2"/>
  <c r="AD396" i="2" s="1"/>
  <c r="L507" i="2"/>
  <c r="K554" i="2" s="1"/>
  <c r="AC411" i="2"/>
  <c r="AD411" i="2" s="1"/>
  <c r="AC412" i="2"/>
  <c r="AD412" i="2" s="1"/>
  <c r="L387" i="2"/>
  <c r="K434" i="2" s="1"/>
  <c r="L470" i="2"/>
  <c r="K517" i="2" s="1"/>
  <c r="K490" i="2"/>
  <c r="X444" i="2"/>
  <c r="K504" i="2"/>
  <c r="AF450" i="2"/>
  <c r="U519" i="2"/>
  <c r="W519" i="2"/>
  <c r="V519" i="2"/>
  <c r="T519" i="2"/>
  <c r="W392" i="2"/>
  <c r="V392" i="2"/>
  <c r="U392" i="2"/>
  <c r="T392" i="2"/>
  <c r="K449" i="2"/>
  <c r="AJ499" i="2" l="1"/>
  <c r="X362" i="2"/>
  <c r="K456" i="2"/>
  <c r="T409" i="2"/>
  <c r="V409" i="2"/>
  <c r="W409" i="2"/>
  <c r="U409" i="2"/>
  <c r="AK334" i="2"/>
  <c r="AL334" i="2" s="1"/>
  <c r="X421" i="2"/>
  <c r="L468" i="2"/>
  <c r="U468" i="2" s="1"/>
  <c r="AJ453" i="2"/>
  <c r="AK453" i="2" s="1"/>
  <c r="AL453" i="2" s="1"/>
  <c r="AF546" i="2"/>
  <c r="AG546" i="2" s="1"/>
  <c r="AH546" i="2" s="1"/>
  <c r="X555" i="2"/>
  <c r="AB516" i="2"/>
  <c r="AC516" i="2" s="1"/>
  <c r="AD516" i="2" s="1"/>
  <c r="AJ346" i="2"/>
  <c r="AF565" i="2"/>
  <c r="AG565" i="2" s="1"/>
  <c r="AH565" i="2" s="1"/>
  <c r="AC348" i="2"/>
  <c r="AD348" i="2" s="1"/>
  <c r="AF457" i="2"/>
  <c r="AG457" i="2" s="1"/>
  <c r="AH457" i="2" s="1"/>
  <c r="AD449" i="2"/>
  <c r="AB496" i="2"/>
  <c r="AC496" i="2" s="1"/>
  <c r="AD496" i="2" s="1"/>
  <c r="AB466" i="2"/>
  <c r="AC466" i="2" s="1"/>
  <c r="AD466" i="2" s="1"/>
  <c r="X368" i="2"/>
  <c r="AB438" i="2"/>
  <c r="AC438" i="2" s="1"/>
  <c r="AD438" i="2" s="1"/>
  <c r="X452" i="2"/>
  <c r="AJ455" i="2"/>
  <c r="AK455" i="2" s="1"/>
  <c r="AL455" i="2" s="1"/>
  <c r="L415" i="2"/>
  <c r="K462" i="2" s="1"/>
  <c r="AJ533" i="2"/>
  <c r="AK533" i="2" s="1"/>
  <c r="AL533" i="2" s="1"/>
  <c r="AB519" i="2"/>
  <c r="AC519" i="2" s="1"/>
  <c r="AD519" i="2" s="1"/>
  <c r="AB484" i="2"/>
  <c r="X381" i="2"/>
  <c r="AF542" i="2"/>
  <c r="AG542" i="2" s="1"/>
  <c r="AH542" i="2" s="1"/>
  <c r="X467" i="2"/>
  <c r="AJ464" i="2"/>
  <c r="AK464" i="2" s="1"/>
  <c r="AL464" i="2" s="1"/>
  <c r="AJ468" i="2"/>
  <c r="AK468" i="2" s="1"/>
  <c r="AL468" i="2" s="1"/>
  <c r="AJ496" i="2"/>
  <c r="AK496" i="2" s="1"/>
  <c r="AL496" i="2" s="1"/>
  <c r="AB432" i="2"/>
  <c r="AC432" i="2" s="1"/>
  <c r="AD432" i="2" s="1"/>
  <c r="X432" i="2"/>
  <c r="AJ510" i="2"/>
  <c r="AK510" i="2" s="1"/>
  <c r="AL510" i="2" s="1"/>
  <c r="AJ485" i="2"/>
  <c r="AK485" i="2" s="1"/>
  <c r="AL485" i="2" s="1"/>
  <c r="AF539" i="2"/>
  <c r="AG539" i="2" s="1"/>
  <c r="AH539" i="2" s="1"/>
  <c r="AF476" i="2"/>
  <c r="AG476" i="2" s="1"/>
  <c r="AH476" i="2" s="1"/>
  <c r="X411" i="2"/>
  <c r="X404" i="2"/>
  <c r="X390" i="2"/>
  <c r="AB481" i="2"/>
  <c r="AK394" i="2"/>
  <c r="AL394" i="2" s="1"/>
  <c r="AB512" i="2"/>
  <c r="AC512" i="2" s="1"/>
  <c r="AD512" i="2" s="1"/>
  <c r="X560" i="2"/>
  <c r="X553" i="2"/>
  <c r="AB427" i="2"/>
  <c r="AC427" i="2" s="1"/>
  <c r="AD427" i="2" s="1"/>
  <c r="AJ548" i="2"/>
  <c r="AK548" i="2" s="1"/>
  <c r="AL548" i="2" s="1"/>
  <c r="AF483" i="2"/>
  <c r="AG483" i="2" s="1"/>
  <c r="AH483" i="2" s="1"/>
  <c r="AJ444" i="2"/>
  <c r="AK444" i="2" s="1"/>
  <c r="AL444" i="2" s="1"/>
  <c r="AF464" i="2"/>
  <c r="AG464" i="2" s="1"/>
  <c r="AH464" i="2" s="1"/>
  <c r="X389" i="2"/>
  <c r="AB397" i="2"/>
  <c r="AC397" i="2" s="1"/>
  <c r="AD397" i="2" s="1"/>
  <c r="L561" i="2"/>
  <c r="L434" i="2"/>
  <c r="K481" i="2" s="1"/>
  <c r="AC484" i="2"/>
  <c r="AD484" i="2" s="1"/>
  <c r="L505" i="2"/>
  <c r="W541" i="2"/>
  <c r="V541" i="2"/>
  <c r="U541" i="2"/>
  <c r="T541" i="2"/>
  <c r="T534" i="2"/>
  <c r="W534" i="2"/>
  <c r="U534" i="2"/>
  <c r="V534" i="2"/>
  <c r="L436" i="2"/>
  <c r="AC464" i="2"/>
  <c r="AD464" i="2" s="1"/>
  <c r="AG427" i="2"/>
  <c r="AH427" i="2" s="1"/>
  <c r="AC424" i="2"/>
  <c r="AD424" i="2" s="1"/>
  <c r="AG505" i="2"/>
  <c r="AH505" i="2" s="1"/>
  <c r="AG423" i="2"/>
  <c r="AH423" i="2" s="1"/>
  <c r="L418" i="2"/>
  <c r="AC481" i="2"/>
  <c r="AD481" i="2" s="1"/>
  <c r="L475" i="2"/>
  <c r="K522" i="2" s="1"/>
  <c r="L517" i="2"/>
  <c r="L554" i="2"/>
  <c r="L498" i="2"/>
  <c r="K545" i="2" s="1"/>
  <c r="AJ556" i="2"/>
  <c r="AK556" i="2" s="1"/>
  <c r="AL556" i="2" s="1"/>
  <c r="AJ445" i="2"/>
  <c r="AJ443" i="2"/>
  <c r="X536" i="2"/>
  <c r="X388" i="2"/>
  <c r="AB429" i="2"/>
  <c r="AG469" i="2"/>
  <c r="AH469" i="2" s="1"/>
  <c r="X339" i="2"/>
  <c r="X494" i="2"/>
  <c r="AJ414" i="2"/>
  <c r="AG488" i="2"/>
  <c r="AH488" i="2" s="1"/>
  <c r="AC487" i="2"/>
  <c r="AD487" i="2" s="1"/>
  <c r="X487" i="2"/>
  <c r="L485" i="2"/>
  <c r="AJ420" i="2"/>
  <c r="L535" i="2"/>
  <c r="V566" i="2"/>
  <c r="U566" i="2"/>
  <c r="T566" i="2"/>
  <c r="W566" i="2"/>
  <c r="AG453" i="2"/>
  <c r="AH453" i="2" s="1"/>
  <c r="X340" i="2"/>
  <c r="AG501" i="2"/>
  <c r="AH501" i="2" s="1"/>
  <c r="AK465" i="2"/>
  <c r="AL465" i="2" s="1"/>
  <c r="L497" i="2"/>
  <c r="K544" i="2" s="1"/>
  <c r="AK484" i="2"/>
  <c r="AL484" i="2" s="1"/>
  <c r="AF526" i="2"/>
  <c r="AG526" i="2" s="1"/>
  <c r="AH526" i="2" s="1"/>
  <c r="X520" i="2"/>
  <c r="W549" i="2"/>
  <c r="V549" i="2"/>
  <c r="T549" i="2"/>
  <c r="U549" i="2"/>
  <c r="V468" i="2"/>
  <c r="AK434" i="2"/>
  <c r="AL434" i="2" s="1"/>
  <c r="V454" i="2"/>
  <c r="U454" i="2"/>
  <c r="T454" i="2"/>
  <c r="W454" i="2"/>
  <c r="AJ516" i="2"/>
  <c r="L558" i="2"/>
  <c r="L433" i="2"/>
  <c r="K480" i="2" s="1"/>
  <c r="AJ517" i="2"/>
  <c r="X382" i="2"/>
  <c r="L478" i="2"/>
  <c r="K525" i="2" s="1"/>
  <c r="V563" i="2"/>
  <c r="U563" i="2"/>
  <c r="W563" i="2"/>
  <c r="T563" i="2"/>
  <c r="V435" i="2"/>
  <c r="U435" i="2"/>
  <c r="T435" i="2"/>
  <c r="W435" i="2"/>
  <c r="AC394" i="2"/>
  <c r="AD394" i="2" s="1"/>
  <c r="V387" i="2"/>
  <c r="W387" i="2"/>
  <c r="U387" i="2"/>
  <c r="T387" i="2"/>
  <c r="AB459" i="2"/>
  <c r="AB467" i="2"/>
  <c r="V445" i="2"/>
  <c r="U445" i="2"/>
  <c r="T445" i="2"/>
  <c r="W445" i="2"/>
  <c r="AC486" i="2"/>
  <c r="AD486" i="2" s="1"/>
  <c r="X464" i="2"/>
  <c r="AC435" i="2"/>
  <c r="AD435" i="2" s="1"/>
  <c r="X446" i="2"/>
  <c r="L479" i="2"/>
  <c r="K526" i="2" s="1"/>
  <c r="AB431" i="2"/>
  <c r="AC503" i="2"/>
  <c r="AD503" i="2" s="1"/>
  <c r="AB483" i="2"/>
  <c r="L429" i="2"/>
  <c r="AJ430" i="2"/>
  <c r="X516" i="2"/>
  <c r="X384" i="2"/>
  <c r="AJ447" i="2"/>
  <c r="X398" i="2"/>
  <c r="AG412" i="2"/>
  <c r="AH412" i="2" s="1"/>
  <c r="AF463" i="2"/>
  <c r="AC408" i="2"/>
  <c r="AD408" i="2" s="1"/>
  <c r="AB451" i="2"/>
  <c r="X402" i="2"/>
  <c r="V439" i="2"/>
  <c r="U439" i="2"/>
  <c r="T439" i="2"/>
  <c r="W439" i="2"/>
  <c r="X457" i="2"/>
  <c r="AC507" i="2"/>
  <c r="AD507" i="2" s="1"/>
  <c r="AK389" i="2"/>
  <c r="AL389" i="2" s="1"/>
  <c r="AC430" i="2"/>
  <c r="AD430" i="2" s="1"/>
  <c r="AC468" i="2"/>
  <c r="AD468" i="2" s="1"/>
  <c r="AB540" i="2"/>
  <c r="AC540" i="2" s="1"/>
  <c r="AD540" i="2" s="1"/>
  <c r="AB504" i="2"/>
  <c r="AB447" i="2"/>
  <c r="AB517" i="2"/>
  <c r="W401" i="2"/>
  <c r="V401" i="2"/>
  <c r="U401" i="2"/>
  <c r="T401" i="2"/>
  <c r="AJ519" i="2"/>
  <c r="V493" i="2"/>
  <c r="U493" i="2"/>
  <c r="T493" i="2"/>
  <c r="W493" i="2"/>
  <c r="AF527" i="2"/>
  <c r="AG527" i="2" s="1"/>
  <c r="AH527" i="2" s="1"/>
  <c r="AB463" i="2"/>
  <c r="AF490" i="2"/>
  <c r="AJ513" i="2"/>
  <c r="AJ505" i="2"/>
  <c r="U371" i="2"/>
  <c r="T371" i="2"/>
  <c r="W371" i="2"/>
  <c r="V371" i="2"/>
  <c r="AJ471" i="2"/>
  <c r="U428" i="2"/>
  <c r="T428" i="2"/>
  <c r="V428" i="2"/>
  <c r="W428" i="2"/>
  <c r="L504" i="2"/>
  <c r="K551" i="2" s="1"/>
  <c r="V491" i="2"/>
  <c r="U491" i="2"/>
  <c r="T491" i="2"/>
  <c r="W491" i="2"/>
  <c r="L546" i="2"/>
  <c r="L492" i="2"/>
  <c r="AK489" i="2"/>
  <c r="AL489" i="2" s="1"/>
  <c r="AK499" i="2"/>
  <c r="AL499" i="2" s="1"/>
  <c r="AC500" i="2"/>
  <c r="AD500" i="2" s="1"/>
  <c r="AG512" i="2"/>
  <c r="AH512" i="2" s="1"/>
  <c r="L486" i="2"/>
  <c r="AC403" i="2"/>
  <c r="AD403" i="2" s="1"/>
  <c r="L448" i="2"/>
  <c r="U514" i="2"/>
  <c r="T514" i="2"/>
  <c r="W514" i="2"/>
  <c r="V514" i="2"/>
  <c r="L540" i="2"/>
  <c r="V453" i="2"/>
  <c r="U453" i="2"/>
  <c r="T453" i="2"/>
  <c r="W453" i="2"/>
  <c r="AB492" i="2"/>
  <c r="AB448" i="2"/>
  <c r="AB501" i="2"/>
  <c r="V567" i="2"/>
  <c r="U567" i="2"/>
  <c r="W567" i="2"/>
  <c r="T567" i="2"/>
  <c r="U380" i="2"/>
  <c r="T380" i="2"/>
  <c r="W380" i="2"/>
  <c r="V380" i="2"/>
  <c r="AJ503" i="2"/>
  <c r="AF507" i="2"/>
  <c r="U430" i="2"/>
  <c r="T430" i="2"/>
  <c r="V430" i="2"/>
  <c r="W430" i="2"/>
  <c r="AJ426" i="2"/>
  <c r="L449" i="2"/>
  <c r="L490" i="2"/>
  <c r="K537" i="2" s="1"/>
  <c r="AB480" i="2"/>
  <c r="AB458" i="2"/>
  <c r="K538" i="2"/>
  <c r="AF514" i="2"/>
  <c r="AJ480" i="2"/>
  <c r="T499" i="2"/>
  <c r="W499" i="2"/>
  <c r="V499" i="2"/>
  <c r="U499" i="2"/>
  <c r="V458" i="2"/>
  <c r="U458" i="2"/>
  <c r="T458" i="2"/>
  <c r="W458" i="2"/>
  <c r="AF525" i="2"/>
  <c r="AG525" i="2" s="1"/>
  <c r="AH525" i="2" s="1"/>
  <c r="AB452" i="2"/>
  <c r="X392" i="2"/>
  <c r="X519" i="2"/>
  <c r="AG450" i="2"/>
  <c r="AH450" i="2" s="1"/>
  <c r="V470" i="2"/>
  <c r="U470" i="2"/>
  <c r="T470" i="2"/>
  <c r="W470" i="2"/>
  <c r="U507" i="2"/>
  <c r="T507" i="2"/>
  <c r="W507" i="2"/>
  <c r="V507" i="2"/>
  <c r="AB443" i="2"/>
  <c r="K500" i="2"/>
  <c r="AJ498" i="2"/>
  <c r="W557" i="2"/>
  <c r="V557" i="2"/>
  <c r="T557" i="2"/>
  <c r="U557" i="2"/>
  <c r="AF475" i="2"/>
  <c r="V451" i="2"/>
  <c r="U451" i="2"/>
  <c r="T451" i="2"/>
  <c r="W451" i="2"/>
  <c r="AB462" i="2"/>
  <c r="AJ459" i="2"/>
  <c r="AJ479" i="2"/>
  <c r="K427" i="2"/>
  <c r="AB508" i="2"/>
  <c r="AJ493" i="2"/>
  <c r="AJ457" i="2"/>
  <c r="K477" i="2"/>
  <c r="AF503" i="2"/>
  <c r="AF556" i="2"/>
  <c r="AG556" i="2" s="1"/>
  <c r="AH556" i="2" s="1"/>
  <c r="L437" i="2"/>
  <c r="AC426" i="2"/>
  <c r="AD426" i="2" s="1"/>
  <c r="AK497" i="2"/>
  <c r="AL497" i="2" s="1"/>
  <c r="AJ525" i="2"/>
  <c r="AK525" i="2" s="1"/>
  <c r="AL525" i="2" s="1"/>
  <c r="V438" i="2"/>
  <c r="U438" i="2"/>
  <c r="T438" i="2"/>
  <c r="W438" i="2"/>
  <c r="AK507" i="2"/>
  <c r="AL507" i="2" s="1"/>
  <c r="V488" i="2"/>
  <c r="U488" i="2"/>
  <c r="T488" i="2"/>
  <c r="W488" i="2"/>
  <c r="X443" i="2"/>
  <c r="X423" i="2"/>
  <c r="V450" i="2"/>
  <c r="U450" i="2"/>
  <c r="T450" i="2"/>
  <c r="W450" i="2"/>
  <c r="AK429" i="2"/>
  <c r="AL429" i="2" s="1"/>
  <c r="X406" i="2"/>
  <c r="X510" i="2"/>
  <c r="K501" i="2"/>
  <c r="AF491" i="2"/>
  <c r="U511" i="2"/>
  <c r="T511" i="2"/>
  <c r="W511" i="2"/>
  <c r="V511" i="2"/>
  <c r="AF502" i="2"/>
  <c r="V386" i="2"/>
  <c r="W386" i="2"/>
  <c r="U386" i="2"/>
  <c r="T386" i="2"/>
  <c r="AB428" i="2"/>
  <c r="U431" i="2"/>
  <c r="T431" i="2"/>
  <c r="W431" i="2"/>
  <c r="V431" i="2"/>
  <c r="K482" i="2"/>
  <c r="K515" i="2" l="1"/>
  <c r="X409" i="2"/>
  <c r="L456" i="2"/>
  <c r="K503" i="2" s="1"/>
  <c r="AJ381" i="2"/>
  <c r="T468" i="2"/>
  <c r="W468" i="2"/>
  <c r="AB515" i="2"/>
  <c r="AC515" i="2" s="1"/>
  <c r="AD515" i="2" s="1"/>
  <c r="AB395" i="2"/>
  <c r="AC395" i="2" s="1"/>
  <c r="AD395" i="2" s="1"/>
  <c r="AB563" i="2"/>
  <c r="AC563" i="2" s="1"/>
  <c r="AD563" i="2" s="1"/>
  <c r="AK346" i="2"/>
  <c r="AL346" i="2" s="1"/>
  <c r="AB444" i="2"/>
  <c r="AC444" i="2" s="1"/>
  <c r="AD444" i="2" s="1"/>
  <c r="X549" i="2"/>
  <c r="AB473" i="2"/>
  <c r="AC473" i="2" s="1"/>
  <c r="AD473" i="2" s="1"/>
  <c r="AJ500" i="2"/>
  <c r="AK500" i="2" s="1"/>
  <c r="AL500" i="2" s="1"/>
  <c r="X451" i="2"/>
  <c r="X470" i="2"/>
  <c r="AF497" i="2"/>
  <c r="AG497" i="2" s="1"/>
  <c r="AH497" i="2" s="1"/>
  <c r="X499" i="2"/>
  <c r="AJ512" i="2"/>
  <c r="AK512" i="2" s="1"/>
  <c r="AL512" i="2" s="1"/>
  <c r="AF500" i="2"/>
  <c r="AG500" i="2" s="1"/>
  <c r="AH500" i="2" s="1"/>
  <c r="AJ515" i="2"/>
  <c r="AK515" i="2" s="1"/>
  <c r="AJ441" i="2"/>
  <c r="X428" i="2"/>
  <c r="L462" i="2"/>
  <c r="K509" i="2" s="1"/>
  <c r="T415" i="2"/>
  <c r="W415" i="2"/>
  <c r="V415" i="2"/>
  <c r="U415" i="2"/>
  <c r="AF552" i="2"/>
  <c r="AG552" i="2" s="1"/>
  <c r="AH552" i="2" s="1"/>
  <c r="AF523" i="2"/>
  <c r="AG523" i="2" s="1"/>
  <c r="AH523" i="2" s="1"/>
  <c r="AJ536" i="2"/>
  <c r="AK536" i="2" s="1"/>
  <c r="AL536" i="2" s="1"/>
  <c r="AB455" i="2"/>
  <c r="AC455" i="2" s="1"/>
  <c r="AD455" i="2" s="1"/>
  <c r="AB533" i="2"/>
  <c r="AC533" i="2" s="1"/>
  <c r="AD533" i="2" s="1"/>
  <c r="AB543" i="2"/>
  <c r="AC543" i="2" s="1"/>
  <c r="AD543" i="2" s="1"/>
  <c r="AF530" i="2"/>
  <c r="AG530" i="2" s="1"/>
  <c r="AH530" i="2" s="1"/>
  <c r="AB474" i="2"/>
  <c r="AC474" i="2" s="1"/>
  <c r="AD474" i="2" s="1"/>
  <c r="AB482" i="2"/>
  <c r="AB441" i="2"/>
  <c r="AC441" i="2" s="1"/>
  <c r="AD441" i="2" s="1"/>
  <c r="AF535" i="2"/>
  <c r="AG535" i="2" s="1"/>
  <c r="AH535" i="2" s="1"/>
  <c r="AJ557" i="2"/>
  <c r="AK557" i="2" s="1"/>
  <c r="AL557" i="2" s="1"/>
  <c r="AF474" i="2"/>
  <c r="AG474" i="2" s="1"/>
  <c r="AH474" i="2" s="1"/>
  <c r="AB559" i="2"/>
  <c r="AC559" i="2" s="1"/>
  <c r="AD559" i="2" s="1"/>
  <c r="AJ491" i="2"/>
  <c r="AK491" i="2" s="1"/>
  <c r="AL491" i="2" s="1"/>
  <c r="AJ476" i="2"/>
  <c r="AK476" i="2" s="1"/>
  <c r="AL476" i="2" s="1"/>
  <c r="AJ554" i="2"/>
  <c r="AK554" i="2" s="1"/>
  <c r="AL554" i="2" s="1"/>
  <c r="AB513" i="2"/>
  <c r="AC513" i="2" s="1"/>
  <c r="AD513" i="2" s="1"/>
  <c r="AJ502" i="2"/>
  <c r="AK502" i="2" s="1"/>
  <c r="AL502" i="2" s="1"/>
  <c r="AB485" i="2"/>
  <c r="AC485" i="2" s="1"/>
  <c r="AD485" i="2" s="1"/>
  <c r="AJ436" i="2"/>
  <c r="AK436" i="2" s="1"/>
  <c r="AF516" i="2"/>
  <c r="AG516" i="2" s="1"/>
  <c r="AH516" i="2" s="1"/>
  <c r="AB528" i="2"/>
  <c r="AC528" i="2" s="1"/>
  <c r="AD528" i="2" s="1"/>
  <c r="AF504" i="2"/>
  <c r="AG504" i="2" s="1"/>
  <c r="AH504" i="2" s="1"/>
  <c r="AB471" i="2"/>
  <c r="AC471" i="2" s="1"/>
  <c r="AD471" i="2" s="1"/>
  <c r="X541" i="2"/>
  <c r="L526" i="2"/>
  <c r="L544" i="2"/>
  <c r="L545" i="2"/>
  <c r="L522" i="2"/>
  <c r="L482" i="2"/>
  <c r="V437" i="2"/>
  <c r="U437" i="2"/>
  <c r="T437" i="2"/>
  <c r="W437" i="2"/>
  <c r="AK479" i="2"/>
  <c r="AL479" i="2" s="1"/>
  <c r="AC458" i="2"/>
  <c r="AD458" i="2" s="1"/>
  <c r="AK426" i="2"/>
  <c r="AL426" i="2" s="1"/>
  <c r="AK505" i="2"/>
  <c r="AL505" i="2" s="1"/>
  <c r="AC467" i="2"/>
  <c r="AD467" i="2" s="1"/>
  <c r="L480" i="2"/>
  <c r="K527" i="2" s="1"/>
  <c r="V485" i="2"/>
  <c r="U485" i="2"/>
  <c r="T485" i="2"/>
  <c r="W485" i="2"/>
  <c r="AK414" i="2"/>
  <c r="AL414" i="2" s="1"/>
  <c r="U505" i="2"/>
  <c r="T505" i="2"/>
  <c r="W505" i="2"/>
  <c r="V505" i="2"/>
  <c r="AC428" i="2"/>
  <c r="AD428" i="2" s="1"/>
  <c r="L515" i="2"/>
  <c r="X450" i="2"/>
  <c r="AK493" i="2"/>
  <c r="AL493" i="2" s="1"/>
  <c r="X507" i="2"/>
  <c r="AK480" i="2"/>
  <c r="AL480" i="2" s="1"/>
  <c r="X380" i="2"/>
  <c r="AK513" i="2"/>
  <c r="AL513" i="2" s="1"/>
  <c r="AC504" i="2"/>
  <c r="AD504" i="2" s="1"/>
  <c r="X439" i="2"/>
  <c r="AC451" i="2"/>
  <c r="AD451" i="2" s="1"/>
  <c r="AB550" i="2"/>
  <c r="AC550" i="2" s="1"/>
  <c r="AD550" i="2" s="1"/>
  <c r="X445" i="2"/>
  <c r="X563" i="2"/>
  <c r="V478" i="2"/>
  <c r="U478" i="2"/>
  <c r="T478" i="2"/>
  <c r="W478" i="2"/>
  <c r="AK517" i="2"/>
  <c r="AL517" i="2" s="1"/>
  <c r="AF548" i="2"/>
  <c r="AG548" i="2" s="1"/>
  <c r="AH548" i="2" s="1"/>
  <c r="T535" i="2"/>
  <c r="W535" i="2"/>
  <c r="V535" i="2"/>
  <c r="U535" i="2"/>
  <c r="AB534" i="2"/>
  <c r="AC534" i="2" s="1"/>
  <c r="AD534" i="2" s="1"/>
  <c r="AC429" i="2"/>
  <c r="AD429" i="2" s="1"/>
  <c r="AK445" i="2"/>
  <c r="AL445" i="2" s="1"/>
  <c r="V436" i="2"/>
  <c r="U436" i="2"/>
  <c r="T436" i="2"/>
  <c r="W436" i="2"/>
  <c r="L481" i="2"/>
  <c r="K528" i="2" s="1"/>
  <c r="L501" i="2"/>
  <c r="K548" i="2" s="1"/>
  <c r="L537" i="2"/>
  <c r="AC448" i="2"/>
  <c r="AD448" i="2" s="1"/>
  <c r="V448" i="2"/>
  <c r="U448" i="2"/>
  <c r="T448" i="2"/>
  <c r="W448" i="2"/>
  <c r="V492" i="2"/>
  <c r="U492" i="2"/>
  <c r="T492" i="2"/>
  <c r="W492" i="2"/>
  <c r="AC447" i="2"/>
  <c r="AD447" i="2" s="1"/>
  <c r="AG463" i="2"/>
  <c r="AH463" i="2" s="1"/>
  <c r="U429" i="2"/>
  <c r="T429" i="2"/>
  <c r="W429" i="2"/>
  <c r="V429" i="2"/>
  <c r="U517" i="2"/>
  <c r="W517" i="2"/>
  <c r="V517" i="2"/>
  <c r="T517" i="2"/>
  <c r="W418" i="2"/>
  <c r="V418" i="2"/>
  <c r="U418" i="2"/>
  <c r="T418" i="2"/>
  <c r="X511" i="2"/>
  <c r="AK459" i="2"/>
  <c r="AL459" i="2" s="1"/>
  <c r="X557" i="2"/>
  <c r="L500" i="2"/>
  <c r="K547" i="2" s="1"/>
  <c r="V449" i="2"/>
  <c r="U449" i="2"/>
  <c r="T449" i="2"/>
  <c r="W449" i="2"/>
  <c r="AG507" i="2"/>
  <c r="AH507" i="2" s="1"/>
  <c r="V486" i="2"/>
  <c r="U486" i="2"/>
  <c r="T486" i="2"/>
  <c r="W486" i="2"/>
  <c r="AF559" i="2"/>
  <c r="AG559" i="2" s="1"/>
  <c r="AH559" i="2" s="1"/>
  <c r="AB547" i="2"/>
  <c r="AC547" i="2" s="1"/>
  <c r="AD547" i="2" s="1"/>
  <c r="AJ546" i="2"/>
  <c r="AK546" i="2" s="1"/>
  <c r="AL546" i="2" s="1"/>
  <c r="L551" i="2"/>
  <c r="X386" i="2"/>
  <c r="AG502" i="2"/>
  <c r="AH502" i="2" s="1"/>
  <c r="K484" i="2"/>
  <c r="AG503" i="2"/>
  <c r="AH503" i="2" s="1"/>
  <c r="AC508" i="2"/>
  <c r="AD508" i="2" s="1"/>
  <c r="AC462" i="2"/>
  <c r="AD462" i="2" s="1"/>
  <c r="AC443" i="2"/>
  <c r="AD443" i="2" s="1"/>
  <c r="X458" i="2"/>
  <c r="AG514" i="2"/>
  <c r="AH514" i="2" s="1"/>
  <c r="V490" i="2"/>
  <c r="U490" i="2"/>
  <c r="T490" i="2"/>
  <c r="W490" i="2"/>
  <c r="AK503" i="2"/>
  <c r="AL503" i="2" s="1"/>
  <c r="W540" i="2"/>
  <c r="T540" i="2"/>
  <c r="U540" i="2"/>
  <c r="V540" i="2"/>
  <c r="X514" i="2"/>
  <c r="K495" i="2"/>
  <c r="AB450" i="2"/>
  <c r="K539" i="2"/>
  <c r="X491" i="2"/>
  <c r="AB566" i="2"/>
  <c r="AC566" i="2" s="1"/>
  <c r="AD566" i="2" s="1"/>
  <c r="AK471" i="2"/>
  <c r="AL471" i="2" s="1"/>
  <c r="X371" i="2"/>
  <c r="AG490" i="2"/>
  <c r="AH490" i="2" s="1"/>
  <c r="X493" i="2"/>
  <c r="AK519" i="2"/>
  <c r="AL519" i="2" s="1"/>
  <c r="AB477" i="2"/>
  <c r="AB554" i="2"/>
  <c r="AC554" i="2" s="1"/>
  <c r="AD554" i="2" s="1"/>
  <c r="AF459" i="2"/>
  <c r="K476" i="2"/>
  <c r="AC431" i="2"/>
  <c r="AD431" i="2" s="1"/>
  <c r="AC459" i="2"/>
  <c r="AD459" i="2" s="1"/>
  <c r="AJ511" i="2"/>
  <c r="X435" i="2"/>
  <c r="V433" i="2"/>
  <c r="U433" i="2"/>
  <c r="T433" i="2"/>
  <c r="W433" i="2"/>
  <c r="W558" i="2"/>
  <c r="V558" i="2"/>
  <c r="U558" i="2"/>
  <c r="T558" i="2"/>
  <c r="X454" i="2"/>
  <c r="AJ481" i="2"/>
  <c r="AJ531" i="2"/>
  <c r="AK531" i="2" s="1"/>
  <c r="AL531" i="2" s="1"/>
  <c r="X566" i="2"/>
  <c r="K532" i="2"/>
  <c r="W554" i="2"/>
  <c r="V554" i="2"/>
  <c r="U554" i="2"/>
  <c r="T554" i="2"/>
  <c r="K564" i="2"/>
  <c r="K465" i="2"/>
  <c r="AJ532" i="2"/>
  <c r="AK532" i="2" s="1"/>
  <c r="AL532" i="2" s="1"/>
  <c r="AB479" i="2"/>
  <c r="AF470" i="2"/>
  <c r="AF511" i="2"/>
  <c r="AJ543" i="2"/>
  <c r="AK543" i="2" s="1"/>
  <c r="AL543" i="2" s="1"/>
  <c r="AB511" i="2"/>
  <c r="K552" i="2"/>
  <c r="AB531" i="2"/>
  <c r="AC531" i="2" s="1"/>
  <c r="AD531" i="2" s="1"/>
  <c r="V561" i="2"/>
  <c r="W561" i="2"/>
  <c r="T561" i="2"/>
  <c r="U561" i="2"/>
  <c r="AK457" i="2"/>
  <c r="AL457" i="2" s="1"/>
  <c r="AK498" i="2"/>
  <c r="AL498" i="2" s="1"/>
  <c r="AK447" i="2"/>
  <c r="AL447" i="2" s="1"/>
  <c r="AK516" i="2"/>
  <c r="AL516" i="2" s="1"/>
  <c r="AK443" i="2"/>
  <c r="AL443" i="2" s="1"/>
  <c r="X438" i="2"/>
  <c r="AJ544" i="2"/>
  <c r="AK544" i="2" s="1"/>
  <c r="AL544" i="2" s="1"/>
  <c r="AC480" i="2"/>
  <c r="AD480" i="2" s="1"/>
  <c r="AC492" i="2"/>
  <c r="AD492" i="2" s="1"/>
  <c r="X431" i="2"/>
  <c r="AG491" i="2"/>
  <c r="AH491" i="2" s="1"/>
  <c r="X488" i="2"/>
  <c r="L477" i="2"/>
  <c r="K524" i="2" s="1"/>
  <c r="L427" i="2"/>
  <c r="K474" i="2" s="1"/>
  <c r="AG475" i="2"/>
  <c r="AH475" i="2" s="1"/>
  <c r="AC452" i="2"/>
  <c r="AD452" i="2" s="1"/>
  <c r="L538" i="2"/>
  <c r="K496" i="2"/>
  <c r="X430" i="2"/>
  <c r="X567" i="2"/>
  <c r="AC501" i="2"/>
  <c r="AD501" i="2" s="1"/>
  <c r="X453" i="2"/>
  <c r="K533" i="2"/>
  <c r="W546" i="2"/>
  <c r="V546" i="2"/>
  <c r="U546" i="2"/>
  <c r="T546" i="2"/>
  <c r="T504" i="2"/>
  <c r="W504" i="2"/>
  <c r="U504" i="2"/>
  <c r="V504" i="2"/>
  <c r="AC463" i="2"/>
  <c r="AD463" i="2" s="1"/>
  <c r="X401" i="2"/>
  <c r="AC517" i="2"/>
  <c r="AD517" i="2" s="1"/>
  <c r="AK430" i="2"/>
  <c r="AL430" i="2" s="1"/>
  <c r="AC483" i="2"/>
  <c r="AD483" i="2" s="1"/>
  <c r="V479" i="2"/>
  <c r="U479" i="2"/>
  <c r="T479" i="2"/>
  <c r="W479" i="2"/>
  <c r="X387" i="2"/>
  <c r="L525" i="2"/>
  <c r="V497" i="2"/>
  <c r="U497" i="2"/>
  <c r="T497" i="2"/>
  <c r="W497" i="2"/>
  <c r="AK420" i="2"/>
  <c r="AL420" i="2" s="1"/>
  <c r="V498" i="2"/>
  <c r="U498" i="2"/>
  <c r="T498" i="2"/>
  <c r="W498" i="2"/>
  <c r="V475" i="2"/>
  <c r="U475" i="2"/>
  <c r="T475" i="2"/>
  <c r="W475" i="2"/>
  <c r="K483" i="2"/>
  <c r="X534" i="2"/>
  <c r="V434" i="2"/>
  <c r="U434" i="2"/>
  <c r="T434" i="2"/>
  <c r="W434" i="2"/>
  <c r="X468" i="2" l="1"/>
  <c r="L503" i="2"/>
  <c r="U456" i="2"/>
  <c r="T456" i="2"/>
  <c r="W456" i="2"/>
  <c r="V456" i="2"/>
  <c r="AK381" i="2"/>
  <c r="AL381" i="2" s="1"/>
  <c r="AB442" i="2"/>
  <c r="AC442" i="2" s="1"/>
  <c r="AD442" i="2" s="1"/>
  <c r="AJ552" i="2"/>
  <c r="AK552" i="2" s="1"/>
  <c r="AL552" i="2" s="1"/>
  <c r="AJ393" i="2"/>
  <c r="AL515" i="2"/>
  <c r="AJ562" i="2"/>
  <c r="AK562" i="2" s="1"/>
  <c r="AL562" i="2" s="1"/>
  <c r="AF563" i="2"/>
  <c r="AG563" i="2" s="1"/>
  <c r="AH563" i="2" s="1"/>
  <c r="X415" i="2"/>
  <c r="AL436" i="2"/>
  <c r="AJ483" i="2"/>
  <c r="AK483" i="2" s="1"/>
  <c r="AL483" i="2" s="1"/>
  <c r="X505" i="2"/>
  <c r="AF550" i="2"/>
  <c r="AG550" i="2" s="1"/>
  <c r="AH550" i="2" s="1"/>
  <c r="AC482" i="2"/>
  <c r="AD482" i="2" s="1"/>
  <c r="AB505" i="2"/>
  <c r="AC505" i="2" s="1"/>
  <c r="AD505" i="2" s="1"/>
  <c r="V462" i="2"/>
  <c r="U462" i="2"/>
  <c r="W462" i="2"/>
  <c r="T462" i="2"/>
  <c r="X436" i="2"/>
  <c r="AJ492" i="2"/>
  <c r="AK492" i="2" s="1"/>
  <c r="AL492" i="2" s="1"/>
  <c r="L509" i="2"/>
  <c r="AK441" i="2"/>
  <c r="AL441" i="2" s="1"/>
  <c r="AB509" i="2"/>
  <c r="AC509" i="2" s="1"/>
  <c r="AD509" i="2" s="1"/>
  <c r="AB548" i="2"/>
  <c r="AC548" i="2" s="1"/>
  <c r="AD548" i="2" s="1"/>
  <c r="AB527" i="2"/>
  <c r="AC527" i="2" s="1"/>
  <c r="AD527" i="2" s="1"/>
  <c r="AJ490" i="2"/>
  <c r="AK490" i="2" s="1"/>
  <c r="AL490" i="2" s="1"/>
  <c r="AJ494" i="2"/>
  <c r="AK494" i="2" s="1"/>
  <c r="AL494" i="2" s="1"/>
  <c r="AJ504" i="2"/>
  <c r="AK504" i="2" s="1"/>
  <c r="AL504" i="2" s="1"/>
  <c r="AB506" i="2"/>
  <c r="AC506" i="2" s="1"/>
  <c r="AD506" i="2" s="1"/>
  <c r="AJ566" i="2"/>
  <c r="AK566" i="2" s="1"/>
  <c r="AL566" i="2" s="1"/>
  <c r="AF537" i="2"/>
  <c r="AG537" i="2" s="1"/>
  <c r="AH537" i="2" s="1"/>
  <c r="AB490" i="2"/>
  <c r="AC490" i="2" s="1"/>
  <c r="AD490" i="2" s="1"/>
  <c r="AB555" i="2"/>
  <c r="AC555" i="2" s="1"/>
  <c r="AD555" i="2" s="1"/>
  <c r="AF521" i="2"/>
  <c r="AG521" i="2" s="1"/>
  <c r="AH521" i="2" s="1"/>
  <c r="X448" i="2"/>
  <c r="AB495" i="2"/>
  <c r="AC495" i="2" s="1"/>
  <c r="AD495" i="2" s="1"/>
  <c r="AF544" i="2"/>
  <c r="AG544" i="2" s="1"/>
  <c r="AH544" i="2" s="1"/>
  <c r="AJ540" i="2"/>
  <c r="AK540" i="2" s="1"/>
  <c r="AL540" i="2" s="1"/>
  <c r="AB521" i="2"/>
  <c r="AC521" i="2" s="1"/>
  <c r="AD521" i="2" s="1"/>
  <c r="AB539" i="2"/>
  <c r="AC539" i="2" s="1"/>
  <c r="AD539" i="2" s="1"/>
  <c r="AJ563" i="2"/>
  <c r="AK563" i="2" s="1"/>
  <c r="AL563" i="2" s="1"/>
  <c r="AJ545" i="2"/>
  <c r="AK545" i="2" s="1"/>
  <c r="AL545" i="2" s="1"/>
  <c r="X561" i="2"/>
  <c r="X433" i="2"/>
  <c r="AB478" i="2"/>
  <c r="AC478" i="2" s="1"/>
  <c r="AD478" i="2" s="1"/>
  <c r="AF549" i="2"/>
  <c r="AG549" i="2" s="1"/>
  <c r="AH549" i="2" s="1"/>
  <c r="AF554" i="2"/>
  <c r="AG554" i="2" s="1"/>
  <c r="AH554" i="2" s="1"/>
  <c r="AB494" i="2"/>
  <c r="AJ564" i="2"/>
  <c r="AK564" i="2" s="1"/>
  <c r="AL564" i="2" s="1"/>
  <c r="AJ527" i="2"/>
  <c r="AK527" i="2" s="1"/>
  <c r="AL527" i="2" s="1"/>
  <c r="AJ461" i="2"/>
  <c r="AK461" i="2" s="1"/>
  <c r="AL461" i="2" s="1"/>
  <c r="AJ547" i="2"/>
  <c r="AK547" i="2" s="1"/>
  <c r="AL547" i="2" s="1"/>
  <c r="L528" i="2"/>
  <c r="L547" i="2"/>
  <c r="L474" i="2"/>
  <c r="L552" i="2"/>
  <c r="AK511" i="2"/>
  <c r="AL511" i="2" s="1"/>
  <c r="L539" i="2"/>
  <c r="AF522" i="2"/>
  <c r="AG522" i="2" s="1"/>
  <c r="AH522" i="2" s="1"/>
  <c r="V477" i="2"/>
  <c r="U477" i="2"/>
  <c r="T477" i="2"/>
  <c r="W477" i="2"/>
  <c r="AB520" i="2"/>
  <c r="AJ523" i="2"/>
  <c r="AK523" i="2" s="1"/>
  <c r="AL523" i="2" s="1"/>
  <c r="AF538" i="2"/>
  <c r="AG538" i="2" s="1"/>
  <c r="AH538" i="2" s="1"/>
  <c r="AG470" i="2"/>
  <c r="AH470" i="2" s="1"/>
  <c r="L564" i="2"/>
  <c r="AK481" i="2"/>
  <c r="AL481" i="2" s="1"/>
  <c r="L476" i="2"/>
  <c r="K523" i="2" s="1"/>
  <c r="AJ518" i="2"/>
  <c r="AC450" i="2"/>
  <c r="AD450" i="2" s="1"/>
  <c r="AJ550" i="2"/>
  <c r="AK550" i="2" s="1"/>
  <c r="AL550" i="2" s="1"/>
  <c r="L484" i="2"/>
  <c r="K531" i="2" s="1"/>
  <c r="V551" i="2"/>
  <c r="W551" i="2"/>
  <c r="U551" i="2"/>
  <c r="T551" i="2"/>
  <c r="X449" i="2"/>
  <c r="AJ506" i="2"/>
  <c r="T537" i="2"/>
  <c r="W537" i="2"/>
  <c r="V537" i="2"/>
  <c r="U537" i="2"/>
  <c r="T501" i="2"/>
  <c r="W501" i="2"/>
  <c r="V501" i="2"/>
  <c r="U501" i="2"/>
  <c r="AB551" i="2"/>
  <c r="AC551" i="2" s="1"/>
  <c r="AD551" i="2" s="1"/>
  <c r="AJ560" i="2"/>
  <c r="AK560" i="2" s="1"/>
  <c r="AL560" i="2" s="1"/>
  <c r="U515" i="2"/>
  <c r="W515" i="2"/>
  <c r="V515" i="2"/>
  <c r="T515" i="2"/>
  <c r="AB475" i="2"/>
  <c r="AB518" i="2"/>
  <c r="X485" i="2"/>
  <c r="AF547" i="2"/>
  <c r="AG547" i="2" s="1"/>
  <c r="AH547" i="2" s="1"/>
  <c r="V482" i="2"/>
  <c r="U482" i="2"/>
  <c r="T482" i="2"/>
  <c r="W482" i="2"/>
  <c r="L527" i="2"/>
  <c r="U522" i="2"/>
  <c r="W522" i="2"/>
  <c r="V522" i="2"/>
  <c r="T522" i="2"/>
  <c r="X498" i="2"/>
  <c r="AJ467" i="2"/>
  <c r="X504" i="2"/>
  <c r="AB532" i="2"/>
  <c r="AC532" i="2" s="1"/>
  <c r="AD532" i="2" s="1"/>
  <c r="U427" i="2"/>
  <c r="T427" i="2"/>
  <c r="W427" i="2"/>
  <c r="V427" i="2"/>
  <c r="AC511" i="2"/>
  <c r="AD511" i="2" s="1"/>
  <c r="AC479" i="2"/>
  <c r="AD479" i="2" s="1"/>
  <c r="X554" i="2"/>
  <c r="L532" i="2"/>
  <c r="AG459" i="2"/>
  <c r="AH459" i="2" s="1"/>
  <c r="L495" i="2"/>
  <c r="K542" i="2" s="1"/>
  <c r="X540" i="2"/>
  <c r="AF551" i="2"/>
  <c r="AG551" i="2" s="1"/>
  <c r="AH551" i="2" s="1"/>
  <c r="AB488" i="2"/>
  <c r="AF510" i="2"/>
  <c r="X492" i="2"/>
  <c r="AJ549" i="2"/>
  <c r="AK549" i="2" s="1"/>
  <c r="AL549" i="2" s="1"/>
  <c r="AB476" i="2"/>
  <c r="AB491" i="2"/>
  <c r="X478" i="2"/>
  <c r="AB498" i="2"/>
  <c r="V480" i="2"/>
  <c r="U480" i="2"/>
  <c r="T480" i="2"/>
  <c r="W480" i="2"/>
  <c r="AB514" i="2"/>
  <c r="AB562" i="2"/>
  <c r="AC562" i="2" s="1"/>
  <c r="AD562" i="2" s="1"/>
  <c r="AJ473" i="2"/>
  <c r="AJ526" i="2"/>
  <c r="AK526" i="2" s="1"/>
  <c r="AL526" i="2" s="1"/>
  <c r="X437" i="2"/>
  <c r="W545" i="2"/>
  <c r="V545" i="2"/>
  <c r="T545" i="2"/>
  <c r="U545" i="2"/>
  <c r="U526" i="2"/>
  <c r="T526" i="2"/>
  <c r="W526" i="2"/>
  <c r="V526" i="2"/>
  <c r="W538" i="2"/>
  <c r="V538" i="2"/>
  <c r="U538" i="2"/>
  <c r="T538" i="2"/>
  <c r="AG511" i="2"/>
  <c r="AH511" i="2" s="1"/>
  <c r="L465" i="2"/>
  <c r="K512" i="2" s="1"/>
  <c r="AC477" i="2"/>
  <c r="AD477" i="2" s="1"/>
  <c r="T500" i="2"/>
  <c r="W500" i="2"/>
  <c r="U500" i="2"/>
  <c r="V500" i="2"/>
  <c r="V481" i="2"/>
  <c r="U481" i="2"/>
  <c r="T481" i="2"/>
  <c r="W481" i="2"/>
  <c r="W544" i="2"/>
  <c r="T544" i="2"/>
  <c r="V544" i="2"/>
  <c r="U544" i="2"/>
  <c r="X475" i="2"/>
  <c r="X497" i="2"/>
  <c r="U525" i="2"/>
  <c r="T525" i="2"/>
  <c r="W525" i="2"/>
  <c r="V525" i="2"/>
  <c r="X479" i="2"/>
  <c r="AB530" i="2"/>
  <c r="AC530" i="2" s="1"/>
  <c r="AD530" i="2" s="1"/>
  <c r="AB502" i="2"/>
  <c r="AB560" i="2"/>
  <c r="AC560" i="2" s="1"/>
  <c r="AD560" i="2" s="1"/>
  <c r="AB510" i="2"/>
  <c r="X434" i="2"/>
  <c r="L483" i="2"/>
  <c r="K530" i="2" s="1"/>
  <c r="AJ559" i="2"/>
  <c r="AK559" i="2" s="1"/>
  <c r="AL559" i="2" s="1"/>
  <c r="AJ477" i="2"/>
  <c r="AB564" i="2"/>
  <c r="AC564" i="2" s="1"/>
  <c r="AD564" i="2" s="1"/>
  <c r="X546" i="2"/>
  <c r="L533" i="2"/>
  <c r="L496" i="2"/>
  <c r="AB499" i="2"/>
  <c r="L524" i="2"/>
  <c r="AJ538" i="2"/>
  <c r="AK538" i="2" s="1"/>
  <c r="AL538" i="2" s="1"/>
  <c r="X558" i="2"/>
  <c r="X490" i="2"/>
  <c r="AF561" i="2"/>
  <c r="AG561" i="2" s="1"/>
  <c r="AH561" i="2" s="1"/>
  <c r="X486" i="2"/>
  <c r="X418" i="2"/>
  <c r="X517" i="2"/>
  <c r="X429" i="2"/>
  <c r="L548" i="2"/>
  <c r="X535" i="2"/>
  <c r="K562" i="2"/>
  <c r="K529" i="2"/>
  <c r="X456" i="2" l="1"/>
  <c r="K550" i="2"/>
  <c r="W503" i="2"/>
  <c r="V503" i="2"/>
  <c r="U503" i="2"/>
  <c r="T503" i="2"/>
  <c r="AJ428" i="2"/>
  <c r="AK428" i="2" s="1"/>
  <c r="AL428" i="2" s="1"/>
  <c r="AK393" i="2"/>
  <c r="AL393" i="2" s="1"/>
  <c r="AB489" i="2"/>
  <c r="AB529" i="2"/>
  <c r="AC529" i="2" s="1"/>
  <c r="AD529" i="2" s="1"/>
  <c r="AC494" i="2"/>
  <c r="AD494" i="2" s="1"/>
  <c r="V509" i="2"/>
  <c r="T509" i="2"/>
  <c r="U509" i="2"/>
  <c r="W509" i="2"/>
  <c r="X462" i="2"/>
  <c r="X500" i="2"/>
  <c r="AB553" i="2"/>
  <c r="AC553" i="2" s="1"/>
  <c r="AD553" i="2" s="1"/>
  <c r="K556" i="2"/>
  <c r="AJ488" i="2"/>
  <c r="AJ539" i="2"/>
  <c r="AK539" i="2" s="1"/>
  <c r="AL539" i="2" s="1"/>
  <c r="X538" i="2"/>
  <c r="AB537" i="2"/>
  <c r="AC537" i="2" s="1"/>
  <c r="AD537" i="2" s="1"/>
  <c r="X515" i="2"/>
  <c r="X551" i="2"/>
  <c r="AJ508" i="2"/>
  <c r="AK508" i="2" s="1"/>
  <c r="AL508" i="2" s="1"/>
  <c r="AB524" i="2"/>
  <c r="AC524" i="2" s="1"/>
  <c r="AD524" i="2" s="1"/>
  <c r="X522" i="2"/>
  <c r="L531" i="2"/>
  <c r="T533" i="2"/>
  <c r="W533" i="2"/>
  <c r="V533" i="2"/>
  <c r="U533" i="2"/>
  <c r="AC502" i="2"/>
  <c r="AD502" i="2" s="1"/>
  <c r="AC514" i="2"/>
  <c r="AD514" i="2" s="1"/>
  <c r="AC491" i="2"/>
  <c r="AD491" i="2" s="1"/>
  <c r="AG510" i="2"/>
  <c r="AH510" i="2" s="1"/>
  <c r="V564" i="2"/>
  <c r="U564" i="2"/>
  <c r="W564" i="2"/>
  <c r="T564" i="2"/>
  <c r="AC520" i="2"/>
  <c r="AD520" i="2" s="1"/>
  <c r="W547" i="2"/>
  <c r="V547" i="2"/>
  <c r="U547" i="2"/>
  <c r="T547" i="2"/>
  <c r="V496" i="2"/>
  <c r="U496" i="2"/>
  <c r="T496" i="2"/>
  <c r="W496" i="2"/>
  <c r="L512" i="2"/>
  <c r="K559" i="2" s="1"/>
  <c r="AC476" i="2"/>
  <c r="AD476" i="2" s="1"/>
  <c r="AC488" i="2"/>
  <c r="AD488" i="2" s="1"/>
  <c r="AJ551" i="2"/>
  <c r="AK551" i="2" s="1"/>
  <c r="AL551" i="2" s="1"/>
  <c r="X482" i="2"/>
  <c r="X501" i="2"/>
  <c r="AB497" i="2"/>
  <c r="L529" i="2"/>
  <c r="AC510" i="2"/>
  <c r="AD510" i="2" s="1"/>
  <c r="AB552" i="2"/>
  <c r="AC552" i="2" s="1"/>
  <c r="AD552" i="2" s="1"/>
  <c r="AB542" i="2"/>
  <c r="AC542" i="2" s="1"/>
  <c r="AD542" i="2" s="1"/>
  <c r="AB556" i="2"/>
  <c r="AC556" i="2" s="1"/>
  <c r="AD556" i="2" s="1"/>
  <c r="AB525" i="2"/>
  <c r="AC525" i="2" s="1"/>
  <c r="AD525" i="2" s="1"/>
  <c r="AK473" i="2"/>
  <c r="AL473" i="2" s="1"/>
  <c r="AF506" i="2"/>
  <c r="X427" i="2"/>
  <c r="AK467" i="2"/>
  <c r="AL467" i="2" s="1"/>
  <c r="U527" i="2"/>
  <c r="T527" i="2"/>
  <c r="W527" i="2"/>
  <c r="V527" i="2"/>
  <c r="AC518" i="2"/>
  <c r="AD518" i="2" s="1"/>
  <c r="AK506" i="2"/>
  <c r="AL506" i="2" s="1"/>
  <c r="AK518" i="2"/>
  <c r="AL518" i="2" s="1"/>
  <c r="X477" i="2"/>
  <c r="AJ558" i="2"/>
  <c r="AK558" i="2" s="1"/>
  <c r="AL558" i="2" s="1"/>
  <c r="T528" i="2"/>
  <c r="W528" i="2"/>
  <c r="V528" i="2"/>
  <c r="U528" i="2"/>
  <c r="AC499" i="2"/>
  <c r="AD499" i="2" s="1"/>
  <c r="AK477" i="2"/>
  <c r="AL477" i="2" s="1"/>
  <c r="L530" i="2"/>
  <c r="L542" i="2"/>
  <c r="V484" i="2"/>
  <c r="U484" i="2"/>
  <c r="T484" i="2"/>
  <c r="W484" i="2"/>
  <c r="L562" i="2"/>
  <c r="X525" i="2"/>
  <c r="X545" i="2"/>
  <c r="T532" i="2"/>
  <c r="W532" i="2"/>
  <c r="U532" i="2"/>
  <c r="V532" i="2"/>
  <c r="AB526" i="2"/>
  <c r="AC526" i="2" s="1"/>
  <c r="AD526" i="2" s="1"/>
  <c r="AJ537" i="2"/>
  <c r="AK537" i="2" s="1"/>
  <c r="AL537" i="2" s="1"/>
  <c r="AJ530" i="2"/>
  <c r="AK530" i="2" s="1"/>
  <c r="AL530" i="2" s="1"/>
  <c r="X537" i="2"/>
  <c r="L523" i="2"/>
  <c r="V474" i="2"/>
  <c r="U474" i="2"/>
  <c r="T474" i="2"/>
  <c r="W474" i="2"/>
  <c r="U524" i="2"/>
  <c r="T524" i="2"/>
  <c r="W524" i="2"/>
  <c r="V524" i="2"/>
  <c r="V483" i="2"/>
  <c r="U483" i="2"/>
  <c r="T483" i="2"/>
  <c r="W483" i="2"/>
  <c r="X481" i="2"/>
  <c r="X526" i="2"/>
  <c r="X480" i="2"/>
  <c r="AC498" i="2"/>
  <c r="AD498" i="2" s="1"/>
  <c r="V495" i="2"/>
  <c r="U495" i="2"/>
  <c r="T495" i="2"/>
  <c r="W495" i="2"/>
  <c r="W548" i="2"/>
  <c r="V548" i="2"/>
  <c r="U548" i="2"/>
  <c r="T548" i="2"/>
  <c r="K543" i="2"/>
  <c r="X544" i="2"/>
  <c r="V465" i="2"/>
  <c r="U465" i="2"/>
  <c r="W465" i="2"/>
  <c r="T465" i="2"/>
  <c r="AF558" i="2"/>
  <c r="AG558" i="2" s="1"/>
  <c r="AH558" i="2" s="1"/>
  <c r="AB558" i="2"/>
  <c r="AC558" i="2" s="1"/>
  <c r="AD558" i="2" s="1"/>
  <c r="AJ541" i="2"/>
  <c r="AK541" i="2" s="1"/>
  <c r="AL541" i="2" s="1"/>
  <c r="AC475" i="2"/>
  <c r="AD475" i="2" s="1"/>
  <c r="V476" i="2"/>
  <c r="U476" i="2"/>
  <c r="T476" i="2"/>
  <c r="W476" i="2"/>
  <c r="AJ528" i="2"/>
  <c r="AK528" i="2" s="1"/>
  <c r="AL528" i="2" s="1"/>
  <c r="AF517" i="2"/>
  <c r="W539" i="2"/>
  <c r="U539" i="2"/>
  <c r="T539" i="2"/>
  <c r="V539" i="2"/>
  <c r="V552" i="2"/>
  <c r="U552" i="2"/>
  <c r="T552" i="2"/>
  <c r="W552" i="2"/>
  <c r="K521" i="2"/>
  <c r="X503" i="2" l="1"/>
  <c r="L550" i="2"/>
  <c r="AJ475" i="2"/>
  <c r="AJ440" i="2"/>
  <c r="X509" i="2"/>
  <c r="AC489" i="2"/>
  <c r="AD489" i="2" s="1"/>
  <c r="AB535" i="2"/>
  <c r="AC535" i="2" s="1"/>
  <c r="AD535" i="2" s="1"/>
  <c r="AJ553" i="2"/>
  <c r="AK553" i="2" s="1"/>
  <c r="AL553" i="2" s="1"/>
  <c r="AK488" i="2"/>
  <c r="AL488" i="2" s="1"/>
  <c r="L556" i="2"/>
  <c r="AB541" i="2"/>
  <c r="AC541" i="2" s="1"/>
  <c r="AD541" i="2" s="1"/>
  <c r="AJ555" i="2"/>
  <c r="AK555" i="2" s="1"/>
  <c r="AL555" i="2" s="1"/>
  <c r="AJ524" i="2"/>
  <c r="AK524" i="2" s="1"/>
  <c r="AL524" i="2" s="1"/>
  <c r="X548" i="2"/>
  <c r="AJ514" i="2"/>
  <c r="AK514" i="2" s="1"/>
  <c r="AL514" i="2" s="1"/>
  <c r="AJ520" i="2"/>
  <c r="AK520" i="2" s="1"/>
  <c r="AL520" i="2" s="1"/>
  <c r="AB561" i="2"/>
  <c r="AC561" i="2" s="1"/>
  <c r="AD561" i="2" s="1"/>
  <c r="X484" i="2"/>
  <c r="X552" i="2"/>
  <c r="X539" i="2"/>
  <c r="AF557" i="2"/>
  <c r="AG557" i="2" s="1"/>
  <c r="AH557" i="2" s="1"/>
  <c r="AB545" i="2"/>
  <c r="AC545" i="2" s="1"/>
  <c r="AD545" i="2" s="1"/>
  <c r="U523" i="2"/>
  <c r="T523" i="2"/>
  <c r="W523" i="2"/>
  <c r="V523" i="2"/>
  <c r="V562" i="2"/>
  <c r="W562" i="2"/>
  <c r="U562" i="2"/>
  <c r="T562" i="2"/>
  <c r="T530" i="2"/>
  <c r="V530" i="2"/>
  <c r="U530" i="2"/>
  <c r="W530" i="2"/>
  <c r="X527" i="2"/>
  <c r="AB523" i="2"/>
  <c r="AC523" i="2" s="1"/>
  <c r="AD523" i="2" s="1"/>
  <c r="X547" i="2"/>
  <c r="T531" i="2"/>
  <c r="W531" i="2"/>
  <c r="V531" i="2"/>
  <c r="U531" i="2"/>
  <c r="X495" i="2"/>
  <c r="L521" i="2"/>
  <c r="X476" i="2"/>
  <c r="AB522" i="2"/>
  <c r="AC522" i="2" s="1"/>
  <c r="AD522" i="2" s="1"/>
  <c r="X465" i="2"/>
  <c r="X483" i="2"/>
  <c r="X474" i="2"/>
  <c r="X532" i="2"/>
  <c r="AB546" i="2"/>
  <c r="AC546" i="2" s="1"/>
  <c r="AD546" i="2" s="1"/>
  <c r="X528" i="2"/>
  <c r="AJ565" i="2"/>
  <c r="AK565" i="2" s="1"/>
  <c r="AL565" i="2" s="1"/>
  <c r="AB565" i="2"/>
  <c r="AC565" i="2" s="1"/>
  <c r="AD565" i="2" s="1"/>
  <c r="AG506" i="2"/>
  <c r="AH506" i="2" s="1"/>
  <c r="AB557" i="2"/>
  <c r="AC557" i="2" s="1"/>
  <c r="AD557" i="2" s="1"/>
  <c r="AC497" i="2"/>
  <c r="AD497" i="2" s="1"/>
  <c r="U512" i="2"/>
  <c r="T512" i="2"/>
  <c r="W512" i="2"/>
  <c r="V512" i="2"/>
  <c r="X496" i="2"/>
  <c r="AB567" i="2"/>
  <c r="AC567" i="2" s="1"/>
  <c r="AD567" i="2" s="1"/>
  <c r="AB538" i="2"/>
  <c r="AC538" i="2" s="1"/>
  <c r="AD538" i="2" s="1"/>
  <c r="AB549" i="2"/>
  <c r="AC549" i="2" s="1"/>
  <c r="AD549" i="2" s="1"/>
  <c r="X533" i="2"/>
  <c r="L559" i="2"/>
  <c r="AG517" i="2"/>
  <c r="AH517" i="2" s="1"/>
  <c r="L543" i="2"/>
  <c r="X524" i="2"/>
  <c r="W542" i="2"/>
  <c r="V542" i="2"/>
  <c r="U542" i="2"/>
  <c r="T542" i="2"/>
  <c r="T529" i="2"/>
  <c r="W529" i="2"/>
  <c r="V529" i="2"/>
  <c r="U529" i="2"/>
  <c r="X564" i="2"/>
  <c r="V550" i="2" l="1"/>
  <c r="W550" i="2"/>
  <c r="T550" i="2"/>
  <c r="U550" i="2"/>
  <c r="AK475" i="2"/>
  <c r="AL475" i="2" s="1"/>
  <c r="AK440" i="2"/>
  <c r="AL440" i="2" s="1"/>
  <c r="AJ535" i="2"/>
  <c r="AK535" i="2" s="1"/>
  <c r="AL535" i="2" s="1"/>
  <c r="AB536" i="2"/>
  <c r="AC536" i="2" s="1"/>
  <c r="AD536" i="2" s="1"/>
  <c r="V556" i="2"/>
  <c r="U556" i="2"/>
  <c r="T556" i="2"/>
  <c r="W556" i="2"/>
  <c r="X529" i="2"/>
  <c r="X542" i="2"/>
  <c r="AF564" i="2"/>
  <c r="AG564" i="2" s="1"/>
  <c r="AH564" i="2" s="1"/>
  <c r="AF553" i="2"/>
  <c r="AG553" i="2" s="1"/>
  <c r="AH553" i="2" s="1"/>
  <c r="U521" i="2"/>
  <c r="W521" i="2"/>
  <c r="V521" i="2"/>
  <c r="T521" i="2"/>
  <c r="X523" i="2"/>
  <c r="AJ567" i="2"/>
  <c r="AK567" i="2" s="1"/>
  <c r="AL567" i="2" s="1"/>
  <c r="W543" i="2"/>
  <c r="U543" i="2"/>
  <c r="T543" i="2"/>
  <c r="V543" i="2"/>
  <c r="W559" i="2"/>
  <c r="V559" i="2"/>
  <c r="T559" i="2"/>
  <c r="U559" i="2"/>
  <c r="AB544" i="2"/>
  <c r="AC544" i="2" s="1"/>
  <c r="AD544" i="2" s="1"/>
  <c r="AD568" i="2" s="1"/>
  <c r="C7" i="1" s="1"/>
  <c r="X530" i="2"/>
  <c r="X512" i="2"/>
  <c r="X531" i="2"/>
  <c r="X562" i="2"/>
  <c r="AJ561" i="2"/>
  <c r="AK561" i="2" s="1"/>
  <c r="AL561" i="2" s="1"/>
  <c r="X550" i="2" l="1"/>
  <c r="AJ522" i="2"/>
  <c r="AK522" i="2" s="1"/>
  <c r="AL522" i="2" s="1"/>
  <c r="AJ487" i="2"/>
  <c r="K5" i="1"/>
  <c r="AH568" i="2"/>
  <c r="C8" i="1" s="1"/>
  <c r="X556" i="2"/>
  <c r="X559" i="2"/>
  <c r="X543" i="2"/>
  <c r="X521" i="2"/>
  <c r="AK487" i="2" l="1"/>
  <c r="AL487" i="2" s="1"/>
  <c r="X568" i="2"/>
  <c r="C4" i="1" s="1"/>
  <c r="AJ534" i="2" l="1"/>
  <c r="AK534" i="2" s="1"/>
  <c r="AL534" i="2" s="1"/>
  <c r="AL568" i="2"/>
  <c r="K4" i="1" l="1"/>
  <c r="C9" i="1"/>
  <c r="C14" i="1" s="1"/>
  <c r="C17" i="1" s="1"/>
  <c r="K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00000000-0006-0000-0100-00001D000000}">
      <text>
        <r>
          <rPr>
            <sz val="11"/>
            <color rgb="FF000000"/>
            <rFont val="Calibri"/>
            <family val="2"/>
          </rPr>
          <t>======
ID#AAAADkn55Tw
Prakash, Mihir    (2019-07-23 20:14:50)
Cost of buses is not adjusted to PPP since they would likely be imported at international prices.</t>
        </r>
      </text>
    </comment>
    <comment ref="K3" authorId="0" shapeId="0" xr:uid="{00000000-0006-0000-0100-000019000000}">
      <text>
        <r>
          <rPr>
            <sz val="11"/>
            <color rgb="FF000000"/>
            <rFont val="Calibri"/>
            <family val="2"/>
          </rPr>
          <t>======
ID#AAAADkn55S8
Suzanne Schadel    (2019-08-01 12:45:12)
Road data may not be sourced or adjusted to lengths in 2019</t>
        </r>
      </text>
    </comment>
    <comment ref="N3" authorId="0" shapeId="0" xr:uid="{00000000-0006-0000-0100-00001B000000}">
      <text>
        <r>
          <rPr>
            <sz val="11"/>
            <color rgb="FF000000"/>
            <rFont val="Calibri"/>
            <family val="2"/>
          </rPr>
          <t>======
ID#AAAADkn55T8
tc={FBE2F11E-3821-46D7-9A0D-D7412FC00288}    (2019-08-01 12:04:12)
[Threaded comment]
Your version of Excel allows you to read this threaded comment; however, any edits to it will get removed if the file is opened in a newer version of Excel. Learn more: https://go.microsoft.com/fwlink/?linkid=870924
Comment:
    Cost for repaving is all done in year 2019</t>
        </r>
      </text>
    </comment>
    <comment ref="AB3" authorId="0" shapeId="0" xr:uid="{00000000-0006-0000-0100-00000B000000}">
      <text>
        <r>
          <rPr>
            <sz val="11"/>
            <color rgb="FF000000"/>
            <rFont val="Calibri"/>
            <family val="2"/>
          </rPr>
          <t>======
ID#AAAADkn55UY
tc={653B74B9-8F94-43C3-9CF2-ED04281E46FC}    (2019-10-09 15:24:34)
[Threaded comment]
Your version of Excel allows you to read this threaded comment; however, any edits to it will get removed if the file is opened in a newer version of Excel. Learn more: https://go.microsoft.com/fwlink/?linkid=870924
Comment:
    Source: DANE. Minibuses are assumed to be equal to 20% of the capacity of a standard "omnibus"
Reply:
    If no data on the fleet of the buses could be found, it was assumed that the fleet needs to be replaced</t>
        </r>
      </text>
    </comment>
    <comment ref="AF3" authorId="0" shapeId="0" xr:uid="{00000000-0006-0000-0100-00000A000000}">
      <text>
        <r>
          <rPr>
            <sz val="11"/>
            <color rgb="FF000000"/>
            <rFont val="Calibri"/>
            <family val="2"/>
          </rPr>
          <t>======
ID#AAAADkn55Ug
tc={40E2AEE4-E70B-4FC9-A6C0-9843A6324381}    (2019-10-09 15:24:34)
[Threaded comment]
Your version of Excel allows you to read this threaded comment; however, any edits to it will get removed if the file is opened in a newer version of Excel. Learn more: https://go.microsoft.com/fwlink/?linkid=870924
Comment:
    For values in green, it should be noted that these values include metropolitan areas and that they also do not take into account the accessibility of the bus stops. When possible, the BRT bus lines were not included</t>
        </r>
      </text>
    </comment>
    <comment ref="AJ3" authorId="0" shapeId="0" xr:uid="{00000000-0006-0000-0100-000001000000}">
      <text>
        <r>
          <rPr>
            <sz val="11"/>
            <color rgb="FF000000"/>
            <rFont val="Calibri"/>
            <family val="2"/>
          </rPr>
          <t>======
ID#AAAADkn55Vo
tc={68AF0CF2-B132-47A4-93CF-07030B77B684}    (2019-10-09 15:24:34)
[Threaded comment]
Your version of Excel allows you to read this threaded comment; however, any edits to it will get removed if the file is opened in a newer version of Excel. Learn more: https://go.microsoft.com/fwlink/?linkid=870924
Comment:
    Values in green are derived from Google Earth Image Estimates. Otherwise, values are taken from Development or POT plan</t>
        </r>
      </text>
    </comment>
    <comment ref="AF4" authorId="0" shapeId="0" xr:uid="{00000000-0006-0000-0100-00000D000000}">
      <text>
        <r>
          <rPr>
            <sz val="11"/>
            <color rgb="FF000000"/>
            <rFont val="Calibri"/>
            <family val="2"/>
          </rPr>
          <t>======
ID#AAAADkn55UI
tc={4EF3E3BE-A93A-4DC7-A2C5-D1D3E5BF779D}    (2019-10-09 15:24:34)
[Threaded comment]
Your version of Excel allows you to read this threaded comment; however, any edits to it will get removed if the file is opened in a newer version of Excel. Learn more: https://go.microsoft.com/fwlink/?linkid=870924
Comment:
    From STIP "Avance de la Implementación del SITP
Cámara de Comercio de Bogotá – Foro Bogotá Siempre gana con el SITP - Octubre 23 de 2013"</t>
        </r>
      </text>
    </comment>
    <comment ref="AO4" authorId="0" shapeId="0" xr:uid="{00000000-0006-0000-0100-00001E000000}">
      <text>
        <r>
          <rPr>
            <sz val="11"/>
            <color rgb="FF000000"/>
            <rFont val="Calibri"/>
            <family val="2"/>
          </rPr>
          <t>======
ID#AAAADkn55TU
Schadel, Suzanne    (2019-07-23 20:14:50)
values from brtdata.org</t>
        </r>
      </text>
    </comment>
    <comment ref="AB5" authorId="0" shapeId="0" xr:uid="{00000000-0006-0000-0100-000014000000}">
      <text>
        <r>
          <rPr>
            <sz val="11"/>
            <color rgb="FF000000"/>
            <rFont val="Calibri"/>
            <family val="2"/>
          </rPr>
          <t>======
ID#AAAADkn55Sw
tc={DB50A4F0-675E-4AC7-91C2-2E57DD878519}    (2019-10-09 15:24:34)
[Threaded comment]
Your version of Excel allows you to read this threaded comment; however, any edits to it will get removed if the file is opened in a newer version of Excel. Learn more: https://go.microsoft.com/fwlink/?linkid=870924
Comment:
    Source: CAF (2015)</t>
        </r>
      </text>
    </comment>
    <comment ref="AO10" authorId="0" shapeId="0" xr:uid="{00000000-0006-0000-0100-000010000000}">
      <text>
        <r>
          <rPr>
            <sz val="11"/>
            <color rgb="FF000000"/>
            <rFont val="Calibri"/>
            <family val="2"/>
          </rPr>
          <t>======
ID#AAAADkn55T0
tc={F2E3FBCC-8126-438E-8B57-6F48D53BE6BB}    (2019-10-09 15:24:34)
[Threaded comment]
Your version of Excel allows you to read this threaded comment; however, any edits to it will get removed if the file is opened in a newer version of Excel. Learn more: https://go.microsoft.com/fwlink/?linkid=870924
Comment:
    Data gaps filled with average of known values</t>
        </r>
      </text>
    </comment>
    <comment ref="K12" authorId="0" shapeId="0" xr:uid="{00000000-0006-0000-0100-00001C000000}">
      <text>
        <r>
          <rPr>
            <sz val="11"/>
            <color rgb="FF000000"/>
            <rFont val="Calibri"/>
            <family val="2"/>
          </rPr>
          <t>======
ID#AAAADkn55Vk
Suzanne Schadel    (2019-07-29 20:50:45)
Master plan mentioned rehabilitating 76 km of road, so it is assumed that at least 76 km exists</t>
        </r>
      </text>
    </comment>
    <comment ref="AQ12" authorId="0" shapeId="0" xr:uid="{00000000-0006-0000-0100-000013000000}">
      <text>
        <r>
          <rPr>
            <sz val="11"/>
            <color rgb="FF000000"/>
            <rFont val="Calibri"/>
            <family val="2"/>
          </rPr>
          <t>======
ID#AAAADkn55S0
tc={B7C9BEF1-86DF-4301-8E42-2DE87DA8457B}    (2019-10-09 15:24:34)
[Threaded comment]
Your version of Excel allows you to read this threaded comment; however, any edits to it will get removed if the file is opened in a newer version of Excel. Learn more: https://go.microsoft.com/fwlink/?linkid=870924
Comment:
    Data gaps filled with averge of provincial capital data</t>
        </r>
      </text>
    </comment>
    <comment ref="H16" authorId="0" shapeId="0" xr:uid="{00000000-0006-0000-0100-000007000000}">
      <text>
        <r>
          <rPr>
            <sz val="11"/>
            <color rgb="FF000000"/>
            <rFont val="Calibri"/>
            <family val="2"/>
          </rPr>
          <t>======
ID#AAAADkn55Us
Suzanne Schadel (Student)    (2019-10-09 15:24:34)
Suzanne Schadel (Student):Urban area estimated using Google Earth Pro</t>
        </r>
      </text>
    </comment>
    <comment ref="K16" authorId="0" shapeId="0" xr:uid="{00000000-0006-0000-0100-000003000000}">
      <text>
        <r>
          <rPr>
            <sz val="11"/>
            <color rgb="FF000000"/>
            <rFont val="Calibri"/>
            <family val="2"/>
          </rPr>
          <t>======
ID#AAAADkn55Vc
tc={5E787B48-5749-425B-A28B-AFD5692F1B97}    (2019-10-09 15:24:34)
[Threaded comment]
Your version of Excel allows you to read this threaded comment; however, any edits to it will get removed if the file is opened in a newer version of Excel. Learn more: https://go.microsoft.com/fwlink/?linkid=870924
Comment:
    Master Plan spoke of building and rehabilitating this length of roads, but gave no actual length of total roads</t>
        </r>
      </text>
    </comment>
    <comment ref="K17" authorId="0" shapeId="0" xr:uid="{00000000-0006-0000-0100-000011000000}">
      <text>
        <r>
          <rPr>
            <sz val="11"/>
            <color rgb="FF000000"/>
            <rFont val="Calibri"/>
            <family val="2"/>
          </rPr>
          <t>======
ID#AAAADkn55TY
tc={961237A2-1D9B-407E-AF66-88CBCD8EDB40}    (2019-10-09 15:24:34)
[Threaded comment]
Your version of Excel allows you to read this threaded comment; however, any edits to it will get removed if the file is opened in a newer version of Excel. Learn more: https://go.microsoft.com/fwlink/?linkid=870924
Comment:
    Master Plan spoke of building and rehabilitating this length of roads, but gave no actual length of total roads</t>
        </r>
      </text>
    </comment>
    <comment ref="K18" authorId="0" shapeId="0" xr:uid="{00000000-0006-0000-0100-00001A000000}">
      <text>
        <r>
          <rPr>
            <sz val="11"/>
            <color rgb="FF000000"/>
            <rFont val="Calibri"/>
            <family val="2"/>
          </rPr>
          <t>======
ID#AAAADkn55Uc
Suzanne Schadel    (2019-08-01 12:44:42)
http://planeacionarmenia.gov.co/plan-de-desarrollo-sigamos-adelante-2016-2019/</t>
        </r>
      </text>
    </comment>
    <comment ref="K20" authorId="0" shapeId="0" xr:uid="{00000000-0006-0000-0100-000016000000}">
      <text>
        <r>
          <rPr>
            <sz val="11"/>
            <color rgb="FF000000"/>
            <rFont val="Calibri"/>
            <family val="2"/>
          </rPr>
          <t>======
ID#AAAADkn55Tc
Suzanne Schadel    (2019-08-01 13:15:08)
Paved roads were given, used ratio of paved:unpaved roads to determine total number of roads</t>
        </r>
      </text>
    </comment>
    <comment ref="AF21" authorId="0" shapeId="0" xr:uid="{00000000-0006-0000-0100-000006000000}">
      <text>
        <r>
          <rPr>
            <sz val="11"/>
            <color rgb="FF000000"/>
            <rFont val="Calibri"/>
            <family val="2"/>
          </rPr>
          <t>======
ID#AAAADkn55U8
tc={12759AA8-FB34-4375-88CB-8E69B593E97E}    (2019-10-09 15:24:34)
[Threaded comment]
Your version of Excel allows you to read this threaded comment; however, any edits to it will get removed if the file is opened in a newer version of Excel. Learn more: https://go.microsoft.com/fwlink/?linkid=870924
Comment:
    https://moovitapp.com/index/es-419/transporte_p%C3%BAblico-lines-Sincelejo-2748-851601</t>
        </r>
      </text>
    </comment>
    <comment ref="N22" authorId="0" shapeId="0" xr:uid="{00000000-0006-0000-0100-000018000000}">
      <text>
        <r>
          <rPr>
            <sz val="11"/>
            <color rgb="FF000000"/>
            <rFont val="Calibri"/>
            <family val="2"/>
          </rPr>
          <t>======
ID#AAAADkn55VA
Suzanne Schadel    (2019-08-01 12:46:37)
Value found from Popayan 2016 municipal development plan from 2016</t>
        </r>
      </text>
    </comment>
    <comment ref="AF22" authorId="0" shapeId="0" xr:uid="{00000000-0006-0000-0100-000002000000}">
      <text>
        <r>
          <rPr>
            <sz val="11"/>
            <color rgb="FF000000"/>
            <rFont val="Calibri"/>
            <family val="2"/>
          </rPr>
          <t>======
ID#AAAADkn55Vg
tc={93DB0C89-4D77-4C7C-A770-964A41C7BB8B}    (2019-10-09 15:24:34)
[Threaded comment]
Your version of Excel allows you to read this threaded comment; however, any edits to it will get removed if the file is opened in a newer version of Excel. Learn more: https://go.microsoft.com/fwlink/?linkid=870924
Comment:
    https://moovitapp.com/index/es-419/transporte_p%C3%BAblico-lines-Popay%C3%A1n-3463-856396</t>
        </r>
      </text>
    </comment>
    <comment ref="AJ22" authorId="0" shapeId="0" xr:uid="{00000000-0006-0000-0100-000017000000}">
      <text>
        <r>
          <rPr>
            <sz val="11"/>
            <color rgb="FF000000"/>
            <rFont val="Calibri"/>
            <family val="2"/>
          </rPr>
          <t>======
ID#AAAADkn55Tk
Suzanne Schadel    (2019-08-01 12:47:39)
From Popayan POT of 2013. http://popayan.gov.co/sites/default/files/documentosAnexos/pot-popayan.pdf</t>
        </r>
      </text>
    </comment>
    <comment ref="K27" authorId="0" shapeId="0" xr:uid="{00000000-0006-0000-0100-00000F000000}">
      <text>
        <r>
          <rPr>
            <sz val="11"/>
            <color rgb="FF000000"/>
            <rFont val="Calibri"/>
            <family val="2"/>
          </rPr>
          <t>======
ID#AAAADkn55UA
tc={2F5C7950-E8AF-44FB-8715-18090F972C1E}    (2019-10-09 15:24:34)
[Threaded comment]
Your version of Excel allows you to read this threaded comment; however, any edits to it will get removed if the file is opened in a newer version of Excel. Learn more: https://go.microsoft.com/fwlink/?linkid=870924
Comment:
    Value taken from known amount of roads that were intended to be targeted for rehabilitation from development plan (2016)</t>
        </r>
      </text>
    </comment>
    <comment ref="M29" authorId="0" shapeId="0" xr:uid="{00000000-0006-0000-0100-00000C000000}">
      <text>
        <r>
          <rPr>
            <sz val="11"/>
            <color rgb="FF000000"/>
            <rFont val="Calibri"/>
            <family val="2"/>
          </rPr>
          <t>======
ID#AAAADkn55UM
tc={A9EFAA28-DB85-4B0C-B3AA-2340047EB419}    (2019-10-09 15:24:34)
[Threaded comment]
Your version of Excel allows you to read this threaded comment; however, any edits to it will get removed if the file is opened in a newer version of Excel. Learn more: https://go.microsoft.com/fwlink/?linkid=870924
Comment:
    From Development plan of 2012</t>
        </r>
      </text>
    </comment>
    <comment ref="AJ36" authorId="0" shapeId="0" xr:uid="{00000000-0006-0000-0100-000004000000}">
      <text>
        <r>
          <rPr>
            <sz val="11"/>
            <color rgb="FF000000"/>
            <rFont val="Calibri"/>
            <family val="2"/>
          </rPr>
          <t>======
ID#AAAADkn55VQ
tc={01A8D91D-CEAE-4E9D-854C-2DB457540DAC}    (2019-10-09 15:24:34)
[Threaded comment]
Your version of Excel allows you to read this threaded comment; however, any edits to it will get removed if the file is opened in a newer version of Excel. Learn more: https://go.microsoft.com/fwlink/?linkid=870924
Comment:
    Value taken from Cartago municipal plan, 2016-2019</t>
        </r>
      </text>
    </comment>
    <comment ref="AQ36" authorId="0" shapeId="0" xr:uid="{00000000-0006-0000-0100-00000E000000}">
      <text>
        <r>
          <rPr>
            <sz val="11"/>
            <color rgb="FF000000"/>
            <rFont val="Calibri"/>
            <family val="2"/>
          </rPr>
          <t>======
ID#AAAADkn55UE
tc={478E5872-B323-4DA6-BC7D-788708DE2317}    (2019-10-09 15:24:34)
[Threaded comment]
Your version of Excel allows you to read this threaded comment; however, any edits to it will get removed if the file is opened in a newer version of Excel. Learn more: https://go.microsoft.com/fwlink/?linkid=870924
Comment:
    Data gaps filled with average values of non-provincial capital cities</t>
        </r>
      </text>
    </comment>
    <comment ref="AJ40" authorId="0" shapeId="0" xr:uid="{00000000-0006-0000-0100-000012000000}">
      <text>
        <r>
          <rPr>
            <sz val="11"/>
            <color rgb="FF000000"/>
            <rFont val="Calibri"/>
            <family val="2"/>
          </rPr>
          <t>======
ID#AAAADkn55TE
tc={C16FE0EF-3AEF-481A-98EA-129D70BB7E60}    (2019-10-09 15:24:34)
[Threaded comment]
Your version of Excel allows you to read this threaded comment; however, any edits to it will get removed if the file is opened in a newer version of Excel. Learn more: https://go.microsoft.com/fwlink/?linkid=870924
Comment:
    Value taken from Sogamoso development plan, 2016-2019</t>
        </r>
      </text>
    </comment>
    <comment ref="AB47" authorId="0" shapeId="0" xr:uid="{00000000-0006-0000-0100-000008000000}">
      <text>
        <r>
          <rPr>
            <sz val="11"/>
            <color rgb="FF000000"/>
            <rFont val="Calibri"/>
            <family val="2"/>
          </rPr>
          <t xml:space="preserve">======
</t>
        </r>
        <r>
          <rPr>
            <sz val="11"/>
            <color rgb="FF000000"/>
            <rFont val="Calibri"/>
            <family val="2"/>
          </rPr>
          <t xml:space="preserve">ID#AAAADkn55Uo
</t>
        </r>
        <r>
          <rPr>
            <sz val="11"/>
            <color rgb="FF000000"/>
            <rFont val="Calibri"/>
            <family val="2"/>
          </rPr>
          <t xml:space="preserve">tc={AB5089E5-92D0-47C6-889D-E3FADB427C6F}    (2019-10-09 15:24:34)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Assumed number from development plan claiming there were 241 "cars, minibuses, and buses."</t>
        </r>
      </text>
    </comment>
    <comment ref="AF47" authorId="0" shapeId="0" xr:uid="{00000000-0006-0000-0100-000009000000}">
      <text>
        <r>
          <rPr>
            <sz val="11"/>
            <color rgb="FF000000"/>
            <rFont val="Calibri"/>
            <family val="2"/>
          </rPr>
          <t>======
ID#AAAADkn55Uk
tc={34290FAB-A977-4F82-9AA9-16A859A88621}    (2019-10-09 15:24:34)
[Threaded comment]
Your version of Excel allows you to read this threaded comment; however, any edits to it will get removed if the file is opened in a newer version of Excel. Learn more: https://go.microsoft.com/fwlink/?linkid=870924
Comment:
    Development plan claimed that all were inadequate and not accessible</t>
        </r>
      </text>
    </comment>
    <comment ref="AB50" authorId="0" shapeId="0" xr:uid="{00000000-0006-0000-0100-000015000000}">
      <text>
        <r>
          <rPr>
            <sz val="11"/>
            <color rgb="FF000000"/>
            <rFont val="Calibri"/>
            <family val="2"/>
          </rPr>
          <t>======
ID#AAAADkn55Sg
tc={711561DE-F886-4D3F-881F-7504DDBB192C}    (2019-10-09 15:24:34)
[Threaded comment]
Your version of Excel allows you to read this threaded comment; however, any edits to it will get removed if the file is opened in a newer version of Excel. Learn more: https://go.microsoft.com/fwlink/?linkid=870924
Comment:
    Operates using informal bus economy</t>
        </r>
      </text>
    </comment>
    <comment ref="AF50" authorId="0" shapeId="0" xr:uid="{00000000-0006-0000-0100-000005000000}">
      <text>
        <r>
          <rPr>
            <sz val="11"/>
            <color rgb="FF000000"/>
            <rFont val="Calibri"/>
            <family val="2"/>
          </rPr>
          <t>======
ID#AAAADkn55VI
tc={FB45FC8D-A18F-47C0-9848-D774D9414B24}    (2019-10-09 15:24:34)
[Threaded comment]
Your version of Excel allows you to read this threaded comment; however, any edits to it will get removed if the file is opened in a newer version of Excel. Learn more: https://go.microsoft.com/fwlink/?linkid=870924
Comment:
    Operates using informal bus economy</t>
        </r>
      </text>
    </comment>
  </commentList>
  <extLst>
    <ext xmlns:r="http://schemas.openxmlformats.org/officeDocument/2006/relationships" uri="GoogleSheetsCustomDataVersion1">
      <go:sheetsCustomData xmlns:go="http://customooxmlschemas.google.com/" r:id="rId1" roundtripDataSignature="AMtx7miLnuoBZrinF4T50e2iZXCZbSmID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400-000001000000}">
      <text>
        <r>
          <rPr>
            <sz val="11"/>
            <color rgb="FF000000"/>
            <rFont val="Calibri"/>
            <family val="2"/>
          </rPr>
          <t>======
ID#AAAADkn55TM
tc={4E48EB00-4175-447D-9B0A-F0EDB52CEE1C}    (2019-08-01 12:04:12)
[Threaded comment]
Your version of Excel allows you to read this threaded comment; however, any edits to it will get removed if the file is opened in a newer version of Excel. Learn more: https://go.microsoft.com/fwlink/?linkid=870924
Comment:
    Original cost is in Rupees (2016)</t>
        </r>
      </text>
    </comment>
  </commentList>
  <extLst>
    <ext xmlns:r="http://schemas.openxmlformats.org/officeDocument/2006/relationships" uri="GoogleSheetsCustomDataVersion1">
      <go:sheetsCustomData xmlns:go="http://customooxmlschemas.google.com/" r:id="rId1" roundtripDataSignature="AMtx7mhcsclh9dtZQyRIwN/M5FKDZR0xN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500-000002000000}">
      <text>
        <r>
          <rPr>
            <sz val="11"/>
            <color rgb="FF000000"/>
            <rFont val="Calibri"/>
            <family val="2"/>
          </rPr>
          <t>======
ID#AAAADkn55Ss
tc={70A121EB-B175-4D9C-8B48-E35F55D90DC5}    (2019-10-09 15:24:34)
[Threaded comment]
Your version of Excel allows you to read this threaded comment; however, any edits to it will get removed if the file is opened in a newer version of Excel. Learn more: https://go.microsoft.com/fwlink/?linkid=870924
Comment:
    Value from Development plan of 2016</t>
        </r>
      </text>
    </comment>
    <comment ref="C41" authorId="0" shapeId="0" xr:uid="{00000000-0006-0000-0500-000004000000}">
      <text>
        <r>
          <rPr>
            <sz val="11"/>
            <color rgb="FF000000"/>
            <rFont val="Calibri"/>
            <family val="2"/>
          </rPr>
          <t>======
ID#AAAADkn55Sk
tc={221AEDA3-9FA1-492B-A080-8FD4153A1BB4}    (2019-10-09 15:24:34)
[Threaded comment]
Your version of Excel allows you to read this threaded comment; however, any edits to it will get removed if the file is opened in a newer version of Excel. Learn more: https://go.microsoft.com/fwlink/?linkid=870924
Comment:
    Value from Development plan of 2016</t>
        </r>
      </text>
    </comment>
    <comment ref="C45" authorId="0" shapeId="0" xr:uid="{00000000-0006-0000-0500-000001000000}">
      <text>
        <r>
          <rPr>
            <sz val="11"/>
            <color rgb="FF000000"/>
            <rFont val="Calibri"/>
            <family val="2"/>
          </rPr>
          <t>======
ID#AAAADkn55VY
tc={B80AFB08-0C1C-4C37-90FE-34F7671C0779}    (2019-10-09 15:24:34)
[Threaded comment]
Your version of Excel allows you to read this threaded comment; however, any edits to it will get removed if the file is opened in a newer version of Excel. Learn more: https://go.microsoft.com/fwlink/?linkid=870924
Comment:
    Value from Development plan of 2016</t>
        </r>
      </text>
    </comment>
    <comment ref="D48" authorId="0" shapeId="0" xr:uid="{00000000-0006-0000-0500-000003000000}">
      <text>
        <r>
          <rPr>
            <sz val="11"/>
            <color rgb="FF000000"/>
            <rFont val="Calibri"/>
            <family val="2"/>
          </rPr>
          <t>======
ID#AAAADkn55So
tc={4A905E29-13E0-438F-BAF7-8C0CFFA999FE}    (2019-10-09 15:24:34)
[Threaded comment]
Your version of Excel allows you to read this threaded comment; however, any edits to it will get removed if the file is opened in a newer version of Excel. Learn more: https://go.microsoft.com/fwlink/?linkid=870924
Comment:
    Projected value from Development Plan (2016)</t>
        </r>
      </text>
    </comment>
  </commentList>
  <extLst>
    <ext xmlns:r="http://schemas.openxmlformats.org/officeDocument/2006/relationships" uri="GoogleSheetsCustomDataVersion1">
      <go:sheetsCustomData xmlns:go="http://customooxmlschemas.google.com/" r:id="rId1" roundtripDataSignature="AMtx7mgkESl1Tnh90Ew/aAn2jfYD7NFUj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1000000}">
      <text>
        <r>
          <rPr>
            <sz val="11"/>
            <color rgb="FF000000"/>
            <rFont val="Calibri"/>
            <family val="2"/>
          </rPr>
          <t>======
ID#AAAADkn55U0
tc={2031D03A-3737-4A38-83BC-93BEAD02B04A}    (2019-10-09 15:24:34)
[Threaded comment]
Your version of Excel allows you to read this threaded comment; however, any edits to it will get removed if the file is opened in a newer version of Excel. Learn more: https://go.microsoft.com/fwlink/?linkid=870924
Comment:
    Calculated using "Censo Nacional de Población y Vivienda - CNPV 2018" and dividing the population of the city by the number of households.</t>
        </r>
      </text>
    </comment>
    <comment ref="E1" authorId="0" shapeId="0" xr:uid="{00000000-0006-0000-0600-000002000000}">
      <text>
        <r>
          <rPr>
            <sz val="11"/>
            <color rgb="FF000000"/>
            <rFont val="Calibri"/>
            <family val="2"/>
          </rPr>
          <t>======
ID#AAAADkn55To
Suzanne Schadel    (2019-08-01 12:49:15)
Data from GEIH 2019 for Bogota
Medellin
Cali
Barranquilla
Bucaramanga
Cartagena
Cucuta
Pereira
Ibague
Manizales
Villavicencio
Monteria</t>
        </r>
      </text>
    </comment>
    <comment ref="F1" authorId="0" shapeId="0" xr:uid="{00000000-0006-0000-0600-000003000000}">
      <text>
        <r>
          <rPr>
            <sz val="11"/>
            <color rgb="FF000000"/>
            <rFont val="Calibri"/>
            <family val="2"/>
          </rPr>
          <t>======
ID#AAAADkn55TQ
Suzanne Schadel    (2019-08-01 12:49:15)
Data from GEIH 2019 for Bogota
Medellin
Cali
Barranquilla
Bucaramanga
Cartagena
Cucuta
Pereira
Ibague
Manizales
Villavicencio
Monteria</t>
        </r>
      </text>
    </comment>
  </commentList>
  <extLst>
    <ext xmlns:r="http://schemas.openxmlformats.org/officeDocument/2006/relationships" uri="GoogleSheetsCustomDataVersion1">
      <go:sheetsCustomData xmlns:go="http://customooxmlschemas.google.com/" r:id="rId1" roundtripDataSignature="AMtx7miGfID4dlE8ulQDqaQccB7sH8mk+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700-000002000000}">
      <text>
        <r>
          <rPr>
            <sz val="11"/>
            <color rgb="FF000000"/>
            <rFont val="Calibri"/>
            <family val="2"/>
          </rPr>
          <t>======
ID#AAAADkn55VE
tc={FC223E2E-11E4-44B3-8879-B1A38BA037C6}    (2019-10-09 15:24:34)
[Threaded comment]
Your version of Excel allows you to read this threaded comment; however, any edits to it will get removed if the file is opened in a newer version of Excel. Learn more: https://go.microsoft.com/fwlink/?linkid=870924
Comment:
    Area expansion applied to all cities up to 2019; tier 1 densification (exclusion from urban expansion equations) applies after 2019</t>
        </r>
      </text>
    </comment>
    <comment ref="E14" authorId="0" shapeId="0" xr:uid="{00000000-0006-0000-0700-000005000000}">
      <text>
        <r>
          <rPr>
            <sz val="11"/>
            <color rgb="FF000000"/>
            <rFont val="Calibri"/>
            <family val="2"/>
          </rPr>
          <t>======
ID#AAAADkn55UQ
tc={71D0AD24-3C4D-4454-905B-7F2788BF744C}    (2019-10-09 15:24:34)
[Threaded comment]
Your version of Excel allows you to read this threaded comment; however, any edits to it will get removed if the file is opened in a newer version of Excel. Learn more: https://go.microsoft.com/fwlink/?linkid=870924
Comment:
    Used Google Earth as a function fo total population to estimate effective urban area of municipal boundary</t>
        </r>
      </text>
    </comment>
    <comment ref="E18" authorId="0" shapeId="0" xr:uid="{00000000-0006-0000-0700-000008000000}">
      <text>
        <r>
          <rPr>
            <sz val="11"/>
            <color rgb="FF000000"/>
            <rFont val="Calibri"/>
            <family val="2"/>
          </rPr>
          <t>======
ID#AAAADkn55TI
tc={DCF0D758-FED4-44C6-BEC9-EC3BA14941DB}    (2019-10-09 15:24:34)
[Threaded comment]
Your version of Excel allows you to read this threaded comment; however, any edits to it will get removed if the file is opened in a newer version of Excel. Learn more: https://go.microsoft.com/fwlink/?linkid=870924
Comment:
    Data from wikipedia for total area. Used Google Earth as a function fo total population to estimate effective urban area of municipal boundary</t>
        </r>
      </text>
    </comment>
    <comment ref="E23" authorId="0" shapeId="0" xr:uid="{00000000-0006-0000-0700-000004000000}">
      <text>
        <r>
          <rPr>
            <sz val="11"/>
            <color rgb="FF000000"/>
            <rFont val="Calibri"/>
            <family val="2"/>
          </rPr>
          <t>======
ID#AAAADkn55UU
tc={6591ED40-DE14-4A30-8BAF-AFAA993121FD}    (2019-10-09 15:24:34)
[Threaded comment]
Your version of Excel allows you to read this threaded comment; however, any edits to it will get removed if the file is opened in a newer version of Excel. Learn more: https://go.microsoft.com/fwlink/?linkid=870924
Comment:
    Data from wikipedia for total area. Used Google Earth as a function fo total population to estimate effective urban area of municipal boundary</t>
        </r>
      </text>
    </comment>
    <comment ref="E34" authorId="0" shapeId="0" xr:uid="{00000000-0006-0000-0700-000006000000}">
      <text>
        <r>
          <rPr>
            <sz val="11"/>
            <color rgb="FF000000"/>
            <rFont val="Calibri"/>
            <family val="2"/>
          </rPr>
          <t>======
ID#AAAADkn55Ts
tc={EFEFF243-7E6D-4B16-BC7F-78FBEC334CB3}    (2019-10-09 15:24:34)
[Threaded comment]
Your version of Excel allows you to read this threaded comment; however, any edits to it will get removed if the file is opened in a newer version of Excel. Learn more: https://go.microsoft.com/fwlink/?linkid=870924
Comment:
    Area extention of the city not disaggregated to rural/urban.
Reply:
    Used Google Earth as a function fo total population to estimate effective urban area of municipal boundary</t>
        </r>
      </text>
    </comment>
    <comment ref="E35" authorId="0" shapeId="0" xr:uid="{00000000-0006-0000-0700-000009000000}">
      <text>
        <r>
          <rPr>
            <sz val="11"/>
            <color rgb="FF000000"/>
            <rFont val="Calibri"/>
            <family val="2"/>
          </rPr>
          <t>======
ID#AAAADkn55TA
tc={5CBA4207-AD7A-4EAA-A780-731C5E4FCF0D}    (2019-10-09 15:24:34)
[Threaded comment]
Your version of Excel allows you to read this threaded comment; however, any edits to it will get removed if the file is opened in a newer version of Excel. Learn more: https://go.microsoft.com/fwlink/?linkid=870924
Comment:
    Area extention of the city not disaggregated to rural/urban.
Reply:
    Used Google Earth as a function fo total population to estimate effective urban area of municipal boundary</t>
        </r>
      </text>
    </comment>
    <comment ref="E39" authorId="0" shapeId="0" xr:uid="{00000000-0006-0000-0700-000003000000}">
      <text>
        <r>
          <rPr>
            <sz val="11"/>
            <color rgb="FF000000"/>
            <rFont val="Calibri"/>
            <family val="2"/>
          </rPr>
          <t>======
ID#AAAADkn55U4
tc={20C13469-DD0F-4222-BBB2-54FD9016AE22}    (2019-10-09 15:24:34)
[Threaded comment]
Your version of Excel allows you to read this threaded comment; however, any edits to it will get removed if the file is opened in a newer version of Excel. Learn more: https://go.microsoft.com/fwlink/?linkid=870924
Comment:
    Area extention of the city not disaggregated to rural/urban.
Reply:
    Used Google Earth as a function fo total population to estimate effective urban area of municipal boundary</t>
        </r>
      </text>
    </comment>
    <comment ref="E40" authorId="0" shapeId="0" xr:uid="{00000000-0006-0000-0700-000007000000}">
      <text>
        <r>
          <rPr>
            <sz val="11"/>
            <color rgb="FF000000"/>
            <rFont val="Calibri"/>
            <family val="2"/>
          </rPr>
          <t>======
ID#AAAADkn55Tg
tc={454D0323-26FE-403B-A973-D1691ABAE96F}    (2019-10-09 15:24:34)
[Threaded comment]
Your version of Excel allows you to read this threaded comment; however, any edits to it will get removed if the file is opened in a newer version of Excel. Learn more: https://go.microsoft.com/fwlink/?linkid=870924
Comment:
    Area extention of the city not disaggregated to rural/urban.
Reply:
    Used Google Earth as a function fo total population to estimate effective urban area of municipal boundary</t>
        </r>
      </text>
    </comment>
    <comment ref="E41" authorId="0" shapeId="0" xr:uid="{00000000-0006-0000-0700-000001000000}">
      <text>
        <r>
          <rPr>
            <sz val="11"/>
            <color rgb="FF000000"/>
            <rFont val="Calibri"/>
            <family val="2"/>
          </rPr>
          <t>======
ID#AAAADkn55VU
tc={71F329D7-6CCC-4B80-9BE4-7BD224A8E436}    (2019-10-09 15:24:34)
[Threaded comment]
Your version of Excel allows you to read this threaded comment; however, any edits to it will get removed if the file is opened in a newer version of Excel. Learn more: https://go.microsoft.com/fwlink/?linkid=870924
Comment:
    Area extention of the city not disaggregated to rural/urban.
Reply:
    Used Google Earth as a function fo total population to estimate effective urban area of municipal boundary</t>
        </r>
      </text>
    </comment>
  </commentList>
  <extLst>
    <ext xmlns:r="http://schemas.openxmlformats.org/officeDocument/2006/relationships" uri="GoogleSheetsCustomDataVersion1">
      <go:sheetsCustomData xmlns:go="http://customooxmlschemas.google.com/" r:id="rId1" roundtripDataSignature="AMtx7mhAQS5LQQ3lxBh4QNqrQaUDgfdL2g=="/>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900-000004000000}">
      <text>
        <r>
          <rPr>
            <sz val="11"/>
            <color rgb="FF000000"/>
            <rFont val="Calibri"/>
            <family val="2"/>
          </rPr>
          <t>======
ID#AAAADkn55S4
tc={DBC86088-F6C4-4445-B625-5FF6BA1FBC27}    (2019-10-09 15:24:34)
[Threaded comment]
Your version of Excel allows you to read this threaded comment; however, any edits to it will get removed if the file is opened in a newer version of Excel. Learn more: https://go.microsoft.com/fwlink/?linkid=870924
Comment:
    Data gaps filled with average value of other departments</t>
        </r>
      </text>
    </comment>
    <comment ref="F9" authorId="0" shapeId="0" xr:uid="{00000000-0006-0000-0900-000003000000}">
      <text>
        <r>
          <rPr>
            <sz val="11"/>
            <color rgb="FF000000"/>
            <rFont val="Calibri"/>
            <family val="2"/>
          </rPr>
          <t>======
ID#AAAADkn55T4
tc={6160AABA-9083-426F-A131-B8127CC3C817}    (2019-10-09 15:24:34)
[Threaded comment]
Your version of Excel allows you to read this threaded comment; however, any edits to it will get removed if the file is opened in a newer version of Excel. Learn more: https://go.microsoft.com/fwlink/?linkid=870924
Comment:
    From Master Plan (2016)</t>
        </r>
      </text>
    </comment>
    <comment ref="F10" authorId="0" shapeId="0" xr:uid="{00000000-0006-0000-0900-000001000000}">
      <text>
        <r>
          <rPr>
            <sz val="11"/>
            <color rgb="FF000000"/>
            <rFont val="Calibri"/>
            <family val="2"/>
          </rPr>
          <t>======
ID#AAAADkn55VM
tc={99F021E0-BC1A-42F0-90A4-4B2AEDAEDCED}    (2019-10-09 15:24:34)
[Threaded comment]
Your version of Excel allows you to read this threaded comment; however, any edits to it will get removed if the file is opened in a newer version of Excel. Learn more: https://go.microsoft.com/fwlink/?linkid=870924
Comment:
    From Master Plan (2016)</t>
        </r>
      </text>
    </comment>
    <comment ref="F32" authorId="0" shapeId="0" xr:uid="{00000000-0006-0000-0900-000002000000}">
      <text>
        <r>
          <rPr>
            <sz val="11"/>
            <color rgb="FF000000"/>
            <rFont val="Calibri"/>
            <family val="2"/>
          </rPr>
          <t>======
ID#AAAADkn55Uw
tc={A4E8DEDC-BF4D-4AFF-8A88-12A4F2502D5E}    (2019-10-09 15:24:34)
[Threaded comment]
Your version of Excel allows you to read this threaded comment; however, any edits to it will get removed if the file is opened in a newer version of Excel. Learn more: https://go.microsoft.com/fwlink/?linkid=870924
Comment:
    From Master Plan (2016)</t>
        </r>
      </text>
    </comment>
  </commentList>
  <extLst>
    <ext xmlns:r="http://schemas.openxmlformats.org/officeDocument/2006/relationships" uri="GoogleSheetsCustomDataVersion1">
      <go:sheetsCustomData xmlns:go="http://customooxmlschemas.google.com/" r:id="rId1" roundtripDataSignature="AMtx7mgj/qeSPP3gMxgSPWPb11pbXnqlpQ=="/>
    </ext>
  </extLst>
</comments>
</file>

<file path=xl/sharedStrings.xml><?xml version="1.0" encoding="utf-8"?>
<sst xmlns="http://schemas.openxmlformats.org/spreadsheetml/2006/main" count="1208" uniqueCount="309">
  <si>
    <t>S.No.</t>
  </si>
  <si>
    <t>ROADS</t>
  </si>
  <si>
    <t>Item</t>
  </si>
  <si>
    <t>Cost (USD 2019)</t>
  </si>
  <si>
    <t>Variable:</t>
  </si>
  <si>
    <t>PUBLIC TRANSIT (BUSES)</t>
  </si>
  <si>
    <t>Value:</t>
  </si>
  <si>
    <t>Roads</t>
  </si>
  <si>
    <t xml:space="preserve">Affordability </t>
  </si>
  <si>
    <t>Source:</t>
  </si>
  <si>
    <t>Urban Mobility Planning</t>
  </si>
  <si>
    <t>Repaving</t>
  </si>
  <si>
    <t>Road Repavement</t>
  </si>
  <si>
    <t>New Road Construction</t>
  </si>
  <si>
    <t>Additional Construction</t>
  </si>
  <si>
    <t>Number of buses operated by B.E.S.T.</t>
  </si>
  <si>
    <t>Road Maintenance</t>
  </si>
  <si>
    <t>Buses</t>
  </si>
  <si>
    <t>https://www.bestundertaking.com/in/page.asp?i=1</t>
  </si>
  <si>
    <t>Bus Stops</t>
  </si>
  <si>
    <t>Maintenance</t>
  </si>
  <si>
    <t>Bus Terminals</t>
  </si>
  <si>
    <t>Operation &amp; Maintenance Cost of Buses and Admin Costs of Transit Authority</t>
  </si>
  <si>
    <t>Public Transport</t>
  </si>
  <si>
    <t>Affordability (Transportation Subsidy to the Lowest Quintile Households)</t>
  </si>
  <si>
    <t xml:space="preserve">Bus Fleet </t>
  </si>
  <si>
    <t>Cost of Developing a Plan for the City</t>
  </si>
  <si>
    <t>No</t>
  </si>
  <si>
    <t>City</t>
  </si>
  <si>
    <t>Bus Depot/Terminals</t>
  </si>
  <si>
    <t>Year</t>
  </si>
  <si>
    <t>Population</t>
  </si>
  <si>
    <t>Average HH Size</t>
  </si>
  <si>
    <t>https://data.worldbank.org/indicator/PA.NUS.FCRF?locations=IN</t>
  </si>
  <si>
    <t>Number of HH</t>
  </si>
  <si>
    <t>Area (Sq.Km)</t>
  </si>
  <si>
    <t>BRT Infrastructure (Forthcoming)</t>
  </si>
  <si>
    <t>Length of Roads Required (km)</t>
  </si>
  <si>
    <t>Operation &amp; Maintenance and Admin</t>
  </si>
  <si>
    <t>Current Length of Roads (km)</t>
  </si>
  <si>
    <t>Subsidation</t>
  </si>
  <si>
    <t>Total New Roads Required</t>
  </si>
  <si>
    <t>PPP of India in 2016</t>
  </si>
  <si>
    <t>Length of Existing Roads that Require Repavement (km)</t>
  </si>
  <si>
    <t>Arterial (km)</t>
  </si>
  <si>
    <t>https://data.worldbank.org/indicator/PA.NUS.PPPC.RF?locations=IN</t>
  </si>
  <si>
    <t>Sub-Arterial (km)</t>
  </si>
  <si>
    <t>Collector (km)</t>
  </si>
  <si>
    <t>Road Safety</t>
  </si>
  <si>
    <t>Local (km)</t>
  </si>
  <si>
    <t>COST (USD 2019)
Adjusted to PPP</t>
  </si>
  <si>
    <t>Programs (10% of Total Infrastructure Cost)</t>
  </si>
  <si>
    <t>Planning and Management</t>
  </si>
  <si>
    <t>COST (USD 2019)</t>
  </si>
  <si>
    <t>Total Buses Required</t>
  </si>
  <si>
    <t>Existing Buses in Operation</t>
  </si>
  <si>
    <t>Net Bus Addition</t>
  </si>
  <si>
    <t>TOTAL</t>
  </si>
  <si>
    <t xml:space="preserve">COST (USD 2019)
</t>
  </si>
  <si>
    <t>Total Required Bus Stops</t>
  </si>
  <si>
    <t>Existing Bus Stops in Operation</t>
  </si>
  <si>
    <t>Net Bus Stop Addition</t>
  </si>
  <si>
    <t>Expenditures by B.E.S.T.</t>
  </si>
  <si>
    <t>Total Required Bus Terminals</t>
  </si>
  <si>
    <t>Existing Bus Terminals in Operation</t>
  </si>
  <si>
    <t>Net Bus Terminal Addition</t>
  </si>
  <si>
    <t>2016, Rupee</t>
  </si>
  <si>
    <t>Average cost of public transit ticket (USD 2019)</t>
  </si>
  <si>
    <t>USD (2016)</t>
  </si>
  <si>
    <t>USD (2019) Inflation</t>
  </si>
  <si>
    <t>Per bus cost in India (USD 2019)</t>
  </si>
  <si>
    <t>Average amount spent monthly on transit per household (USD 2019)</t>
  </si>
  <si>
    <t>Adjusted to PPP of U.S.A. (USD 2019)</t>
  </si>
  <si>
    <t>Total costs, minus interest paid expenditures</t>
  </si>
  <si>
    <t>Average Monthly Per Capita Household Income of the Lowest Quintile of Population (USD 2019)</t>
  </si>
  <si>
    <t>Cost of subsidy required (USD 2019)</t>
  </si>
  <si>
    <t>Bogota</t>
  </si>
  <si>
    <t xml:space="preserve">Source: The Brihan Mumbai Electric Supply and Transport Undertaking (Of the Birhanmumbai Mahanagapaiika)
APPENDIX NO. E-1
GENERAL FINANCIAL STATISTICS 2016-2017 </t>
  </si>
  <si>
    <t>Link: www.bestundertaking.com/in/pdf/2018-19/2019-statement_of_account_english_16-17.pdf</t>
  </si>
  <si>
    <t>*Most of B.E.S.T. routes use solely standard buses</t>
  </si>
  <si>
    <t>Roads per capita requirement</t>
  </si>
  <si>
    <t xml:space="preserve">Source: </t>
  </si>
  <si>
    <t xml:space="preserve">CAF Urban Mobility Observatory </t>
  </si>
  <si>
    <t>Link:</t>
  </si>
  <si>
    <t>https://www.caf.com/app_omu/</t>
  </si>
  <si>
    <t>Road system length (km)</t>
  </si>
  <si>
    <t>Metropolitan urban area (nº)</t>
  </si>
  <si>
    <t>Medellin</t>
  </si>
  <si>
    <t>Road length per capita (km)</t>
  </si>
  <si>
    <t>Buenos Aires (2007)</t>
  </si>
  <si>
    <t>Distribution of Road Type, as Percent of Total Road Lengths</t>
  </si>
  <si>
    <t xml:space="preserve">From U.S. National Highway Association: </t>
  </si>
  <si>
    <t xml:space="preserve">https://www.fhwa.dot.gov/policy/2013cpr/chap2.cfm#2 </t>
  </si>
  <si>
    <t>Using urbanized areas (50,000 or more in population) "miles" in exhibit 2-4 "Percentage of highway miles, lane miles, and VMT by Functional System and by size of area, 2010"</t>
  </si>
  <si>
    <t>Excluded freeway/expressway/interstate</t>
  </si>
  <si>
    <t>Miles (%)</t>
  </si>
  <si>
    <t>Urban only %</t>
  </si>
  <si>
    <t>Principal Arterial</t>
  </si>
  <si>
    <t>Minor Arterial</t>
  </si>
  <si>
    <t>Major Collector</t>
  </si>
  <si>
    <t>Minor Collector</t>
  </si>
  <si>
    <t>Local</t>
  </si>
  <si>
    <t>SUM</t>
  </si>
  <si>
    <t>Cali</t>
  </si>
  <si>
    <t>Barranquilla</t>
  </si>
  <si>
    <t>Bucaramanga</t>
  </si>
  <si>
    <t>Cartagena</t>
  </si>
  <si>
    <t>Cucuta</t>
  </si>
  <si>
    <t>Pereira</t>
  </si>
  <si>
    <t>Santa Marta</t>
  </si>
  <si>
    <t>Ibague</t>
  </si>
  <si>
    <t>Variable</t>
  </si>
  <si>
    <t>Category</t>
  </si>
  <si>
    <t>Source Value</t>
  </si>
  <si>
    <t>Date</t>
  </si>
  <si>
    <t>Value in 2019</t>
  </si>
  <si>
    <t>Source</t>
  </si>
  <si>
    <t>Notes</t>
  </si>
  <si>
    <t>Annual investment cost in road safety program as % of all infrastructure projects</t>
  </si>
  <si>
    <t>planning</t>
  </si>
  <si>
    <t>https://www.who.int/management/programme/health_promotion/MakeRoadsSafe.pdf</t>
  </si>
  <si>
    <t>Average population growth rate in Colombia for the past 10 years</t>
  </si>
  <si>
    <t>gen</t>
  </si>
  <si>
    <t>2008-2018</t>
  </si>
  <si>
    <t>https://data.worldbank.org/indicator/SP.URB.GROW?locations=CO</t>
  </si>
  <si>
    <t>Pasto</t>
  </si>
  <si>
    <t>Megacities lower population limit</t>
  </si>
  <si>
    <t>Our city sampling method</t>
  </si>
  <si>
    <t>Tier 1 City lower population limit</t>
  </si>
  <si>
    <t>Tier 2 City lower population limit and Tier 3 upper population limit</t>
  </si>
  <si>
    <t>Regional (Latin America) average change in population density (people/hectare)  (%) from 2000-2013</t>
  </si>
  <si>
    <t>2000-2013</t>
  </si>
  <si>
    <t>http://www.atlasofurbanexpansion.org/cities/view/Cochabamba</t>
  </si>
  <si>
    <t>Latin American regional statistic</t>
  </si>
  <si>
    <t>Regional (Latin America) average change in urban area extent  (%) from 2000-2013</t>
  </si>
  <si>
    <t>Inflation rate, USD 2019 = ______ USD 2016</t>
  </si>
  <si>
    <t>WDI</t>
  </si>
  <si>
    <t>Inflation rate, USD 2019 = ______ 2015:</t>
  </si>
  <si>
    <t>Inflation rate, USD 2019 = ______ 2014:</t>
  </si>
  <si>
    <t>Inflation rate, USD 2019 = ______ 2013:</t>
  </si>
  <si>
    <t>Inflation rate, USD 2019 = ______ 2012:</t>
  </si>
  <si>
    <t>Inflation rate, USD 2019 = ______ 2005:</t>
  </si>
  <si>
    <t>Inflation rate, USD 2019 = ______ 1997:</t>
  </si>
  <si>
    <t>Inflation rate, USD 2019 = ______ 1996:</t>
  </si>
  <si>
    <t>PPP of Colombia in 2018</t>
  </si>
  <si>
    <t>https://data.worldbank.org/indicator/PA.NUS.PPPC.RF?locations=BO</t>
  </si>
  <si>
    <t>Average exchange rate of Colombia to USD in 2003-2013</t>
  </si>
  <si>
    <t>Length of roads per sq. km of urban area</t>
  </si>
  <si>
    <t>roads</t>
  </si>
  <si>
    <t>UN Habitat: A NEW STRATEGY OF SUSTAINABLE NEIGHBOOURHOOD PLANNING: FIVE PRINCIPLES</t>
  </si>
  <si>
    <t>Percentage of total roads that are arterial (these need sidewalks)</t>
  </si>
  <si>
    <t>https://www.fhwa.dot.gov/policy/2013cpr/chap2.cfm#2</t>
  </si>
  <si>
    <t>Manizales</t>
  </si>
  <si>
    <t>Figure 2-4 "Miles" of Urban</t>
  </si>
  <si>
    <t>Percentage of total roads that are sub-arterial (these need sidewalks)</t>
  </si>
  <si>
    <t>Percentage of total roads that are collector (no sidewalks)</t>
  </si>
  <si>
    <t>Percentage of total roads that are local (no sidewalks)</t>
  </si>
  <si>
    <t>Cost of building arterial road per km ($USD 2014/km)</t>
  </si>
  <si>
    <t>Assumed to be equal to "4 lane undivided"</t>
  </si>
  <si>
    <t>Cost of building sub-arterial road per km ($USD 2014/km)</t>
  </si>
  <si>
    <t>https://www.arkansashighways.com/roadway_design_division/Cost%20per%20Mile%20(JULY%202014).pdf</t>
  </si>
  <si>
    <t>2 Lane Arterial</t>
  </si>
  <si>
    <t>Cost of building collector road per km ($USD 2014/km)</t>
  </si>
  <si>
    <t>2 Lane collector</t>
  </si>
  <si>
    <t>Cost of building local road per km ($USD 2014/km)</t>
  </si>
  <si>
    <t>assumed to be equal to collector</t>
  </si>
  <si>
    <t>Annual O&amp;M costs for road maintenance, per km of  road ($USD 2014/km)</t>
  </si>
  <si>
    <t>http://documents.worldbank.org/curated/en/971161468314094302/pdf/339250rev.pdf</t>
  </si>
  <si>
    <t>I cannot calculate using Table 1 and 2, too large of number?</t>
  </si>
  <si>
    <t>Cost of paving 7 m road (($USD 1997/km) [arterials]</t>
  </si>
  <si>
    <t>http://web.worldbank.org/WBSITE/EXTERNAL/TOPICS/EXTTRANSPORT/EXTROADSHIGHWAYS/0,,contentMDK:20600628~menuPK:1476380~pagePK:148956~piPK:216618~theSitePK:338661~isCURL:Y,00.html</t>
  </si>
  <si>
    <t>Arterial is assumed 4 lanes</t>
  </si>
  <si>
    <t>Cost of paving 7 m road (($USD 1997/km) [sub-arterials]</t>
  </si>
  <si>
    <t>Overlay: SAC-V</t>
  </si>
  <si>
    <t>Cost of paving 6 m road ($USD 1996/km) [feeder &amp; collector]</t>
  </si>
  <si>
    <t>Maximum walking distance to a bus stop in city (km)</t>
  </si>
  <si>
    <t>Standard Bus</t>
  </si>
  <si>
    <t>Global Standard - SloCaT</t>
  </si>
  <si>
    <t>Per capita bus requirement, tier 1</t>
  </si>
  <si>
    <t>https://ppiaf.org/sites/ppiaf.org/files/documents/toolkits/UrbanBusToolkit/assets/1/1c/1c7.html</t>
  </si>
  <si>
    <t>arbitrary, range is 1.2-0.5</t>
  </si>
  <si>
    <t>Villavicencio</t>
  </si>
  <si>
    <t>Per capita bus requirement, tier 2</t>
  </si>
  <si>
    <t>Per capita bus requirement, tier 3</t>
  </si>
  <si>
    <t>Admin, O&amp;M costs of standard bus system, per bus, adjusted to reflect prices in USA ($USD 2019)</t>
  </si>
  <si>
    <t>www.bestundertaking.com/in/pdf/2018-19/2019-statement_of_account_english_16-17.pdf</t>
  </si>
  <si>
    <t>Includes ticket costs, and administrative costs for buses and general staff</t>
  </si>
  <si>
    <t>Buses per garage/ buildings</t>
  </si>
  <si>
    <t>https://web.archive.org/web/20050212184403/http://www.bestundertaking.com/trans_engg.asp</t>
  </si>
  <si>
    <t>From standard bus model - BEST undertaking Mumbai</t>
  </si>
  <si>
    <t>Global average cost of one electric bus (USD 2012)</t>
  </si>
  <si>
    <t>http://www.repic.ch/files/7114/4126/7442/Grutter_FinalReport_e_web.pdf</t>
  </si>
  <si>
    <t>Cost of adding one bus shelter stop (USD 2015)</t>
  </si>
  <si>
    <t>Estimated Costs for Bus Shelters and Benches Program</t>
  </si>
  <si>
    <t xml:space="preserve">"ADA-compliant concrete pad, required for a bench - 1,200" ; benches cost 1500 each; </t>
  </si>
  <si>
    <t>Cost of adding one 17,000 square foot warehouse, which holds about 120 buses at max</t>
  </si>
  <si>
    <t>https://www.rsmeans.com/model-pages/bus-terminal.aspx</t>
  </si>
  <si>
    <t>Crosstown Bus station in NYC could hold 120 buses max, and was 17,000 square ft https://en.wikipedia.org/wiki/Bus_depots_of_MTA_Regional_Bus_Operations</t>
  </si>
  <si>
    <t>Average % of monthly income that is the max to spent on public transportation/mobility, using for lowest 10% of the population to apply for lowest quintile here</t>
  </si>
  <si>
    <t>http://siteresources.worldbank.org/INTURBANTRANSPORT/Resources/cities_on_the_move.pdf</t>
  </si>
  <si>
    <t>Average monthly per capita income of lowest quintile of population in capital cities</t>
  </si>
  <si>
    <t>Subsidy</t>
  </si>
  <si>
    <t>DANE - GEIH 2019</t>
  </si>
  <si>
    <t>Average monthly per capita income of lowest quintile of population outside capital cities</t>
  </si>
  <si>
    <t>DANE - GEIH 2019. Average of Barrancabermeja and Buenaventura results</t>
  </si>
  <si>
    <t xml:space="preserve">Average cost for public transit ticket </t>
  </si>
  <si>
    <t>Neiva</t>
  </si>
  <si>
    <t>Armenia</t>
  </si>
  <si>
    <t>Valledupar</t>
  </si>
  <si>
    <t>Monteria</t>
  </si>
  <si>
    <t>Sincelejo</t>
  </si>
  <si>
    <t>Popayan</t>
  </si>
  <si>
    <t>Tunja</t>
  </si>
  <si>
    <t>Riohacha</t>
  </si>
  <si>
    <t>Florencia</t>
  </si>
  <si>
    <t>Quibdo</t>
  </si>
  <si>
    <t>Arauca</t>
  </si>
  <si>
    <t>Yopal</t>
  </si>
  <si>
    <t>No.</t>
  </si>
  <si>
    <t>Leticia</t>
  </si>
  <si>
    <t>San Andres</t>
  </si>
  <si>
    <t>San Jose del Guaviare</t>
  </si>
  <si>
    <t>Mocoa</t>
  </si>
  <si>
    <t>Puerto Carreno</t>
  </si>
  <si>
    <t>Inirida</t>
  </si>
  <si>
    <t>Mitu</t>
  </si>
  <si>
    <t>Cartago</t>
  </si>
  <si>
    <t>Ipiales</t>
  </si>
  <si>
    <t>Bello</t>
  </si>
  <si>
    <t>Buenaventura</t>
  </si>
  <si>
    <t>Sogamoso</t>
  </si>
  <si>
    <t>El Banco</t>
  </si>
  <si>
    <t>Arjona</t>
  </si>
  <si>
    <t>Sabanalarga</t>
  </si>
  <si>
    <t>Chiquinquira</t>
  </si>
  <si>
    <t>Pamplona</t>
  </si>
  <si>
    <t>Guapi</t>
  </si>
  <si>
    <t>Avg. HH Size</t>
  </si>
  <si>
    <t># HH's</t>
  </si>
  <si>
    <t>Average Monthly Per Capita  Income of the Lowest Quintile of Population (USD 2019)</t>
  </si>
  <si>
    <t>Average Monthly HH Income of the Lowest Quintile of Population (USD 2019)</t>
  </si>
  <si>
    <t>Ocana</t>
  </si>
  <si>
    <t>Honda</t>
  </si>
  <si>
    <t>Campoalegre</t>
  </si>
  <si>
    <t>El Carmen de Bolivar</t>
  </si>
  <si>
    <t>-</t>
  </si>
  <si>
    <t>Source (unless specified otherwise): Colombian 2018 Census</t>
  </si>
  <si>
    <t>Source: Censo Nacional de Población y Vivienda - CNPV 2018</t>
  </si>
  <si>
    <t>Derived from Censo Nacional de Población y Vivienda - CNPV 2018</t>
  </si>
  <si>
    <t>Population (2019)</t>
  </si>
  <si>
    <t>Source Year</t>
  </si>
  <si>
    <t>Area (Source year) (sq.km)</t>
  </si>
  <si>
    <t>Area (2019) (Sq. km.)</t>
  </si>
  <si>
    <t>Development Plan</t>
  </si>
  <si>
    <t>https://www.medellin.gov.co/irj/portal/medellin?NavigationTarget=navurl://6488ef50a6787e1fdbc4e42e62a46a67</t>
  </si>
  <si>
    <t>Natural Earth shapefile</t>
  </si>
  <si>
    <t>http://www.ambq.gov.co/barranquilla/</t>
  </si>
  <si>
    <t>Google Earth Polygon</t>
  </si>
  <si>
    <t>http://popayan.gov.co/sites/default/files/documentosAnexos/pot-popayan.pdf</t>
  </si>
  <si>
    <t>Average CPI</t>
  </si>
  <si>
    <t>j</t>
  </si>
  <si>
    <t>Department</t>
  </si>
  <si>
    <t>Total  road length of department paved (km)</t>
  </si>
  <si>
    <t>Total road length of department (km)</t>
  </si>
  <si>
    <t>Amount of roads paved (%)</t>
  </si>
  <si>
    <t>Amazonas</t>
  </si>
  <si>
    <t>Antioqua</t>
  </si>
  <si>
    <t>Aracua</t>
  </si>
  <si>
    <t>Atlantico</t>
  </si>
  <si>
    <t>Bogota D.C.</t>
  </si>
  <si>
    <t>Bolivar</t>
  </si>
  <si>
    <t>Boliviar</t>
  </si>
  <si>
    <t>Boyaca</t>
  </si>
  <si>
    <t>Caldas</t>
  </si>
  <si>
    <t>Caqueta</t>
  </si>
  <si>
    <t>Casanare</t>
  </si>
  <si>
    <t>Cauca</t>
  </si>
  <si>
    <t>Cesar</t>
  </si>
  <si>
    <t>Choco</t>
  </si>
  <si>
    <t>Cordoba</t>
  </si>
  <si>
    <t>Guainia</t>
  </si>
  <si>
    <t>Guaviare</t>
  </si>
  <si>
    <t>Huila</t>
  </si>
  <si>
    <t>La Guajira</t>
  </si>
  <si>
    <t>Magdalena</t>
  </si>
  <si>
    <t>Meta</t>
  </si>
  <si>
    <t>Narino</t>
  </si>
  <si>
    <t>Norte de Santander</t>
  </si>
  <si>
    <t>Putumayo</t>
  </si>
  <si>
    <t>Quindio</t>
  </si>
  <si>
    <t>Risaralda</t>
  </si>
  <si>
    <t>San Andres and Providencia</t>
  </si>
  <si>
    <t>Santander</t>
  </si>
  <si>
    <t>Sucre</t>
  </si>
  <si>
    <t>Tolima</t>
  </si>
  <si>
    <t>Valle del Cauca</t>
  </si>
  <si>
    <t>Vaupes</t>
  </si>
  <si>
    <t>Vichada</t>
  </si>
  <si>
    <t>Source: Colombia Ministerio de Transporte, Oficina Asesora de Planeacion Grupo Planificacion Sectorial
Title: "Transporte en Cifras: Estadisticas 2012"
Page 34: "Red Primaria de Carreteras - Invias"</t>
  </si>
  <si>
    <t xml:space="preserve"> Operations and Maintenance and Administrative costs of selected model standard bus system: B.E.S.T. of Mumbai*</t>
  </si>
  <si>
    <t>Average exchange rate of Rupee to USD in 2016</t>
  </si>
  <si>
    <t>Average Annual Cost by City Type</t>
  </si>
  <si>
    <t>City Size</t>
  </si>
  <si>
    <t>Sample Size</t>
  </si>
  <si>
    <t>Total</t>
  </si>
  <si>
    <t>Small</t>
  </si>
  <si>
    <t>Medium</t>
  </si>
  <si>
    <t>Large</t>
  </si>
  <si>
    <t>Percentage of Roads That are Paved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</si>
</sst>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_(* #,##0.000_);_(* \(#,##0.000\);_(* &quot;-&quot;??_);_(@_)"/>
    <numFmt numFmtId="166" formatCode="#,##0.0"/>
    <numFmt numFmtId="167" formatCode="0.000"/>
    <numFmt numFmtId="168" formatCode="_(* #,##0.0000_);_(* \(#,##0.0000\);_(* &quot;-&quot;??_);_(@_)"/>
    <numFmt numFmtId="169" formatCode="_(* #,##0.0_);_(* \(#,##0.0\);_(* &quot;-&quot;??_);_(@_)"/>
  </numFmts>
  <fonts count="37">
    <font>
      <sz val="11"/>
      <color rgb="FF000000"/>
      <name val="Calibri"/>
    </font>
    <font>
      <b/>
      <sz val="11"/>
      <color rgb="FF000000"/>
      <name val="Calibri"/>
      <family val="2"/>
    </font>
    <font>
      <b/>
      <sz val="11"/>
      <color rgb="FFFFFFFF"/>
      <name val="Calibri"/>
      <family val="2"/>
    </font>
    <font>
      <sz val="11"/>
      <name val="Calibri"/>
      <family val="2"/>
    </font>
    <font>
      <sz val="11"/>
      <color theme="1"/>
      <name val="Calibri"/>
      <family val="2"/>
    </font>
    <font>
      <sz val="11"/>
      <color theme="1"/>
      <name val="Calibri"/>
      <family val="2"/>
    </font>
    <font>
      <sz val="11"/>
      <color rgb="FF1C1E21"/>
      <name val="Calibri"/>
      <family val="2"/>
    </font>
    <font>
      <u/>
      <sz val="11"/>
      <color rgb="FF0563C1"/>
      <name val="Calibri"/>
      <family val="2"/>
    </font>
    <font>
      <i/>
      <sz val="11"/>
      <color rgb="FF000000"/>
      <name val="Calibri"/>
      <family val="2"/>
    </font>
    <font>
      <sz val="11"/>
      <color rgb="FF0070C0"/>
      <name val="Calibri"/>
      <family val="2"/>
    </font>
    <font>
      <u/>
      <sz val="11"/>
      <color rgb="FF0563C1"/>
      <name val="Calibri"/>
      <family val="2"/>
    </font>
    <font>
      <sz val="11"/>
      <color rgb="FF2E75B5"/>
      <name val="Calibri"/>
      <family val="2"/>
    </font>
    <font>
      <i/>
      <sz val="11"/>
      <color theme="1"/>
      <name val="Calibri"/>
      <family val="2"/>
    </font>
    <font>
      <i/>
      <u/>
      <sz val="11"/>
      <color theme="10"/>
      <name val="Calibri"/>
      <family val="2"/>
    </font>
    <font>
      <i/>
      <u/>
      <sz val="11"/>
      <color theme="10"/>
      <name val="Calibri"/>
      <family val="2"/>
    </font>
    <font>
      <i/>
      <u/>
      <sz val="11"/>
      <color theme="10"/>
      <name val="Calibri"/>
      <family val="2"/>
    </font>
    <font>
      <b/>
      <sz val="11"/>
      <color theme="1"/>
      <name val="Calibri"/>
      <family val="2"/>
    </font>
    <font>
      <u/>
      <sz val="11"/>
      <color rgb="FF0070C0"/>
      <name val="Calibri"/>
      <family val="2"/>
    </font>
    <font>
      <sz val="11"/>
      <color rgb="FFFF0000"/>
      <name val="Calibri"/>
      <family val="2"/>
    </font>
    <font>
      <b/>
      <sz val="11"/>
      <color rgb="FFFF0000"/>
      <name val="Calibri"/>
      <family val="2"/>
    </font>
    <font>
      <sz val="11"/>
      <color rgb="FF000000"/>
      <name val="Arial"/>
      <family val="2"/>
    </font>
    <font>
      <sz val="11"/>
      <color theme="9"/>
      <name val="Calibri"/>
      <family val="2"/>
    </font>
    <font>
      <u/>
      <sz val="11"/>
      <color theme="10"/>
      <name val="Calibri"/>
      <family val="2"/>
    </font>
    <font>
      <i/>
      <sz val="11"/>
      <color rgb="FFFF0000"/>
      <name val="Calibri"/>
      <family val="2"/>
    </font>
    <font>
      <sz val="9"/>
      <color theme="1"/>
      <name val="Quattrocento Sans"/>
    </font>
    <font>
      <b/>
      <sz val="9"/>
      <color theme="1"/>
      <name val="Quattrocento Sans"/>
    </font>
    <font>
      <u/>
      <sz val="11"/>
      <color rgb="FF000000"/>
      <name val="Calibri"/>
      <family val="2"/>
    </font>
    <font>
      <sz val="11"/>
      <color rgb="FF444444"/>
      <name val="Calibri"/>
      <family val="2"/>
    </font>
    <font>
      <u/>
      <sz val="11"/>
      <color rgb="FF000000"/>
      <name val="Calibri"/>
      <family val="2"/>
    </font>
    <font>
      <u/>
      <sz val="11"/>
      <color rgb="FF0000FF"/>
      <name val="Calibri"/>
      <family val="2"/>
    </font>
    <font>
      <u/>
      <sz val="11"/>
      <color rgb="FF000000"/>
      <name val="Calibri"/>
      <family val="2"/>
    </font>
    <font>
      <b/>
      <u/>
      <sz val="11"/>
      <color rgb="FF0070C0"/>
      <name val="Calibri"/>
      <family val="2"/>
    </font>
    <font>
      <b/>
      <sz val="11"/>
      <color rgb="FF0070C0"/>
      <name val="Calibri"/>
      <family val="2"/>
    </font>
    <font>
      <sz val="11"/>
      <color rgb="FF000000"/>
      <name val="Calibri"/>
      <family val="2"/>
    </font>
    <font>
      <sz val="11"/>
      <color rgb="FF000000"/>
      <name val="Calibri"/>
      <family val="2"/>
    </font>
    <font>
      <sz val="11"/>
      <color rgb="FF000000"/>
      <name val="Calibri"/>
      <family val="2"/>
    </font>
    <font>
      <b/>
      <sz val="11"/>
      <color theme="0"/>
      <name val="Calibri"/>
      <family val="2"/>
    </font>
  </fonts>
  <fills count="14">
    <fill>
      <patternFill patternType="none"/>
    </fill>
    <fill>
      <patternFill patternType="gray125"/>
    </fill>
    <fill>
      <patternFill patternType="solid">
        <fgColor rgb="FF000000"/>
        <bgColor rgb="FF000000"/>
      </patternFill>
    </fill>
    <fill>
      <patternFill patternType="solid">
        <fgColor rgb="FF0C0C0C"/>
        <bgColor rgb="FF0C0C0C"/>
      </patternFill>
    </fill>
    <fill>
      <patternFill patternType="solid">
        <fgColor rgb="FFBFBFBF"/>
        <bgColor rgb="FFBFBFBF"/>
      </patternFill>
    </fill>
    <fill>
      <patternFill patternType="solid">
        <fgColor rgb="FFF2F2F2"/>
        <bgColor rgb="FFF2F2F2"/>
      </patternFill>
    </fill>
    <fill>
      <patternFill patternType="solid">
        <fgColor rgb="FF7F7F7F"/>
        <bgColor rgb="FF7F7F7F"/>
      </patternFill>
    </fill>
    <fill>
      <patternFill patternType="solid">
        <fgColor rgb="FFD8D8D8"/>
        <bgColor rgb="FFD8D8D8"/>
      </patternFill>
    </fill>
    <fill>
      <patternFill patternType="solid">
        <fgColor rgb="FFA5A5A5"/>
        <bgColor rgb="FFA5A5A5"/>
      </patternFill>
    </fill>
    <fill>
      <patternFill patternType="solid">
        <fgColor rgb="FFD0CECE"/>
        <bgColor rgb="FFD0CECE"/>
      </patternFill>
    </fill>
    <fill>
      <patternFill patternType="solid">
        <fgColor rgb="FFEFEFEF"/>
        <bgColor rgb="FFEFEFEF"/>
      </patternFill>
    </fill>
    <fill>
      <patternFill patternType="solid">
        <fgColor rgb="FFAEABAB"/>
        <bgColor rgb="FFAEABAB"/>
      </patternFill>
    </fill>
    <fill>
      <patternFill patternType="solid">
        <fgColor rgb="FFFFFFFF"/>
        <bgColor rgb="FFFFFFFF"/>
      </patternFill>
    </fill>
    <fill>
      <patternFill patternType="solid">
        <fgColor theme="1"/>
        <bgColor indexed="64"/>
      </patternFill>
    </fill>
  </fills>
  <borders count="67">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medium">
        <color rgb="FF000000"/>
      </right>
      <top/>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right style="thin">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right/>
      <top/>
      <bottom style="medium">
        <color rgb="FF000000"/>
      </bottom>
      <diagonal/>
    </border>
    <border>
      <left/>
      <right style="thin">
        <color rgb="FF000000"/>
      </right>
      <top style="medium">
        <color rgb="FF000000"/>
      </top>
      <bottom style="medium">
        <color rgb="FF000000"/>
      </bottom>
      <diagonal/>
    </border>
    <border>
      <left/>
      <right style="thin">
        <color rgb="FF000000"/>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thin">
        <color rgb="FF000000"/>
      </top>
      <bottom style="double">
        <color rgb="FF000000"/>
      </bottom>
      <diagonal/>
    </border>
    <border>
      <left/>
      <right style="thin">
        <color indexed="64"/>
      </right>
      <top style="medium">
        <color rgb="FF000000"/>
      </top>
      <bottom/>
      <diagonal/>
    </border>
    <border>
      <left/>
      <right style="thin">
        <color indexed="64"/>
      </right>
      <top/>
      <bottom/>
      <diagonal/>
    </border>
    <border>
      <left/>
      <right style="thin">
        <color indexed="64"/>
      </right>
      <top/>
      <bottom style="medium">
        <color rgb="FF000000"/>
      </bottom>
      <diagonal/>
    </border>
  </borders>
  <cellStyleXfs count="3">
    <xf numFmtId="0" fontId="0" fillId="0" borderId="0"/>
    <xf numFmtId="44" fontId="34" fillId="0" borderId="0" applyFont="0" applyFill="0" applyBorder="0" applyAlignment="0" applyProtection="0"/>
    <xf numFmtId="43" fontId="35" fillId="0" borderId="0" applyFont="0" applyFill="0" applyBorder="0" applyAlignment="0" applyProtection="0"/>
  </cellStyleXfs>
  <cellXfs count="267">
    <xf numFmtId="0" fontId="0" fillId="0" borderId="0" xfId="0" applyFont="1" applyAlignment="1"/>
    <xf numFmtId="0" fontId="0" fillId="0" borderId="0" xfId="0" applyFont="1" applyAlignment="1">
      <alignment horizontal="center"/>
    </xf>
    <xf numFmtId="0" fontId="1" fillId="0" borderId="0" xfId="0" applyFont="1"/>
    <xf numFmtId="49" fontId="0" fillId="0" borderId="0" xfId="0" applyNumberFormat="1" applyFont="1" applyAlignment="1">
      <alignment horizontal="left"/>
    </xf>
    <xf numFmtId="0" fontId="0"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0" fillId="4" borderId="5" xfId="0" applyFont="1" applyFill="1" applyBorder="1"/>
    <xf numFmtId="0" fontId="0" fillId="4" borderId="6" xfId="0" applyFont="1" applyFill="1" applyBorder="1"/>
    <xf numFmtId="0" fontId="0" fillId="0" borderId="0" xfId="0" applyFont="1" applyAlignment="1">
      <alignment horizontal="center" vertical="center"/>
    </xf>
    <xf numFmtId="0" fontId="0" fillId="4" borderId="7" xfId="0" applyFont="1" applyFill="1" applyBorder="1"/>
    <xf numFmtId="0" fontId="4" fillId="0" borderId="0" xfId="0" applyFont="1"/>
    <xf numFmtId="0" fontId="0" fillId="4" borderId="8" xfId="0" applyFont="1" applyFill="1" applyBorder="1"/>
    <xf numFmtId="164" fontId="0" fillId="0" borderId="0" xfId="0" applyNumberFormat="1" applyFont="1" applyAlignment="1">
      <alignment horizontal="center"/>
    </xf>
    <xf numFmtId="0" fontId="0" fillId="4" borderId="9" xfId="0" applyFont="1" applyFill="1" applyBorder="1"/>
    <xf numFmtId="44" fontId="0" fillId="0" borderId="0" xfId="0" applyNumberFormat="1" applyFont="1"/>
    <xf numFmtId="0" fontId="0" fillId="0" borderId="10" xfId="0" applyFont="1" applyBorder="1"/>
    <xf numFmtId="0" fontId="5" fillId="4" borderId="1" xfId="0" applyFont="1" applyFill="1" applyBorder="1" applyAlignment="1">
      <alignment horizontal="center"/>
    </xf>
    <xf numFmtId="43" fontId="6" fillId="0" borderId="11" xfId="0" applyNumberFormat="1" applyFont="1" applyBorder="1"/>
    <xf numFmtId="44" fontId="0" fillId="4" borderId="1" xfId="0" applyNumberFormat="1" applyFont="1" applyFill="1" applyBorder="1" applyAlignment="1">
      <alignment horizontal="center" wrapText="1"/>
    </xf>
    <xf numFmtId="0" fontId="7" fillId="0" borderId="12" xfId="0" applyFont="1" applyBorder="1"/>
    <xf numFmtId="0" fontId="0" fillId="0" borderId="13" xfId="0" applyFont="1" applyBorder="1"/>
    <xf numFmtId="0" fontId="5" fillId="5" borderId="1" xfId="0" applyFont="1" applyFill="1" applyBorder="1" applyAlignment="1">
      <alignment horizontal="center"/>
    </xf>
    <xf numFmtId="0" fontId="0" fillId="0" borderId="14" xfId="0" applyFont="1" applyBorder="1" applyAlignment="1">
      <alignment horizontal="center" wrapText="1"/>
    </xf>
    <xf numFmtId="49" fontId="0" fillId="0" borderId="14" xfId="0" applyNumberFormat="1" applyFont="1" applyBorder="1" applyAlignment="1">
      <alignment horizontal="left" wrapText="1"/>
    </xf>
    <xf numFmtId="165" fontId="0" fillId="0" borderId="16" xfId="0" applyNumberFormat="1" applyFont="1" applyBorder="1"/>
    <xf numFmtId="0" fontId="5" fillId="0" borderId="14" xfId="0" applyFont="1" applyBorder="1" applyAlignment="1">
      <alignment horizontal="center" wrapText="1"/>
    </xf>
    <xf numFmtId="0" fontId="8" fillId="0" borderId="0" xfId="0" applyFont="1"/>
    <xf numFmtId="164" fontId="0" fillId="0" borderId="14" xfId="0" applyNumberFormat="1" applyFont="1" applyBorder="1" applyAlignment="1">
      <alignment horizontal="center" wrapText="1"/>
    </xf>
    <xf numFmtId="44" fontId="0" fillId="0" borderId="13" xfId="0" applyNumberFormat="1" applyFont="1" applyBorder="1"/>
    <xf numFmtId="164" fontId="5" fillId="0" borderId="14" xfId="0" applyNumberFormat="1" applyFont="1" applyBorder="1" applyAlignment="1">
      <alignment horizontal="center" wrapText="1"/>
    </xf>
    <xf numFmtId="0" fontId="0" fillId="0" borderId="18" xfId="0" applyFont="1" applyBorder="1"/>
    <xf numFmtId="0" fontId="0" fillId="4" borderId="17" xfId="0" applyFont="1" applyFill="1" applyBorder="1" applyAlignment="1">
      <alignment horizontal="center" wrapText="1"/>
    </xf>
    <xf numFmtId="43" fontId="0" fillId="0" borderId="19" xfId="0" applyNumberFormat="1" applyFont="1" applyBorder="1"/>
    <xf numFmtId="0" fontId="0" fillId="0" borderId="20" xfId="0" applyFont="1" applyBorder="1"/>
    <xf numFmtId="0" fontId="0" fillId="0" borderId="21" xfId="0" applyFont="1" applyBorder="1"/>
    <xf numFmtId="44" fontId="0" fillId="0" borderId="22" xfId="0" applyNumberFormat="1" applyFont="1" applyBorder="1"/>
    <xf numFmtId="0" fontId="9" fillId="4" borderId="17" xfId="0" applyFont="1" applyFill="1" applyBorder="1" applyAlignment="1">
      <alignment horizontal="center" wrapText="1"/>
    </xf>
    <xf numFmtId="0" fontId="0" fillId="5" borderId="17" xfId="0" applyFont="1" applyFill="1" applyBorder="1" applyAlignment="1">
      <alignment horizontal="center" wrapText="1"/>
    </xf>
    <xf numFmtId="0" fontId="9" fillId="5" borderId="17" xfId="0" applyFont="1" applyFill="1" applyBorder="1" applyAlignment="1">
      <alignment horizontal="center" wrapText="1"/>
    </xf>
    <xf numFmtId="0" fontId="10" fillId="0" borderId="0" xfId="0" applyFont="1"/>
    <xf numFmtId="164" fontId="0" fillId="5" borderId="17" xfId="0" applyNumberFormat="1" applyFont="1" applyFill="1" applyBorder="1" applyAlignment="1">
      <alignment horizontal="center" wrapText="1"/>
    </xf>
    <xf numFmtId="0" fontId="5" fillId="5" borderId="17" xfId="0" applyFont="1" applyFill="1" applyBorder="1" applyAlignment="1">
      <alignment horizontal="center" wrapText="1"/>
    </xf>
    <xf numFmtId="0" fontId="0" fillId="4" borderId="5" xfId="0" applyFont="1" applyFill="1" applyBorder="1" applyAlignment="1">
      <alignment wrapText="1"/>
    </xf>
    <xf numFmtId="0" fontId="0" fillId="4" borderId="8" xfId="0" applyFont="1" applyFill="1" applyBorder="1" applyAlignment="1">
      <alignment wrapText="1"/>
    </xf>
    <xf numFmtId="44" fontId="5" fillId="5" borderId="17" xfId="0" applyNumberFormat="1" applyFont="1" applyFill="1" applyBorder="1" applyAlignment="1">
      <alignment horizontal="center" wrapText="1"/>
    </xf>
    <xf numFmtId="0" fontId="0" fillId="4" borderId="7" xfId="0" applyFont="1" applyFill="1" applyBorder="1" applyAlignment="1">
      <alignment wrapText="1"/>
    </xf>
    <xf numFmtId="44" fontId="0" fillId="6" borderId="25" xfId="0" applyNumberFormat="1" applyFont="1" applyFill="1" applyBorder="1" applyAlignment="1">
      <alignment vertical="center"/>
    </xf>
    <xf numFmtId="0" fontId="0" fillId="4" borderId="9" xfId="0" applyFont="1" applyFill="1" applyBorder="1" applyAlignment="1">
      <alignment wrapText="1"/>
    </xf>
    <xf numFmtId="0" fontId="8" fillId="0" borderId="0" xfId="0" applyFont="1" applyAlignment="1">
      <alignment horizontal="center" vertical="center"/>
    </xf>
    <xf numFmtId="44" fontId="0" fillId="5" borderId="17" xfId="0" applyNumberFormat="1" applyFont="1" applyFill="1" applyBorder="1" applyAlignment="1">
      <alignment horizontal="center" wrapText="1"/>
    </xf>
    <xf numFmtId="0" fontId="0" fillId="0" borderId="0" xfId="0" applyFont="1" applyAlignment="1">
      <alignment horizontal="center" vertical="center" wrapText="1"/>
    </xf>
    <xf numFmtId="44" fontId="11" fillId="5" borderId="17" xfId="0" applyNumberFormat="1" applyFont="1" applyFill="1" applyBorder="1" applyAlignment="1">
      <alignment horizontal="center" wrapText="1"/>
    </xf>
    <xf numFmtId="43" fontId="0" fillId="0" borderId="14" xfId="0" applyNumberFormat="1" applyFont="1" applyBorder="1"/>
    <xf numFmtId="43" fontId="0" fillId="0" borderId="0" xfId="0" applyNumberFormat="1" applyFont="1" applyAlignment="1">
      <alignment horizontal="center"/>
    </xf>
    <xf numFmtId="166" fontId="0" fillId="0" borderId="0" xfId="0" applyNumberFormat="1" applyFont="1" applyAlignment="1">
      <alignment horizontal="center"/>
    </xf>
    <xf numFmtId="9" fontId="0" fillId="4" borderId="1" xfId="0" applyNumberFormat="1" applyFont="1" applyFill="1" applyBorder="1" applyAlignment="1">
      <alignment horizontal="center"/>
    </xf>
    <xf numFmtId="1" fontId="0" fillId="4" borderId="1" xfId="0" applyNumberFormat="1" applyFont="1" applyFill="1" applyBorder="1" applyAlignment="1">
      <alignment horizontal="center"/>
    </xf>
    <xf numFmtId="44" fontId="9" fillId="4" borderId="1" xfId="0" applyNumberFormat="1" applyFont="1" applyFill="1" applyBorder="1" applyAlignment="1">
      <alignment horizontal="center"/>
    </xf>
    <xf numFmtId="43" fontId="0" fillId="5" borderId="1" xfId="0" applyNumberFormat="1" applyFont="1" applyFill="1" applyBorder="1" applyAlignment="1">
      <alignment horizontal="center"/>
    </xf>
    <xf numFmtId="44" fontId="0" fillId="0" borderId="14" xfId="0" applyNumberFormat="1" applyFont="1" applyBorder="1"/>
    <xf numFmtId="44" fontId="0" fillId="0" borderId="26" xfId="0" applyNumberFormat="1" applyFont="1" applyBorder="1"/>
    <xf numFmtId="44" fontId="9" fillId="5" borderId="1" xfId="0" applyNumberFormat="1" applyFont="1" applyFill="1" applyBorder="1" applyAlignment="1">
      <alignment horizontal="center"/>
    </xf>
    <xf numFmtId="44" fontId="0" fillId="7" borderId="27" xfId="0" applyNumberFormat="1" applyFont="1" applyFill="1" applyBorder="1"/>
    <xf numFmtId="164" fontId="0" fillId="5" borderId="1" xfId="0" applyNumberFormat="1" applyFont="1" applyFill="1" applyBorder="1" applyAlignment="1">
      <alignment horizontal="center"/>
    </xf>
    <xf numFmtId="0" fontId="12" fillId="0" borderId="0" xfId="0" applyFont="1" applyAlignment="1">
      <alignment wrapText="1"/>
    </xf>
    <xf numFmtId="1" fontId="0" fillId="5" borderId="1" xfId="0" applyNumberFormat="1" applyFont="1" applyFill="1" applyBorder="1" applyAlignment="1">
      <alignment horizontal="center"/>
    </xf>
    <xf numFmtId="0" fontId="13" fillId="0" borderId="33" xfId="0" applyFont="1" applyBorder="1"/>
    <xf numFmtId="0" fontId="14" fillId="0" borderId="21" xfId="0" applyFont="1" applyBorder="1"/>
    <xf numFmtId="0" fontId="15" fillId="0" borderId="34" xfId="0" applyFont="1" applyBorder="1"/>
    <xf numFmtId="44" fontId="0" fillId="0" borderId="20" xfId="0" applyNumberFormat="1" applyFont="1" applyBorder="1"/>
    <xf numFmtId="0" fontId="0" fillId="4" borderId="1" xfId="0" applyFont="1" applyFill="1" applyBorder="1" applyAlignment="1">
      <alignment horizontal="center"/>
    </xf>
    <xf numFmtId="44" fontId="8" fillId="0" borderId="0" xfId="0" applyNumberFormat="1" applyFont="1"/>
    <xf numFmtId="0" fontId="0" fillId="5" borderId="1" xfId="0" applyFont="1" applyFill="1" applyBorder="1" applyAlignment="1">
      <alignment horizontal="center"/>
    </xf>
    <xf numFmtId="0" fontId="16" fillId="0" borderId="0" xfId="0" applyFont="1"/>
    <xf numFmtId="44" fontId="5" fillId="5" borderId="1" xfId="0" applyNumberFormat="1" applyFont="1" applyFill="1" applyBorder="1" applyAlignment="1">
      <alignment horizontal="center"/>
    </xf>
    <xf numFmtId="44" fontId="0" fillId="5" borderId="1" xfId="0" applyNumberFormat="1" applyFont="1" applyFill="1" applyBorder="1" applyAlignment="1">
      <alignment horizontal="center"/>
    </xf>
    <xf numFmtId="0" fontId="17" fillId="0" borderId="0" xfId="0" applyFont="1"/>
    <xf numFmtId="0" fontId="5" fillId="8" borderId="5" xfId="0" applyFont="1" applyFill="1" applyBorder="1" applyAlignment="1">
      <alignment horizontal="center" wrapText="1"/>
    </xf>
    <xf numFmtId="44" fontId="11" fillId="5" borderId="1" xfId="0" applyNumberFormat="1" applyFont="1" applyFill="1" applyBorder="1" applyAlignment="1">
      <alignment horizontal="center"/>
    </xf>
    <xf numFmtId="0" fontId="5" fillId="8" borderId="6" xfId="0" applyFont="1" applyFill="1" applyBorder="1" applyAlignment="1">
      <alignment horizontal="center" wrapText="1"/>
    </xf>
    <xf numFmtId="0" fontId="5" fillId="8" borderId="7" xfId="0" applyFont="1" applyFill="1" applyBorder="1" applyAlignment="1">
      <alignment horizontal="center" wrapText="1"/>
    </xf>
    <xf numFmtId="0" fontId="5" fillId="8" borderId="35" xfId="0" applyFont="1" applyFill="1" applyBorder="1" applyAlignment="1">
      <alignment wrapText="1"/>
    </xf>
    <xf numFmtId="0" fontId="5" fillId="0" borderId="0" xfId="0" applyFont="1" applyAlignment="1">
      <alignment horizontal="center" wrapText="1"/>
    </xf>
    <xf numFmtId="0" fontId="18" fillId="0" borderId="0" xfId="0" applyFont="1" applyAlignment="1">
      <alignment wrapText="1"/>
    </xf>
    <xf numFmtId="0" fontId="5" fillId="0" borderId="0" xfId="0" applyFont="1" applyAlignment="1">
      <alignment wrapText="1"/>
    </xf>
    <xf numFmtId="0" fontId="16" fillId="0" borderId="33" xfId="0" applyFont="1" applyBorder="1"/>
    <xf numFmtId="0" fontId="16" fillId="0" borderId="21" xfId="0" applyFont="1" applyBorder="1" applyAlignment="1">
      <alignment horizontal="right"/>
    </xf>
    <xf numFmtId="4" fontId="16" fillId="0" borderId="21" xfId="0" applyNumberFormat="1" applyFont="1" applyBorder="1" applyAlignment="1">
      <alignment horizontal="center"/>
    </xf>
    <xf numFmtId="0" fontId="16" fillId="7" borderId="36" xfId="0" applyFont="1" applyFill="1" applyBorder="1"/>
    <xf numFmtId="0" fontId="16" fillId="0" borderId="0" xfId="0" applyFont="1" applyAlignment="1">
      <alignment horizontal="center"/>
    </xf>
    <xf numFmtId="0" fontId="19" fillId="0" borderId="0" xfId="0" applyFont="1"/>
    <xf numFmtId="0" fontId="0" fillId="9" borderId="1" xfId="0" applyFont="1" applyFill="1" applyBorder="1"/>
    <xf numFmtId="0" fontId="20" fillId="0" borderId="0" xfId="0" applyFont="1"/>
    <xf numFmtId="0" fontId="0" fillId="0" borderId="37" xfId="0" applyFont="1" applyBorder="1"/>
    <xf numFmtId="0" fontId="5" fillId="0" borderId="38" xfId="0" applyFont="1" applyBorder="1"/>
    <xf numFmtId="0" fontId="5" fillId="0" borderId="39" xfId="0" applyFont="1" applyBorder="1"/>
    <xf numFmtId="164" fontId="0" fillId="10" borderId="1" xfId="0" applyNumberFormat="1" applyFont="1" applyFill="1" applyBorder="1" applyAlignment="1">
      <alignment horizontal="center"/>
    </xf>
    <xf numFmtId="0" fontId="5" fillId="0" borderId="40" xfId="0" applyFont="1" applyBorder="1"/>
    <xf numFmtId="0" fontId="5" fillId="0" borderId="0" xfId="0" applyFont="1"/>
    <xf numFmtId="0" fontId="16" fillId="9" borderId="41" xfId="0" applyFont="1" applyFill="1" applyBorder="1"/>
    <xf numFmtId="0" fontId="18" fillId="4" borderId="1" xfId="0" applyFont="1" applyFill="1" applyBorder="1" applyAlignment="1">
      <alignment horizontal="center"/>
    </xf>
    <xf numFmtId="0" fontId="5" fillId="0" borderId="42" xfId="0" applyFont="1" applyBorder="1"/>
    <xf numFmtId="0" fontId="5" fillId="0" borderId="43" xfId="0" applyFont="1" applyBorder="1"/>
    <xf numFmtId="0" fontId="0" fillId="0" borderId="38" xfId="0" applyFont="1" applyBorder="1"/>
    <xf numFmtId="0" fontId="0" fillId="0" borderId="39" xfId="0" applyFont="1" applyBorder="1"/>
    <xf numFmtId="164" fontId="5" fillId="0" borderId="0" xfId="0" applyNumberFormat="1" applyFont="1" applyAlignment="1">
      <alignment horizontal="center"/>
    </xf>
    <xf numFmtId="0" fontId="21" fillId="5" borderId="1" xfId="0" applyFont="1" applyFill="1" applyBorder="1" applyAlignment="1">
      <alignment horizontal="center"/>
    </xf>
    <xf numFmtId="164" fontId="18" fillId="0" borderId="0" xfId="0" applyNumberFormat="1" applyFont="1" applyAlignment="1">
      <alignment horizontal="center"/>
    </xf>
    <xf numFmtId="0" fontId="1" fillId="0" borderId="0" xfId="0" applyFont="1" applyAlignment="1">
      <alignment horizontal="center"/>
    </xf>
    <xf numFmtId="43" fontId="1" fillId="0" borderId="0" xfId="0" applyNumberFormat="1" applyFont="1" applyAlignment="1">
      <alignment horizontal="center"/>
    </xf>
    <xf numFmtId="44" fontId="1" fillId="0" borderId="0" xfId="0" applyNumberFormat="1" applyFont="1" applyAlignment="1">
      <alignment horizontal="center"/>
    </xf>
    <xf numFmtId="43" fontId="0" fillId="0" borderId="0" xfId="0" applyNumberFormat="1" applyFont="1"/>
    <xf numFmtId="167" fontId="0" fillId="0" borderId="0" xfId="0" applyNumberFormat="1" applyFont="1"/>
    <xf numFmtId="43" fontId="0" fillId="0" borderId="0" xfId="0" applyNumberFormat="1" applyFont="1" applyAlignment="1">
      <alignment horizontal="right"/>
    </xf>
    <xf numFmtId="44" fontId="5" fillId="0" borderId="0" xfId="0" applyNumberFormat="1" applyFont="1"/>
    <xf numFmtId="164" fontId="0" fillId="0" borderId="0" xfId="0" applyNumberFormat="1" applyFont="1"/>
    <xf numFmtId="0" fontId="22" fillId="0" borderId="0" xfId="0" applyFont="1"/>
    <xf numFmtId="168" fontId="0" fillId="0" borderId="0" xfId="0" applyNumberFormat="1" applyFont="1"/>
    <xf numFmtId="166" fontId="21" fillId="0" borderId="0" xfId="0" applyNumberFormat="1" applyFont="1" applyAlignment="1">
      <alignment horizontal="center"/>
    </xf>
    <xf numFmtId="1" fontId="21" fillId="5" borderId="1" xfId="0" applyNumberFormat="1" applyFont="1" applyFill="1" applyBorder="1" applyAlignment="1">
      <alignment horizontal="center"/>
    </xf>
    <xf numFmtId="164" fontId="18" fillId="5" borderId="1" xfId="0" applyNumberFormat="1" applyFont="1" applyFill="1" applyBorder="1" applyAlignment="1">
      <alignment horizontal="center"/>
    </xf>
    <xf numFmtId="0" fontId="0" fillId="5" borderId="44" xfId="0" applyFont="1" applyFill="1" applyBorder="1"/>
    <xf numFmtId="0" fontId="0" fillId="5" borderId="45" xfId="0" applyFont="1" applyFill="1" applyBorder="1"/>
    <xf numFmtId="0" fontId="0" fillId="5" borderId="46" xfId="0" applyFont="1" applyFill="1" applyBorder="1"/>
    <xf numFmtId="0" fontId="5" fillId="5" borderId="46" xfId="0" applyFont="1" applyFill="1" applyBorder="1"/>
    <xf numFmtId="0" fontId="0" fillId="5" borderId="46" xfId="0" applyFont="1" applyFill="1" applyBorder="1" applyAlignment="1">
      <alignment horizontal="center" wrapText="1"/>
    </xf>
    <xf numFmtId="0" fontId="5" fillId="5" borderId="47" xfId="0" applyFont="1" applyFill="1" applyBorder="1"/>
    <xf numFmtId="0" fontId="0" fillId="5" borderId="41" xfId="0" applyFont="1" applyFill="1" applyBorder="1"/>
    <xf numFmtId="164" fontId="5" fillId="0" borderId="0" xfId="0" applyNumberFormat="1" applyFont="1"/>
    <xf numFmtId="3" fontId="5" fillId="0" borderId="0" xfId="0" applyNumberFormat="1" applyFont="1"/>
    <xf numFmtId="164" fontId="5" fillId="5" borderId="1" xfId="0" applyNumberFormat="1" applyFont="1" applyFill="1" applyBorder="1" applyAlignment="1">
      <alignment horizontal="center"/>
    </xf>
    <xf numFmtId="1" fontId="5" fillId="5" borderId="1" xfId="0" applyNumberFormat="1" applyFont="1" applyFill="1" applyBorder="1" applyAlignment="1">
      <alignment horizontal="center"/>
    </xf>
    <xf numFmtId="0" fontId="0" fillId="0" borderId="37" xfId="0" applyFont="1" applyBorder="1" applyAlignment="1">
      <alignment horizontal="center" vertical="center"/>
    </xf>
    <xf numFmtId="0" fontId="0" fillId="0" borderId="48" xfId="0" applyFont="1" applyBorder="1" applyAlignment="1">
      <alignment horizontal="center" vertical="center"/>
    </xf>
    <xf numFmtId="43" fontId="0" fillId="7" borderId="46" xfId="0" applyNumberFormat="1" applyFont="1" applyFill="1" applyBorder="1" applyAlignment="1">
      <alignment horizontal="center" vertical="center" wrapText="1"/>
    </xf>
    <xf numFmtId="164" fontId="0" fillId="7" borderId="46" xfId="0" applyNumberFormat="1" applyFont="1" applyFill="1" applyBorder="1" applyAlignment="1">
      <alignment horizontal="center" vertical="center" wrapText="1"/>
    </xf>
    <xf numFmtId="44" fontId="0" fillId="5" borderId="46" xfId="0" applyNumberFormat="1" applyFont="1" applyFill="1" applyBorder="1" applyAlignment="1">
      <alignment horizontal="center" vertical="center" wrapText="1"/>
    </xf>
    <xf numFmtId="44" fontId="0" fillId="5" borderId="45" xfId="0" applyNumberFormat="1" applyFont="1" applyFill="1" applyBorder="1" applyAlignment="1">
      <alignment horizontal="center" vertical="center" wrapText="1"/>
    </xf>
    <xf numFmtId="0" fontId="5" fillId="0" borderId="49" xfId="0" applyFont="1" applyBorder="1" applyAlignment="1">
      <alignment horizontal="left" vertical="center"/>
    </xf>
    <xf numFmtId="0" fontId="0" fillId="0" borderId="50" xfId="0" applyFont="1" applyBorder="1" applyAlignment="1">
      <alignment horizontal="left" vertical="center"/>
    </xf>
    <xf numFmtId="43" fontId="0" fillId="7" borderId="1" xfId="0" applyNumberFormat="1" applyFont="1" applyFill="1" applyBorder="1" applyAlignment="1">
      <alignment horizontal="left" vertical="center"/>
    </xf>
    <xf numFmtId="164" fontId="0" fillId="7" borderId="1" xfId="0" applyNumberFormat="1" applyFont="1" applyFill="1" applyBorder="1" applyAlignment="1">
      <alignment horizontal="center" vertical="top"/>
    </xf>
    <xf numFmtId="44" fontId="5" fillId="5" borderId="1" xfId="0" applyNumberFormat="1" applyFont="1" applyFill="1" applyBorder="1" applyAlignment="1">
      <alignment horizontal="center" vertical="center"/>
    </xf>
    <xf numFmtId="44" fontId="0" fillId="5" borderId="41" xfId="0" applyNumberFormat="1" applyFont="1" applyFill="1" applyBorder="1"/>
    <xf numFmtId="44" fontId="0" fillId="5" borderId="1" xfId="0" applyNumberFormat="1" applyFont="1" applyFill="1" applyBorder="1" applyAlignment="1">
      <alignment horizontal="center" vertical="center"/>
    </xf>
    <xf numFmtId="44" fontId="18" fillId="5" borderId="1" xfId="0" applyNumberFormat="1" applyFont="1" applyFill="1" applyBorder="1" applyAlignment="1">
      <alignment horizontal="center" vertical="center"/>
    </xf>
    <xf numFmtId="0" fontId="0" fillId="0" borderId="49" xfId="0" applyFont="1" applyBorder="1"/>
    <xf numFmtId="0" fontId="23" fillId="0" borderId="0" xfId="0" applyFont="1"/>
    <xf numFmtId="0" fontId="5" fillId="0" borderId="33" xfId="0" applyFont="1" applyBorder="1" applyAlignment="1">
      <alignment horizontal="left" vertical="center"/>
    </xf>
    <xf numFmtId="0" fontId="0" fillId="0" borderId="34" xfId="0" applyFont="1" applyBorder="1" applyAlignment="1">
      <alignment horizontal="left" vertical="center"/>
    </xf>
    <xf numFmtId="43" fontId="0" fillId="7" borderId="51" xfId="0" applyNumberFormat="1" applyFont="1" applyFill="1" applyBorder="1" applyAlignment="1">
      <alignment horizontal="left" vertical="center"/>
    </xf>
    <xf numFmtId="164" fontId="0" fillId="7" borderId="51" xfId="0" applyNumberFormat="1" applyFont="1" applyFill="1" applyBorder="1" applyAlignment="1">
      <alignment horizontal="center" vertical="top"/>
    </xf>
    <xf numFmtId="44" fontId="18" fillId="5" borderId="51" xfId="0" applyNumberFormat="1" applyFont="1" applyFill="1" applyBorder="1" applyAlignment="1">
      <alignment horizontal="center" vertical="center"/>
    </xf>
    <xf numFmtId="44" fontId="0" fillId="5" borderId="36" xfId="0" applyNumberFormat="1" applyFont="1" applyFill="1" applyBorder="1"/>
    <xf numFmtId="0" fontId="0" fillId="0" borderId="0" xfId="0" applyFont="1" applyAlignment="1">
      <alignment horizontal="left"/>
    </xf>
    <xf numFmtId="43" fontId="18" fillId="0" borderId="0" xfId="0" applyNumberFormat="1" applyFont="1" applyAlignment="1">
      <alignment horizontal="left"/>
    </xf>
    <xf numFmtId="0" fontId="0" fillId="0" borderId="0" xfId="0" applyFont="1" applyAlignment="1">
      <alignment horizontal="center" wrapText="1"/>
    </xf>
    <xf numFmtId="43" fontId="5" fillId="0" borderId="0" xfId="0" applyNumberFormat="1" applyFont="1" applyAlignment="1">
      <alignment horizontal="left"/>
    </xf>
    <xf numFmtId="164" fontId="5" fillId="0" borderId="0" xfId="0" applyNumberFormat="1" applyFont="1" applyAlignment="1">
      <alignment horizontal="center" vertical="top"/>
    </xf>
    <xf numFmtId="43" fontId="0" fillId="0" borderId="0" xfId="0" applyNumberFormat="1" applyFont="1" applyAlignment="1">
      <alignment horizontal="left" wrapText="1"/>
    </xf>
    <xf numFmtId="164" fontId="24" fillId="0" borderId="0" xfId="0" applyNumberFormat="1" applyFont="1" applyAlignment="1">
      <alignment horizontal="center" vertical="top"/>
    </xf>
    <xf numFmtId="3" fontId="24" fillId="0" borderId="50" xfId="0" applyNumberFormat="1" applyFont="1" applyBorder="1"/>
    <xf numFmtId="3" fontId="25" fillId="0" borderId="0" xfId="0" applyNumberFormat="1" applyFont="1"/>
    <xf numFmtId="3" fontId="25" fillId="0" borderId="50" xfId="0" applyNumberFormat="1" applyFont="1" applyBorder="1"/>
    <xf numFmtId="0" fontId="1" fillId="0" borderId="0" xfId="0" applyFont="1" applyAlignment="1">
      <alignment horizontal="left"/>
    </xf>
    <xf numFmtId="0" fontId="26" fillId="0" borderId="0" xfId="0" applyFont="1" applyAlignment="1">
      <alignment horizontal="left"/>
    </xf>
    <xf numFmtId="0" fontId="8" fillId="0" borderId="0" xfId="0" applyFont="1" applyAlignment="1">
      <alignment horizontal="left"/>
    </xf>
    <xf numFmtId="164" fontId="0" fillId="0" borderId="0" xfId="0" applyNumberFormat="1" applyFont="1" applyAlignment="1">
      <alignment horizontal="center" vertical="top"/>
    </xf>
    <xf numFmtId="0" fontId="0" fillId="8" borderId="44" xfId="0" applyFont="1" applyFill="1" applyBorder="1"/>
    <xf numFmtId="0" fontId="0" fillId="8" borderId="52" xfId="0" applyFont="1" applyFill="1" applyBorder="1"/>
    <xf numFmtId="0" fontId="0" fillId="11" borderId="8" xfId="0" applyFont="1" applyFill="1" applyBorder="1" applyAlignment="1">
      <alignment horizontal="center" wrapText="1"/>
    </xf>
    <xf numFmtId="0" fontId="5" fillId="8" borderId="46" xfId="0" applyFont="1" applyFill="1" applyBorder="1"/>
    <xf numFmtId="169" fontId="5" fillId="8" borderId="46" xfId="0" applyNumberFormat="1" applyFont="1" applyFill="1" applyBorder="1"/>
    <xf numFmtId="0" fontId="5" fillId="8" borderId="45" xfId="0" applyFont="1" applyFill="1" applyBorder="1" applyAlignment="1">
      <alignment wrapText="1"/>
    </xf>
    <xf numFmtId="0" fontId="0" fillId="5" borderId="53" xfId="0" applyFont="1" applyFill="1" applyBorder="1"/>
    <xf numFmtId="169" fontId="0" fillId="0" borderId="0" xfId="0" applyNumberFormat="1" applyFont="1"/>
    <xf numFmtId="0" fontId="0" fillId="0" borderId="13" xfId="0" applyFont="1" applyBorder="1" applyAlignment="1">
      <alignment wrapText="1"/>
    </xf>
    <xf numFmtId="0" fontId="27" fillId="0" borderId="0" xfId="0" applyFont="1"/>
    <xf numFmtId="164" fontId="28" fillId="12" borderId="41" xfId="0" applyNumberFormat="1" applyFont="1" applyFill="1" applyBorder="1" applyAlignment="1">
      <alignment wrapText="1"/>
    </xf>
    <xf numFmtId="164" fontId="29" fillId="0" borderId="13" xfId="0" applyNumberFormat="1" applyFont="1" applyBorder="1" applyAlignment="1">
      <alignment wrapText="1"/>
    </xf>
    <xf numFmtId="169" fontId="5" fillId="0" borderId="0" xfId="0" applyNumberFormat="1" applyFont="1"/>
    <xf numFmtId="169" fontId="21" fillId="0" borderId="0" xfId="0" applyNumberFormat="1" applyFont="1"/>
    <xf numFmtId="0" fontId="5" fillId="0" borderId="13" xfId="0" applyFont="1" applyBorder="1" applyAlignment="1">
      <alignment wrapText="1"/>
    </xf>
    <xf numFmtId="0" fontId="5" fillId="5" borderId="54" xfId="0" applyFont="1" applyFill="1" applyBorder="1"/>
    <xf numFmtId="0" fontId="0" fillId="5" borderId="55" xfId="0" applyFont="1" applyFill="1" applyBorder="1"/>
    <xf numFmtId="164" fontId="0" fillId="0" borderId="21" xfId="0" applyNumberFormat="1" applyFont="1" applyBorder="1" applyAlignment="1">
      <alignment horizontal="center"/>
    </xf>
    <xf numFmtId="0" fontId="5" fillId="0" borderId="21" xfId="0" applyFont="1" applyBorder="1"/>
    <xf numFmtId="169" fontId="21" fillId="0" borderId="21" xfId="0" applyNumberFormat="1" applyFont="1" applyBorder="1"/>
    <xf numFmtId="169" fontId="0" fillId="0" borderId="21" xfId="0" applyNumberFormat="1" applyFont="1" applyBorder="1"/>
    <xf numFmtId="0" fontId="0" fillId="0" borderId="0" xfId="0" applyFont="1" applyAlignment="1">
      <alignment wrapText="1"/>
    </xf>
    <xf numFmtId="0" fontId="30" fillId="0" borderId="0" xfId="0" applyFont="1"/>
    <xf numFmtId="0" fontId="5" fillId="5" borderId="56" xfId="0" applyFont="1" applyFill="1" applyBorder="1" applyAlignment="1">
      <alignment horizontal="left" vertical="center"/>
    </xf>
    <xf numFmtId="0" fontId="5" fillId="5" borderId="57" xfId="0" applyFont="1" applyFill="1" applyBorder="1" applyAlignment="1">
      <alignment horizontal="left" vertical="center"/>
    </xf>
    <xf numFmtId="0" fontId="5" fillId="5" borderId="9" xfId="0" applyFont="1" applyFill="1" applyBorder="1" applyAlignment="1">
      <alignment horizontal="left" vertical="center"/>
    </xf>
    <xf numFmtId="0" fontId="0" fillId="5" borderId="47" xfId="0" applyFont="1" applyFill="1" applyBorder="1" applyAlignment="1">
      <alignment horizontal="left" vertical="center"/>
    </xf>
    <xf numFmtId="49" fontId="0" fillId="5" borderId="53" xfId="0" applyNumberFormat="1" applyFont="1" applyFill="1" applyBorder="1" applyAlignment="1">
      <alignment horizontal="left" vertical="center"/>
    </xf>
    <xf numFmtId="2" fontId="5" fillId="0" borderId="13" xfId="0" applyNumberFormat="1" applyFont="1" applyBorder="1" applyAlignment="1">
      <alignment horizontal="left" vertical="center"/>
    </xf>
    <xf numFmtId="2" fontId="18" fillId="0" borderId="13" xfId="0" applyNumberFormat="1" applyFont="1" applyBorder="1" applyAlignment="1">
      <alignment horizontal="left" vertical="center"/>
    </xf>
    <xf numFmtId="0" fontId="0" fillId="5" borderId="54" xfId="0" applyFont="1" applyFill="1" applyBorder="1" applyAlignment="1">
      <alignment horizontal="left" vertical="center"/>
    </xf>
    <xf numFmtId="49" fontId="0" fillId="5" borderId="55" xfId="0" applyNumberFormat="1" applyFont="1" applyFill="1" applyBorder="1" applyAlignment="1">
      <alignment horizontal="left" vertical="center"/>
    </xf>
    <xf numFmtId="2" fontId="18" fillId="0" borderId="22" xfId="0" applyNumberFormat="1" applyFont="1" applyBorder="1" applyAlignment="1">
      <alignment horizontal="left" vertical="center"/>
    </xf>
    <xf numFmtId="0" fontId="0" fillId="0" borderId="0" xfId="0" applyFont="1" applyAlignment="1">
      <alignment horizontal="right"/>
    </xf>
    <xf numFmtId="49" fontId="8" fillId="0" borderId="0" xfId="0" applyNumberFormat="1" applyFont="1"/>
    <xf numFmtId="0" fontId="18" fillId="0" borderId="0" xfId="0" applyFont="1" applyAlignment="1">
      <alignment horizontal="right"/>
    </xf>
    <xf numFmtId="4" fontId="5" fillId="8" borderId="58" xfId="0" applyNumberFormat="1" applyFont="1" applyFill="1" applyBorder="1" applyAlignment="1">
      <alignment wrapText="1"/>
    </xf>
    <xf numFmtId="9" fontId="5" fillId="8" borderId="59" xfId="0" applyNumberFormat="1" applyFont="1" applyFill="1" applyBorder="1" applyAlignment="1">
      <alignment wrapText="1"/>
    </xf>
    <xf numFmtId="0" fontId="5" fillId="0" borderId="60" xfId="0" applyFont="1" applyBorder="1"/>
    <xf numFmtId="0" fontId="0" fillId="0" borderId="61" xfId="0" applyFont="1" applyBorder="1"/>
    <xf numFmtId="4" fontId="5" fillId="0" borderId="61" xfId="0" applyNumberFormat="1" applyFont="1" applyBorder="1"/>
    <xf numFmtId="9" fontId="18" fillId="0" borderId="62" xfId="0" applyNumberFormat="1" applyFont="1" applyBorder="1"/>
    <xf numFmtId="0" fontId="5" fillId="0" borderId="49" xfId="0" applyFont="1" applyBorder="1"/>
    <xf numFmtId="4" fontId="5" fillId="0" borderId="0" xfId="0" applyNumberFormat="1" applyFont="1"/>
    <xf numFmtId="9" fontId="0" fillId="0" borderId="13" xfId="0" applyNumberFormat="1" applyFont="1" applyBorder="1"/>
    <xf numFmtId="9" fontId="18" fillId="0" borderId="13" xfId="0" applyNumberFormat="1" applyFont="1" applyBorder="1"/>
    <xf numFmtId="4" fontId="5" fillId="0" borderId="21" xfId="0" applyNumberFormat="1" applyFont="1" applyBorder="1"/>
    <xf numFmtId="9" fontId="18" fillId="0" borderId="22" xfId="0" applyNumberFormat="1" applyFont="1" applyBorder="1"/>
    <xf numFmtId="0" fontId="18" fillId="0" borderId="61" xfId="0" applyFont="1" applyBorder="1" applyAlignment="1">
      <alignment wrapText="1"/>
    </xf>
    <xf numFmtId="9" fontId="5" fillId="0" borderId="0" xfId="0" applyNumberFormat="1" applyFont="1"/>
    <xf numFmtId="9" fontId="0" fillId="0" borderId="0" xfId="0" applyNumberFormat="1" applyFont="1"/>
    <xf numFmtId="44" fontId="31" fillId="0" borderId="0" xfId="0" applyNumberFormat="1" applyFont="1" applyAlignment="1">
      <alignment horizontal="center"/>
    </xf>
    <xf numFmtId="44" fontId="32" fillId="0" borderId="63" xfId="0" applyNumberFormat="1" applyFont="1" applyBorder="1" applyAlignment="1">
      <alignment horizontal="center"/>
    </xf>
    <xf numFmtId="0" fontId="9" fillId="0" borderId="0" xfId="0" applyFont="1" applyAlignment="1">
      <alignment horizontal="center"/>
    </xf>
    <xf numFmtId="44" fontId="0" fillId="0" borderId="0" xfId="0" applyNumberFormat="1" applyFont="1" applyAlignment="1">
      <alignment horizontal="center"/>
    </xf>
    <xf numFmtId="0" fontId="0" fillId="0" borderId="0" xfId="0" applyFont="1" applyAlignment="1"/>
    <xf numFmtId="0" fontId="33" fillId="0" borderId="15" xfId="0" applyFont="1" applyBorder="1"/>
    <xf numFmtId="44" fontId="9" fillId="4" borderId="1" xfId="1" applyFont="1" applyFill="1" applyBorder="1" applyAlignment="1">
      <alignment horizontal="center"/>
    </xf>
    <xf numFmtId="0" fontId="3" fillId="0" borderId="0" xfId="0" applyFont="1"/>
    <xf numFmtId="0" fontId="3" fillId="0" borderId="0" xfId="0" applyFont="1" applyAlignment="1"/>
    <xf numFmtId="0" fontId="5" fillId="8" borderId="60" xfId="0" applyFont="1" applyFill="1" applyBorder="1" applyAlignment="1">
      <alignment wrapText="1"/>
    </xf>
    <xf numFmtId="0" fontId="5" fillId="8" borderId="61" xfId="0" applyFont="1" applyFill="1" applyBorder="1" applyAlignment="1">
      <alignment wrapText="1"/>
    </xf>
    <xf numFmtId="0" fontId="3" fillId="8" borderId="64" xfId="0" applyFont="1" applyFill="1" applyBorder="1" applyAlignment="1">
      <alignment wrapText="1"/>
    </xf>
    <xf numFmtId="0" fontId="3" fillId="0" borderId="64" xfId="0" applyFont="1" applyBorder="1"/>
    <xf numFmtId="0" fontId="0" fillId="0" borderId="4" xfId="0" applyFont="1" applyBorder="1"/>
    <xf numFmtId="0" fontId="3" fillId="0" borderId="65" xfId="0" applyFont="1" applyBorder="1"/>
    <xf numFmtId="0" fontId="5" fillId="0" borderId="4" xfId="0" applyFont="1" applyBorder="1"/>
    <xf numFmtId="0" fontId="5" fillId="0" borderId="54" xfId="0" applyFont="1" applyBorder="1"/>
    <xf numFmtId="0" fontId="0" fillId="0" borderId="51" xfId="0" applyFont="1" applyBorder="1"/>
    <xf numFmtId="0" fontId="3" fillId="0" borderId="66" xfId="0" applyFont="1" applyBorder="1"/>
    <xf numFmtId="0" fontId="0" fillId="0" borderId="17" xfId="0" applyFont="1" applyBorder="1" applyAlignment="1">
      <alignment horizontal="center" wrapText="1"/>
    </xf>
    <xf numFmtId="43" fontId="0" fillId="0" borderId="0" xfId="2" applyFont="1" applyAlignment="1"/>
    <xf numFmtId="0" fontId="36" fillId="13" borderId="0" xfId="0" applyFont="1" applyFill="1" applyAlignment="1">
      <alignment horizontal="center"/>
    </xf>
    <xf numFmtId="0" fontId="33" fillId="0" borderId="0" xfId="0" applyFont="1" applyAlignment="1"/>
    <xf numFmtId="9" fontId="33" fillId="4" borderId="17" xfId="0" applyNumberFormat="1" applyFont="1" applyFill="1" applyBorder="1" applyAlignment="1">
      <alignment horizontal="center" wrapText="1"/>
    </xf>
    <xf numFmtId="164" fontId="0" fillId="5" borderId="17" xfId="0" applyNumberFormat="1" applyFont="1" applyFill="1" applyBorder="1" applyAlignment="1">
      <alignment horizontal="center" vertical="center" wrapText="1"/>
    </xf>
    <xf numFmtId="164" fontId="0" fillId="5" borderId="1" xfId="0" applyNumberFormat="1" applyFont="1" applyFill="1" applyBorder="1" applyAlignment="1">
      <alignment horizontal="center" vertical="center"/>
    </xf>
    <xf numFmtId="164" fontId="0" fillId="0" borderId="0" xfId="0" applyNumberFormat="1" applyFont="1" applyAlignment="1">
      <alignment horizontal="center" vertical="center"/>
    </xf>
    <xf numFmtId="0" fontId="0" fillId="6" borderId="23" xfId="0" applyFont="1" applyFill="1" applyBorder="1" applyAlignment="1">
      <alignment horizontal="center" vertical="center"/>
    </xf>
    <xf numFmtId="0" fontId="3" fillId="0" borderId="24" xfId="0" applyFont="1" applyBorder="1"/>
    <xf numFmtId="0" fontId="0" fillId="0" borderId="0" xfId="0" applyFont="1" applyAlignment="1">
      <alignment horizontal="center"/>
    </xf>
    <xf numFmtId="0" fontId="0" fillId="4" borderId="2" xfId="0" applyFont="1" applyFill="1" applyBorder="1" applyAlignment="1">
      <alignment horizontal="center"/>
    </xf>
    <xf numFmtId="0" fontId="3" fillId="0" borderId="3" xfId="0" applyFont="1" applyBorder="1"/>
    <xf numFmtId="0" fontId="3" fillId="0" borderId="4" xfId="0" applyFont="1" applyBorder="1"/>
    <xf numFmtId="0" fontId="0" fillId="5" borderId="2" xfId="0" applyFont="1" applyFill="1" applyBorder="1" applyAlignment="1">
      <alignment horizontal="center"/>
    </xf>
    <xf numFmtId="0" fontId="0" fillId="4" borderId="2" xfId="0" applyFont="1" applyFill="1" applyBorder="1" applyAlignment="1">
      <alignment horizontal="center" wrapText="1"/>
    </xf>
    <xf numFmtId="0" fontId="2" fillId="2" borderId="2" xfId="0" applyFont="1" applyFill="1" applyBorder="1" applyAlignment="1">
      <alignment horizontal="center"/>
    </xf>
    <xf numFmtId="0" fontId="5" fillId="5" borderId="2" xfId="0" applyFont="1" applyFill="1" applyBorder="1" applyAlignment="1">
      <alignment horizontal="center" wrapText="1"/>
    </xf>
    <xf numFmtId="0" fontId="2" fillId="3" borderId="2" xfId="0" applyFont="1" applyFill="1" applyBorder="1" applyAlignment="1">
      <alignment horizontal="center"/>
    </xf>
    <xf numFmtId="0" fontId="12" fillId="0" borderId="29" xfId="0" applyFont="1" applyBorder="1" applyAlignment="1">
      <alignment horizontal="center" wrapText="1"/>
    </xf>
    <xf numFmtId="0" fontId="3" fillId="0" borderId="30" xfId="0" applyFont="1" applyBorder="1"/>
    <xf numFmtId="0" fontId="0" fillId="0" borderId="28" xfId="0" applyFont="1" applyBorder="1" applyAlignment="1">
      <alignment horizontal="center"/>
    </xf>
    <xf numFmtId="0" fontId="3" fillId="0" borderId="32" xfId="0" applyFont="1" applyBorder="1"/>
    <xf numFmtId="0" fontId="0" fillId="0" borderId="31" xfId="0" applyFont="1" applyBorder="1" applyAlignment="1">
      <alignment horizontal="center"/>
    </xf>
    <xf numFmtId="0" fontId="3" fillId="0" borderId="22" xfId="0" applyFont="1" applyBorder="1"/>
    <xf numFmtId="0" fontId="5" fillId="0" borderId="0" xfId="0" applyFont="1" applyAlignment="1">
      <alignment horizontal="left" wrapText="1"/>
    </xf>
    <xf numFmtId="0" fontId="0" fillId="0" borderId="0" xfId="0" applyFont="1" applyAlignment="1"/>
    <xf numFmtId="0" fontId="5" fillId="0" borderId="0" xfId="0" applyFont="1" applyAlignment="1">
      <alignment horizontal="left"/>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5"/></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3"/></Relationships>
</file>

<file path=xl/_rels/comments4.xml.rels><?xml version="1.0" encoding="UTF-8" standalone="yes"?>
<Relationships xmlns="http://schemas.openxmlformats.org/package/2006/relationships"><Relationship Id="rId1" Type="http://customschemas.google.com/relationships/workbookmetadata" Target="commentsmeta1"/></Relationships>
</file>

<file path=xl/_rels/comments5.xml.rels><?xml version="1.0" encoding="UTF-8" standalone="yes"?>
<Relationships xmlns="http://schemas.openxmlformats.org/package/2006/relationships"><Relationship Id="rId1" Type="http://customschemas.google.com/relationships/workbookmetadata" Target="commentsmeta2"/></Relationships>
</file>

<file path=xl/_rels/comments6.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www.bestundertaking.com/in/pdf/2018-19/2019-statement_of_account_english_16-17.pdf" TargetMode="External"/><Relationship Id="rId2" Type="http://schemas.openxmlformats.org/officeDocument/2006/relationships/hyperlink" Target="https://data.worldbank.org/indicator/PA.NUS.FCRF?locations=IN" TargetMode="External"/><Relationship Id="rId1" Type="http://schemas.openxmlformats.org/officeDocument/2006/relationships/hyperlink" Target="https://www.bestundertaking.com/in/page.asp?i=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teresources.worldbank.org/INTURBANTRANSPORT/Resources/cities_on_the_move.pdf" TargetMode="External"/><Relationship Id="rId3" Type="http://schemas.openxmlformats.org/officeDocument/2006/relationships/hyperlink" Target="http://www.atlasofurbanexpansion.org/cities/view/Cochabamba" TargetMode="External"/><Relationship Id="rId7" Type="http://schemas.openxmlformats.org/officeDocument/2006/relationships/hyperlink" Target="http://www.repic.ch/files/7114/4126/7442/Grutter_FinalReport_e_web.pdf" TargetMode="External"/><Relationship Id="rId2" Type="http://schemas.openxmlformats.org/officeDocument/2006/relationships/hyperlink" Target="http://www.atlasofurbanexpansion.org/cities/view/Cochabamba" TargetMode="External"/><Relationship Id="rId1" Type="http://schemas.openxmlformats.org/officeDocument/2006/relationships/hyperlink" Target="https://data.worldbank.org/indicator/SP.URB.GROW?locations=CO" TargetMode="External"/><Relationship Id="rId6" Type="http://schemas.openxmlformats.org/officeDocument/2006/relationships/hyperlink" Target="http://documents.worldbank.org/curated/en/971161468314094302/pdf/339250rev.pdf" TargetMode="External"/><Relationship Id="rId5" Type="http://schemas.openxmlformats.org/officeDocument/2006/relationships/hyperlink" Target="https://www.fhwa.dot.gov/policy/2013cpr/chap2.cfm" TargetMode="External"/><Relationship Id="rId10" Type="http://schemas.openxmlformats.org/officeDocument/2006/relationships/comments" Target="../comments2.xml"/><Relationship Id="rId4" Type="http://schemas.openxmlformats.org/officeDocument/2006/relationships/hyperlink" Target="https://unhabitat.org/wp-content/uploads/2014/05/5-Principles_web.pdf" TargetMode="External"/><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www.ambq.gov.co/barranquil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workbookViewId="0">
      <selection activeCell="B31" sqref="B31"/>
    </sheetView>
  </sheetViews>
  <sheetFormatPr defaultColWidth="14.453125" defaultRowHeight="15" customHeight="1"/>
  <cols>
    <col min="1" max="1" width="5.453125" customWidth="1"/>
    <col min="2" max="2" width="39.453125" customWidth="1"/>
    <col min="3" max="3" width="25.453125" customWidth="1"/>
    <col min="4" max="4" width="21.453125" customWidth="1"/>
    <col min="5" max="5" width="8.453125" customWidth="1"/>
    <col min="6" max="6" width="17.36328125" bestFit="1" customWidth="1"/>
    <col min="7" max="7" width="13.6328125" bestFit="1" customWidth="1"/>
    <col min="8" max="8" width="16.36328125" bestFit="1" customWidth="1"/>
    <col min="9" max="9" width="17.36328125" bestFit="1" customWidth="1"/>
    <col min="10" max="10" width="21.6328125" bestFit="1" customWidth="1"/>
    <col min="11" max="11" width="16.36328125" bestFit="1" customWidth="1"/>
    <col min="12" max="23" width="8.453125" customWidth="1"/>
  </cols>
  <sheetData>
    <row r="1" spans="1:23" ht="14.25" customHeight="1">
      <c r="A1" s="5" t="s">
        <v>0</v>
      </c>
      <c r="B1" s="6" t="s">
        <v>2</v>
      </c>
      <c r="C1" s="6" t="s">
        <v>3</v>
      </c>
      <c r="D1" s="1"/>
      <c r="E1" s="249" t="s">
        <v>301</v>
      </c>
      <c r="F1" s="249"/>
      <c r="G1" s="249"/>
      <c r="H1" s="249"/>
      <c r="I1" s="249"/>
      <c r="J1" s="249"/>
      <c r="K1" s="249"/>
      <c r="L1" s="1"/>
      <c r="M1" s="1"/>
      <c r="N1" s="1"/>
      <c r="O1" s="1"/>
      <c r="P1" s="1"/>
      <c r="Q1" s="1"/>
      <c r="R1" s="1"/>
      <c r="S1" s="1"/>
      <c r="T1" s="1"/>
      <c r="U1" s="1"/>
      <c r="V1" s="1"/>
      <c r="W1" s="1"/>
    </row>
    <row r="2" spans="1:23" ht="14.25" customHeight="1">
      <c r="A2" s="250" t="s">
        <v>7</v>
      </c>
      <c r="B2" s="251"/>
      <c r="C2" s="252"/>
      <c r="E2" s="241" t="s">
        <v>302</v>
      </c>
      <c r="F2" s="241" t="s">
        <v>303</v>
      </c>
      <c r="G2" s="241" t="s">
        <v>7</v>
      </c>
      <c r="H2" s="241" t="s">
        <v>23</v>
      </c>
      <c r="I2" s="241" t="s">
        <v>48</v>
      </c>
      <c r="J2" s="241" t="s">
        <v>52</v>
      </c>
      <c r="K2" s="241" t="s">
        <v>304</v>
      </c>
    </row>
    <row r="3" spans="1:23" ht="14.25" customHeight="1">
      <c r="A3" s="9">
        <v>1</v>
      </c>
      <c r="B3" s="11" t="s">
        <v>11</v>
      </c>
      <c r="C3" s="15">
        <f>'Cost Calculations'!S568</f>
        <v>51426996.697708376</v>
      </c>
      <c r="E3" t="s">
        <v>305</v>
      </c>
      <c r="F3">
        <f>COUNTIF('Cost Calculations'!$E$4:$E$50,E3)</f>
        <v>18</v>
      </c>
      <c r="G3" s="240">
        <f>(SUMIF('Cost Calculations'!$E$4:$E$567,$E3,'Cost Calculations'!$S$4:$S$567)+SUMIF('Cost Calculations'!$E$4:$E$567,$E3,'Cost Calculations'!$X$4:$X$567)+SUMIF('Cost Calculations'!$E$4:$E$567,$E3,'Cost Calculations'!$Y$4:$Y$567))/COUNTIF('Cost Calculations'!$E:$E,$E3)</f>
        <v>5289131.2621138953</v>
      </c>
      <c r="H3" s="240">
        <f>(SUMIF('Cost Calculations'!$E$4:$E$567,$E3,'Cost Calculations'!$AD$4:$AD$567)+SUMIF('Cost Calculations'!$E$4:$E$567,$E3,'Cost Calculations'!$AH$4:$AH$567)+SUMIF('Cost Calculations'!$E$4:$E$567,$E3,'Cost Calculations'!$AL$4:$AL$567)+SUMIF('Cost Calculations'!$E$4:$E$567,$E3,'Cost Calculations'!$AM$4:$AM$567)+SUMIF('Cost Calculations'!$E$4:$E$567,$E3,'Cost Calculations'!$AR$4:$AR$567))/COUNTIF('Cost Calculations'!$E$4:$E$567,$E3)</f>
        <v>13290265.761919599</v>
      </c>
      <c r="I3" s="240">
        <f>(SUMIF('Cost Calculations'!$E$4:$E$567,$E3,'Cost Calculations'!$S$4:$S$567)+SUMIF('Cost Calculations'!$E$4:$E$567,$E3,'Cost Calculations'!$X$4:$X$567)+SUMIF('Cost Calculations'!$E$4:$E$567,$E3,'Cost Calculations'!$AD$4:$AD$567)+SUMIF('Cost Calculations'!$E$4:$E$567,$E3,'Cost Calculations'!$AH$4:$AH$567)+SUMIF('Cost Calculations'!$E$4:$E$567,$E3,'Cost Calculations'!$AL$4:$AL$567))*Variables!$C$2/COUNTIF('Cost Calculations'!$E$4:$E$567,$E3)</f>
        <v>671349.98720392981</v>
      </c>
      <c r="J3" s="240">
        <f>SUMIF('Cost Calculations'!$E$4:$E$567,$E3,'Cost Calculations'!$AT$4:$AT$567)/COUNTIF('Cost Calculations'!$E$4:$E$567,$E3)</f>
        <v>8653.8461538461543</v>
      </c>
      <c r="K3" s="240">
        <f>SUM(G3:J3)</f>
        <v>19259400.857391272</v>
      </c>
    </row>
    <row r="4" spans="1:23" ht="14.25" customHeight="1">
      <c r="A4" s="9">
        <v>2</v>
      </c>
      <c r="B4" s="11" t="s">
        <v>14</v>
      </c>
      <c r="C4" s="15">
        <f>'Cost Calculations'!X568</f>
        <v>14404229713.492878</v>
      </c>
      <c r="E4" t="s">
        <v>306</v>
      </c>
      <c r="F4" s="224">
        <f>COUNTIF('Cost Calculations'!$E$4:$E$50,E4)</f>
        <v>25</v>
      </c>
      <c r="G4" s="240">
        <f>(SUMIF('Cost Calculations'!$E$4:$E$567,$E4,'Cost Calculations'!$S$4:$S$567)+SUMIF('Cost Calculations'!$E$4:$E$567,$E4,'Cost Calculations'!$X$4:$X$567)+SUMIF('Cost Calculations'!$E$4:$E$567,$E4,'Cost Calculations'!$Y$4:$Y$567))/COUNTIF('Cost Calculations'!$E:$E,$E4)</f>
        <v>31541821.468093745</v>
      </c>
      <c r="H4" s="240">
        <f>(SUMIF('Cost Calculations'!$E$4:$E$567,$E4,'Cost Calculations'!$AD$4:$AD$567)+SUMIF('Cost Calculations'!$E$4:$E$567,$E4,'Cost Calculations'!$AH$4:$AH$567)+SUMIF('Cost Calculations'!$E$4:$E$567,$E4,'Cost Calculations'!$AL$4:$AL$567)+SUMIF('Cost Calculations'!$E$4:$E$567,$E4,'Cost Calculations'!$AM$4:$AM$567)+SUMIF('Cost Calculations'!$E$4:$E$567,$E4,'Cost Calculations'!$AR$4:$AR$567))/COUNTIF('Cost Calculations'!$E$4:$E$567,$E4)</f>
        <v>166032695.47027925</v>
      </c>
      <c r="I4" s="240">
        <f>(SUMIF('Cost Calculations'!$E$4:$E$567,$E4,'Cost Calculations'!$S$4:$S$567)+SUMIF('Cost Calculations'!$E$4:$E$567,$E4,'Cost Calculations'!$X$4:$X$567)+SUMIF('Cost Calculations'!$E$4:$E$567,$E4,'Cost Calculations'!$AD$4:$AD$567)+SUMIF('Cost Calculations'!$E$4:$E$567,$E4,'Cost Calculations'!$AH$4:$AH$567)+SUMIF('Cost Calculations'!$E$4:$E$567,$E4,'Cost Calculations'!$AL$4:$AL$567))*Variables!$C$2/COUNTIF('Cost Calculations'!$E$4:$E$567,$E4)</f>
        <v>4563875.275971299</v>
      </c>
      <c r="J4" s="240">
        <f>SUMIF('Cost Calculations'!$E$4:$E$567,$E4,'Cost Calculations'!$AT$4:$AT$567)/COUNTIF('Cost Calculations'!$E$4:$E$567,$E4)</f>
        <v>28877.887788778877</v>
      </c>
      <c r="K4" s="240">
        <f t="shared" ref="K4:K5" si="0">SUM(G4:J4)</f>
        <v>202167270.10213307</v>
      </c>
    </row>
    <row r="5" spans="1:23" ht="14.25" customHeight="1">
      <c r="A5" s="9">
        <v>3</v>
      </c>
      <c r="B5" s="11" t="s">
        <v>20</v>
      </c>
      <c r="C5" s="15">
        <f>'Cost Calculations'!Y568</f>
        <v>270453479.76576692</v>
      </c>
      <c r="E5" t="s">
        <v>307</v>
      </c>
      <c r="F5" s="224">
        <f>COUNTIF('Cost Calculations'!$E$4:$E$50,E5)</f>
        <v>4</v>
      </c>
      <c r="G5" s="240">
        <f>(SUMIF('Cost Calculations'!$E$4:$E$567,$E5,'Cost Calculations'!$S$4:$S$567)+SUMIF('Cost Calculations'!$E$4:$E$567,$E5,'Cost Calculations'!$X$4:$X$567)+SUMIF('Cost Calculations'!$E$4:$E$567,$E5,'Cost Calculations'!$Y$4:$Y$567))/COUNTIF('Cost Calculations'!$E:$E,$E5)</f>
        <v>76769792.124608502</v>
      </c>
      <c r="H5" s="240">
        <f>(SUMIF('Cost Calculations'!$E$4:$E$567,$E5,'Cost Calculations'!$AD$4:$AD$567)+SUMIF('Cost Calculations'!$E$4:$E$567,$E5,'Cost Calculations'!$AH$4:$AH$567)+SUMIF('Cost Calculations'!$E$4:$E$567,$E5,'Cost Calculations'!$AL$4:$AL$567)+SUMIF('Cost Calculations'!$E$4:$E$567,$E5,'Cost Calculations'!$AM$4:$AM$567)+SUMIF('Cost Calculations'!$E$4:$E$567,$E5,'Cost Calculations'!$AR$4:$AR$567))/COUNTIF('Cost Calculations'!$E$4:$E$567,$E5)</f>
        <v>1412800217.959187</v>
      </c>
      <c r="I5" s="240">
        <f>(SUMIF('Cost Calculations'!$E$4:$E$567,$E5,'Cost Calculations'!$S$4:$S$567)+SUMIF('Cost Calculations'!$E$4:$E$567,$E5,'Cost Calculations'!$X$4:$X$567)+SUMIF('Cost Calculations'!$E$4:$E$567,$E5,'Cost Calculations'!$AD$4:$AD$567)+SUMIF('Cost Calculations'!$E$4:$E$567,$E5,'Cost Calculations'!$AH$4:$AH$567)+SUMIF('Cost Calculations'!$E$4:$E$567,$E5,'Cost Calculations'!$AL$4:$AL$567))*Variables!$C$2/COUNTIF('Cost Calculations'!$E$4:$E$567,$E5)</f>
        <v>14363225.556983717</v>
      </c>
      <c r="J5" s="240">
        <f>SUMIF('Cost Calculations'!$E$4:$E$567,$E5,'Cost Calculations'!$AT$4:$AT$567)/COUNTIF('Cost Calculations'!$E$4:$E$567,$E5)</f>
        <v>26415.094339622643</v>
      </c>
      <c r="K5" s="240">
        <f t="shared" si="0"/>
        <v>1503959650.7351189</v>
      </c>
    </row>
    <row r="6" spans="1:23" ht="14.25" customHeight="1">
      <c r="A6" s="250" t="s">
        <v>23</v>
      </c>
      <c r="B6" s="251"/>
      <c r="C6" s="252"/>
    </row>
    <row r="7" spans="1:23" ht="14.25" customHeight="1">
      <c r="A7" s="9">
        <v>1</v>
      </c>
      <c r="B7" s="11" t="s">
        <v>25</v>
      </c>
      <c r="C7" s="15">
        <f>'Cost Calculations'!AD568</f>
        <v>8180121600</v>
      </c>
    </row>
    <row r="8" spans="1:23" ht="14.25" customHeight="1">
      <c r="A8" s="9">
        <v>2</v>
      </c>
      <c r="B8" s="11" t="s">
        <v>19</v>
      </c>
      <c r="C8" s="15">
        <f>'Cost Calculations'!AH568</f>
        <v>2205799.7760000005</v>
      </c>
    </row>
    <row r="9" spans="1:23" ht="14.25" customHeight="1">
      <c r="A9" s="9">
        <v>3</v>
      </c>
      <c r="B9" s="11" t="s">
        <v>29</v>
      </c>
      <c r="C9" s="15">
        <f>'Cost Calculations'!AL568</f>
        <v>199475494.81200045</v>
      </c>
    </row>
    <row r="10" spans="1:23" ht="14.25" customHeight="1">
      <c r="A10" s="9">
        <v>4</v>
      </c>
      <c r="B10" s="27" t="s">
        <v>36</v>
      </c>
      <c r="C10" s="15">
        <v>0</v>
      </c>
    </row>
    <row r="11" spans="1:23" ht="14.25" customHeight="1">
      <c r="A11" s="9">
        <v>5</v>
      </c>
      <c r="B11" s="11" t="s">
        <v>38</v>
      </c>
      <c r="C11" s="15">
        <f>'Cost Calculations'!AM568</f>
        <v>98635412312.388794</v>
      </c>
    </row>
    <row r="12" spans="1:23" ht="14.25" customHeight="1">
      <c r="A12" s="9">
        <v>6</v>
      </c>
      <c r="B12" s="4" t="s">
        <v>40</v>
      </c>
      <c r="C12" s="15">
        <f>'Cost Calculations'!AR568</f>
        <v>20933478350.834187</v>
      </c>
      <c r="D12" s="4"/>
      <c r="E12" s="4"/>
      <c r="F12" s="4"/>
      <c r="G12" s="4"/>
      <c r="H12" s="4"/>
      <c r="I12" s="4"/>
      <c r="J12" s="4"/>
      <c r="K12" s="4"/>
      <c r="L12" s="4"/>
      <c r="M12" s="4"/>
      <c r="N12" s="4"/>
      <c r="O12" s="4"/>
      <c r="P12" s="4"/>
      <c r="Q12" s="4"/>
      <c r="R12" s="4"/>
      <c r="S12" s="4"/>
      <c r="T12" s="4"/>
      <c r="U12" s="4"/>
      <c r="V12" s="4"/>
      <c r="W12" s="4"/>
    </row>
    <row r="13" spans="1:23" ht="14.25" customHeight="1">
      <c r="A13" s="250" t="s">
        <v>48</v>
      </c>
      <c r="B13" s="251"/>
      <c r="C13" s="252"/>
      <c r="E13" s="242"/>
    </row>
    <row r="14" spans="1:23" ht="14.25" customHeight="1">
      <c r="A14" s="9">
        <v>1</v>
      </c>
      <c r="B14" s="11" t="s">
        <v>51</v>
      </c>
      <c r="C14" s="15">
        <f>Variables!C2*(C3+C4+C7+C8+C9)</f>
        <v>2283745960.477859</v>
      </c>
      <c r="F14" s="240"/>
    </row>
    <row r="15" spans="1:23" ht="14.25" customHeight="1">
      <c r="A15" s="250" t="s">
        <v>52</v>
      </c>
      <c r="B15" s="251"/>
      <c r="C15" s="252"/>
      <c r="F15" s="240"/>
    </row>
    <row r="16" spans="1:23" ht="14.25" customHeight="1">
      <c r="A16" s="9">
        <v>1</v>
      </c>
      <c r="B16" s="11" t="s">
        <v>10</v>
      </c>
      <c r="C16" s="15">
        <f>'Cost Calculations'!AT568</f>
        <v>11950000</v>
      </c>
      <c r="F16" s="240"/>
    </row>
    <row r="17" spans="1:4" ht="14.25" customHeight="1">
      <c r="A17" s="247" t="s">
        <v>57</v>
      </c>
      <c r="B17" s="248"/>
      <c r="C17" s="47">
        <f>SUM(C3,C4,C5,C7,C8,C9,C10,C11,C14,C16)</f>
        <v>124039021357.41101</v>
      </c>
    </row>
    <row r="18" spans="1:4" ht="14.25" customHeight="1">
      <c r="A18" s="9"/>
    </row>
    <row r="19" spans="1:4" ht="14.25" customHeight="1">
      <c r="A19" s="9"/>
      <c r="B19" s="49"/>
      <c r="C19" s="9"/>
      <c r="D19" s="51"/>
    </row>
    <row r="20" spans="1:4" ht="14.25" customHeight="1">
      <c r="A20" s="9"/>
    </row>
    <row r="21" spans="1:4" ht="14.25" customHeight="1">
      <c r="A21" s="9"/>
    </row>
    <row r="22" spans="1:4" ht="14.25" customHeight="1">
      <c r="A22" s="9"/>
    </row>
    <row r="23" spans="1:4" ht="14.25" customHeight="1">
      <c r="A23" s="9"/>
    </row>
    <row r="24" spans="1:4" ht="14.25" customHeight="1">
      <c r="A24" s="9"/>
    </row>
    <row r="25" spans="1:4" ht="14.25" customHeight="1">
      <c r="A25" s="9"/>
    </row>
    <row r="26" spans="1:4" ht="14.25" customHeight="1">
      <c r="A26" s="9"/>
    </row>
    <row r="27" spans="1:4" ht="14.25" customHeight="1">
      <c r="A27" s="9"/>
    </row>
    <row r="28" spans="1:4" ht="14.25" customHeight="1">
      <c r="A28" s="9"/>
    </row>
    <row r="29" spans="1:4" ht="14.25" customHeight="1">
      <c r="A29" s="9"/>
    </row>
    <row r="30" spans="1:4" ht="14.25" customHeight="1">
      <c r="A30" s="9"/>
    </row>
    <row r="31" spans="1:4" ht="14.25" customHeight="1">
      <c r="A31" s="9"/>
    </row>
    <row r="32" spans="1:4" ht="14.25" customHeight="1">
      <c r="A32" s="9"/>
    </row>
    <row r="33" spans="1:1" ht="14.25" customHeight="1">
      <c r="A33" s="9"/>
    </row>
    <row r="34" spans="1:1" ht="14.25" customHeight="1">
      <c r="A34" s="9"/>
    </row>
    <row r="35" spans="1:1" ht="14.25" customHeight="1">
      <c r="A35" s="9"/>
    </row>
    <row r="36" spans="1:1" ht="14.25" customHeight="1">
      <c r="A36" s="9"/>
    </row>
    <row r="37" spans="1:1" ht="14.25" customHeight="1">
      <c r="A37" s="9"/>
    </row>
    <row r="38" spans="1:1" ht="14.25" customHeight="1">
      <c r="A38" s="9"/>
    </row>
    <row r="39" spans="1:1" ht="14.25" customHeight="1">
      <c r="A39" s="9"/>
    </row>
    <row r="40" spans="1:1" ht="14.25" customHeight="1">
      <c r="A40" s="9"/>
    </row>
    <row r="41" spans="1:1" ht="14.25" customHeight="1">
      <c r="A41" s="9"/>
    </row>
    <row r="42" spans="1:1" ht="14.25" customHeight="1">
      <c r="A42" s="9"/>
    </row>
    <row r="43" spans="1:1" ht="14.25" customHeight="1">
      <c r="A43" s="9"/>
    </row>
    <row r="44" spans="1:1" ht="14.25" customHeight="1">
      <c r="A44" s="9"/>
    </row>
    <row r="45" spans="1:1" ht="14.25" customHeight="1">
      <c r="A45" s="9"/>
    </row>
    <row r="46" spans="1:1" ht="14.25" customHeight="1">
      <c r="A46" s="9"/>
    </row>
    <row r="47" spans="1:1" ht="14.25" customHeight="1">
      <c r="A47" s="9"/>
    </row>
    <row r="48" spans="1:1" ht="14.25" customHeight="1">
      <c r="A48" s="9"/>
    </row>
    <row r="49" spans="1:1" ht="14.25" customHeight="1">
      <c r="A49" s="9"/>
    </row>
    <row r="50" spans="1:1" ht="14.25" customHeight="1">
      <c r="A50" s="9"/>
    </row>
    <row r="51" spans="1:1" ht="14.25" customHeight="1">
      <c r="A51" s="9"/>
    </row>
    <row r="52" spans="1:1" ht="14.25" customHeight="1">
      <c r="A52" s="9"/>
    </row>
    <row r="53" spans="1:1" ht="14.25" customHeight="1">
      <c r="A53" s="9"/>
    </row>
    <row r="54" spans="1:1" ht="14.25" customHeight="1">
      <c r="A54" s="9"/>
    </row>
    <row r="55" spans="1:1" ht="14.25" customHeight="1">
      <c r="A55" s="9"/>
    </row>
    <row r="56" spans="1:1" ht="14.25" customHeight="1">
      <c r="A56" s="9"/>
    </row>
    <row r="57" spans="1:1" ht="14.25" customHeight="1">
      <c r="A57" s="9"/>
    </row>
    <row r="58" spans="1:1" ht="14.25" customHeight="1">
      <c r="A58" s="9"/>
    </row>
    <row r="59" spans="1:1" ht="14.25" customHeight="1">
      <c r="A59" s="9"/>
    </row>
    <row r="60" spans="1:1" ht="14.25" customHeight="1">
      <c r="A60" s="9"/>
    </row>
    <row r="61" spans="1:1" ht="14.25" customHeight="1">
      <c r="A61" s="9"/>
    </row>
    <row r="62" spans="1:1" ht="14.25" customHeight="1">
      <c r="A62" s="9"/>
    </row>
    <row r="63" spans="1:1" ht="14.25" customHeight="1">
      <c r="A63" s="9"/>
    </row>
    <row r="64" spans="1:1" ht="14.25" customHeight="1">
      <c r="A64" s="9"/>
    </row>
    <row r="65" spans="1:1" ht="14.25" customHeight="1">
      <c r="A65" s="9"/>
    </row>
    <row r="66" spans="1:1" ht="14.25" customHeight="1">
      <c r="A66" s="9"/>
    </row>
    <row r="67" spans="1:1" ht="14.25" customHeight="1">
      <c r="A67" s="9"/>
    </row>
    <row r="68" spans="1:1" ht="14.25" customHeight="1">
      <c r="A68" s="9"/>
    </row>
    <row r="69" spans="1:1" ht="14.25" customHeight="1">
      <c r="A69" s="9"/>
    </row>
    <row r="70" spans="1:1" ht="14.25" customHeight="1">
      <c r="A70" s="9"/>
    </row>
    <row r="71" spans="1:1" ht="14.25" customHeight="1">
      <c r="A71" s="9"/>
    </row>
    <row r="72" spans="1:1" ht="14.25" customHeight="1">
      <c r="A72" s="9"/>
    </row>
    <row r="73" spans="1:1" ht="14.25" customHeight="1">
      <c r="A73" s="9"/>
    </row>
    <row r="74" spans="1:1" ht="14.25" customHeight="1">
      <c r="A74" s="9"/>
    </row>
    <row r="75" spans="1:1" ht="14.25" customHeight="1">
      <c r="A75" s="9"/>
    </row>
    <row r="76" spans="1:1" ht="14.25" customHeight="1">
      <c r="A76" s="9"/>
    </row>
    <row r="77" spans="1:1" ht="14.25" customHeight="1">
      <c r="A77" s="9"/>
    </row>
    <row r="78" spans="1:1" ht="14.25" customHeight="1">
      <c r="A78" s="9"/>
    </row>
    <row r="79" spans="1:1" ht="14.25" customHeight="1">
      <c r="A79" s="9"/>
    </row>
    <row r="80" spans="1:1" ht="14.25" customHeight="1">
      <c r="A80" s="9"/>
    </row>
    <row r="81" spans="1:1" ht="14.25" customHeight="1">
      <c r="A81" s="9"/>
    </row>
    <row r="82" spans="1:1" ht="14.25" customHeight="1">
      <c r="A82" s="9"/>
    </row>
    <row r="83" spans="1:1" ht="14.25" customHeight="1">
      <c r="A83" s="9"/>
    </row>
    <row r="84" spans="1:1" ht="14.25" customHeight="1">
      <c r="A84" s="9"/>
    </row>
    <row r="85" spans="1:1" ht="14.25" customHeight="1">
      <c r="A85" s="9"/>
    </row>
    <row r="86" spans="1:1" ht="14.25" customHeight="1">
      <c r="A86" s="9"/>
    </row>
    <row r="87" spans="1:1" ht="14.25" customHeight="1">
      <c r="A87" s="9"/>
    </row>
    <row r="88" spans="1:1" ht="14.25" customHeight="1">
      <c r="A88" s="9"/>
    </row>
    <row r="89" spans="1:1" ht="14.25" customHeight="1">
      <c r="A89" s="9"/>
    </row>
    <row r="90" spans="1:1" ht="14.25" customHeight="1">
      <c r="A90" s="9"/>
    </row>
    <row r="91" spans="1:1" ht="14.25" customHeight="1">
      <c r="A91" s="9"/>
    </row>
    <row r="92" spans="1:1" ht="14.25" customHeight="1">
      <c r="A92" s="9"/>
    </row>
    <row r="93" spans="1:1" ht="14.25" customHeight="1">
      <c r="A93" s="9"/>
    </row>
    <row r="94" spans="1:1" ht="14.25" customHeight="1">
      <c r="A94" s="9"/>
    </row>
    <row r="95" spans="1:1" ht="14.25" customHeight="1">
      <c r="A95" s="9"/>
    </row>
    <row r="96" spans="1:1" ht="14.25" customHeight="1">
      <c r="A96" s="9"/>
    </row>
    <row r="97" spans="1:1" ht="14.25" customHeight="1">
      <c r="A97" s="9"/>
    </row>
    <row r="98" spans="1:1" ht="14.25" customHeight="1">
      <c r="A98" s="9"/>
    </row>
    <row r="99" spans="1:1" ht="14.25" customHeight="1">
      <c r="A99" s="9"/>
    </row>
    <row r="100" spans="1:1" ht="14.25" customHeight="1">
      <c r="A100" s="9"/>
    </row>
    <row r="101" spans="1:1" ht="14.25" customHeight="1">
      <c r="A101" s="9"/>
    </row>
    <row r="102" spans="1:1" ht="14.25" customHeight="1">
      <c r="A102" s="9"/>
    </row>
    <row r="103" spans="1:1" ht="14.25" customHeight="1">
      <c r="A103" s="9"/>
    </row>
    <row r="104" spans="1:1" ht="14.25" customHeight="1">
      <c r="A104" s="9"/>
    </row>
    <row r="105" spans="1:1" ht="14.25" customHeight="1">
      <c r="A105" s="9"/>
    </row>
    <row r="106" spans="1:1" ht="14.25" customHeight="1">
      <c r="A106" s="9"/>
    </row>
    <row r="107" spans="1:1" ht="14.25" customHeight="1">
      <c r="A107" s="9"/>
    </row>
    <row r="108" spans="1:1" ht="14.25" customHeight="1">
      <c r="A108" s="9"/>
    </row>
    <row r="109" spans="1:1" ht="14.25" customHeight="1">
      <c r="A109" s="9"/>
    </row>
    <row r="110" spans="1:1" ht="14.25" customHeight="1">
      <c r="A110" s="9"/>
    </row>
    <row r="111" spans="1:1" ht="14.25" customHeight="1">
      <c r="A111" s="9"/>
    </row>
    <row r="112" spans="1:1" ht="14.25" customHeight="1">
      <c r="A112" s="9"/>
    </row>
    <row r="113" spans="1:1" ht="14.25" customHeight="1">
      <c r="A113" s="9"/>
    </row>
    <row r="114" spans="1:1" ht="14.25" customHeight="1">
      <c r="A114" s="9"/>
    </row>
    <row r="115" spans="1:1" ht="14.25" customHeight="1">
      <c r="A115" s="9"/>
    </row>
    <row r="116" spans="1:1" ht="14.25" customHeight="1">
      <c r="A116" s="9"/>
    </row>
    <row r="117" spans="1:1" ht="14.25" customHeight="1">
      <c r="A117" s="9"/>
    </row>
    <row r="118" spans="1:1" ht="14.25" customHeight="1">
      <c r="A118" s="9"/>
    </row>
    <row r="119" spans="1:1" ht="14.25" customHeight="1">
      <c r="A119" s="9"/>
    </row>
    <row r="120" spans="1:1" ht="14.25" customHeight="1">
      <c r="A120" s="9"/>
    </row>
    <row r="121" spans="1:1" ht="14.25" customHeight="1">
      <c r="A121" s="9"/>
    </row>
    <row r="122" spans="1:1" ht="14.25" customHeight="1">
      <c r="A122" s="9"/>
    </row>
    <row r="123" spans="1:1" ht="14.25" customHeight="1">
      <c r="A123" s="9"/>
    </row>
    <row r="124" spans="1:1" ht="14.25" customHeight="1">
      <c r="A124" s="9"/>
    </row>
    <row r="125" spans="1:1" ht="14.25" customHeight="1">
      <c r="A125" s="9"/>
    </row>
    <row r="126" spans="1:1" ht="14.25" customHeight="1">
      <c r="A126" s="9"/>
    </row>
    <row r="127" spans="1:1" ht="14.25" customHeight="1">
      <c r="A127" s="9"/>
    </row>
    <row r="128" spans="1:1" ht="14.25" customHeight="1">
      <c r="A128" s="9"/>
    </row>
    <row r="129" spans="1:1" ht="14.25" customHeight="1">
      <c r="A129" s="9"/>
    </row>
    <row r="130" spans="1:1" ht="14.25" customHeight="1">
      <c r="A130" s="9"/>
    </row>
    <row r="131" spans="1:1" ht="14.25" customHeight="1">
      <c r="A131" s="9"/>
    </row>
    <row r="132" spans="1:1" ht="14.25" customHeight="1">
      <c r="A132" s="9"/>
    </row>
    <row r="133" spans="1:1" ht="14.25" customHeight="1">
      <c r="A133" s="9"/>
    </row>
    <row r="134" spans="1:1" ht="14.25" customHeight="1">
      <c r="A134" s="9"/>
    </row>
    <row r="135" spans="1:1" ht="14.25" customHeight="1">
      <c r="A135" s="9"/>
    </row>
    <row r="136" spans="1:1" ht="14.25" customHeight="1">
      <c r="A136" s="9"/>
    </row>
    <row r="137" spans="1:1" ht="14.25" customHeight="1">
      <c r="A137" s="9"/>
    </row>
    <row r="138" spans="1:1" ht="14.25" customHeight="1">
      <c r="A138" s="9"/>
    </row>
    <row r="139" spans="1:1" ht="14.25" customHeight="1">
      <c r="A139" s="9"/>
    </row>
    <row r="140" spans="1:1" ht="14.25" customHeight="1">
      <c r="A140" s="9"/>
    </row>
    <row r="141" spans="1:1" ht="14.25" customHeight="1">
      <c r="A141" s="9"/>
    </row>
    <row r="142" spans="1:1" ht="14.25" customHeight="1">
      <c r="A142" s="9"/>
    </row>
    <row r="143" spans="1:1" ht="14.25" customHeight="1">
      <c r="A143" s="9"/>
    </row>
    <row r="144" spans="1:1" ht="14.25" customHeight="1">
      <c r="A144" s="9"/>
    </row>
    <row r="145" spans="1:1" ht="14.25" customHeight="1">
      <c r="A145" s="9"/>
    </row>
    <row r="146" spans="1:1" ht="14.25" customHeight="1">
      <c r="A146" s="9"/>
    </row>
    <row r="147" spans="1:1" ht="14.25" customHeight="1">
      <c r="A147" s="9"/>
    </row>
    <row r="148" spans="1:1" ht="14.25" customHeight="1">
      <c r="A148" s="9"/>
    </row>
    <row r="149" spans="1:1" ht="14.25" customHeight="1">
      <c r="A149" s="9"/>
    </row>
    <row r="150" spans="1:1" ht="14.25" customHeight="1">
      <c r="A150" s="9"/>
    </row>
    <row r="151" spans="1:1" ht="14.25" customHeight="1">
      <c r="A151" s="9"/>
    </row>
    <row r="152" spans="1:1" ht="14.25" customHeight="1">
      <c r="A152" s="9"/>
    </row>
    <row r="153" spans="1:1" ht="14.25" customHeight="1">
      <c r="A153" s="9"/>
    </row>
    <row r="154" spans="1:1" ht="14.25" customHeight="1">
      <c r="A154" s="9"/>
    </row>
    <row r="155" spans="1:1" ht="14.25" customHeight="1">
      <c r="A155" s="9"/>
    </row>
    <row r="156" spans="1:1" ht="14.25" customHeight="1">
      <c r="A156" s="9"/>
    </row>
    <row r="157" spans="1:1" ht="14.25" customHeight="1">
      <c r="A157" s="9"/>
    </row>
    <row r="158" spans="1:1" ht="14.25" customHeight="1">
      <c r="A158" s="9"/>
    </row>
    <row r="159" spans="1:1" ht="14.25" customHeight="1">
      <c r="A159" s="9"/>
    </row>
    <row r="160" spans="1:1" ht="14.25" customHeight="1">
      <c r="A160" s="9"/>
    </row>
    <row r="161" spans="1:1" ht="14.25" customHeight="1">
      <c r="A161" s="9"/>
    </row>
    <row r="162" spans="1:1" ht="14.25" customHeight="1">
      <c r="A162" s="9"/>
    </row>
    <row r="163" spans="1:1" ht="14.25" customHeight="1">
      <c r="A163" s="9"/>
    </row>
    <row r="164" spans="1:1" ht="14.25" customHeight="1">
      <c r="A164" s="9"/>
    </row>
    <row r="165" spans="1:1" ht="14.25" customHeight="1">
      <c r="A165" s="9"/>
    </row>
    <row r="166" spans="1:1" ht="14.25" customHeight="1">
      <c r="A166" s="9"/>
    </row>
    <row r="167" spans="1:1" ht="14.25" customHeight="1">
      <c r="A167" s="9"/>
    </row>
    <row r="168" spans="1:1" ht="14.25" customHeight="1">
      <c r="A168" s="9"/>
    </row>
    <row r="169" spans="1:1" ht="14.25" customHeight="1">
      <c r="A169" s="9"/>
    </row>
    <row r="170" spans="1:1" ht="14.25" customHeight="1">
      <c r="A170" s="9"/>
    </row>
    <row r="171" spans="1:1" ht="14.25" customHeight="1">
      <c r="A171" s="9"/>
    </row>
    <row r="172" spans="1:1" ht="14.25" customHeight="1">
      <c r="A172" s="9"/>
    </row>
    <row r="173" spans="1:1" ht="14.25" customHeight="1">
      <c r="A173" s="9"/>
    </row>
    <row r="174" spans="1:1" ht="14.25" customHeight="1">
      <c r="A174" s="9"/>
    </row>
    <row r="175" spans="1:1" ht="14.25" customHeight="1">
      <c r="A175" s="9"/>
    </row>
    <row r="176" spans="1:1" ht="14.25" customHeight="1">
      <c r="A176" s="9"/>
    </row>
    <row r="177" spans="1:1" ht="14.25" customHeight="1">
      <c r="A177" s="9"/>
    </row>
    <row r="178" spans="1:1" ht="14.25" customHeight="1">
      <c r="A178" s="9"/>
    </row>
    <row r="179" spans="1:1" ht="14.25" customHeight="1">
      <c r="A179" s="9"/>
    </row>
    <row r="180" spans="1:1" ht="14.25" customHeight="1">
      <c r="A180" s="9"/>
    </row>
    <row r="181" spans="1:1" ht="14.25" customHeight="1">
      <c r="A181" s="9"/>
    </row>
    <row r="182" spans="1:1" ht="14.25" customHeight="1">
      <c r="A182" s="9"/>
    </row>
    <row r="183" spans="1:1" ht="14.25" customHeight="1">
      <c r="A183" s="9"/>
    </row>
    <row r="184" spans="1:1" ht="14.25" customHeight="1">
      <c r="A184" s="9"/>
    </row>
    <row r="185" spans="1:1" ht="14.25" customHeight="1">
      <c r="A185" s="9"/>
    </row>
    <row r="186" spans="1:1" ht="14.25" customHeight="1">
      <c r="A186" s="9"/>
    </row>
    <row r="187" spans="1:1" ht="14.25" customHeight="1">
      <c r="A187" s="9"/>
    </row>
    <row r="188" spans="1:1" ht="14.25" customHeight="1">
      <c r="A188" s="9"/>
    </row>
    <row r="189" spans="1:1" ht="14.25" customHeight="1">
      <c r="A189" s="9"/>
    </row>
    <row r="190" spans="1:1" ht="14.25" customHeight="1">
      <c r="A190" s="9"/>
    </row>
    <row r="191" spans="1:1" ht="14.25" customHeight="1">
      <c r="A191" s="9"/>
    </row>
    <row r="192" spans="1:1" ht="14.25" customHeight="1">
      <c r="A192" s="9"/>
    </row>
    <row r="193" spans="1:1" ht="14.25" customHeight="1">
      <c r="A193" s="9"/>
    </row>
    <row r="194" spans="1:1" ht="14.25" customHeight="1">
      <c r="A194" s="9"/>
    </row>
    <row r="195" spans="1:1" ht="14.25" customHeight="1">
      <c r="A195" s="9"/>
    </row>
    <row r="196" spans="1:1" ht="14.25" customHeight="1">
      <c r="A196" s="9"/>
    </row>
    <row r="197" spans="1:1" ht="14.25" customHeight="1">
      <c r="A197" s="9"/>
    </row>
    <row r="198" spans="1:1" ht="14.25" customHeight="1">
      <c r="A198" s="9"/>
    </row>
    <row r="199" spans="1:1" ht="14.25" customHeight="1">
      <c r="A199" s="9"/>
    </row>
    <row r="200" spans="1:1" ht="14.25" customHeight="1">
      <c r="A200" s="9"/>
    </row>
    <row r="201" spans="1:1" ht="14.25" customHeight="1">
      <c r="A201" s="9"/>
    </row>
    <row r="202" spans="1:1" ht="14.25" customHeight="1">
      <c r="A202" s="9"/>
    </row>
    <row r="203" spans="1:1" ht="14.25" customHeight="1">
      <c r="A203" s="9"/>
    </row>
    <row r="204" spans="1:1" ht="14.25" customHeight="1">
      <c r="A204" s="9"/>
    </row>
    <row r="205" spans="1:1" ht="14.25" customHeight="1">
      <c r="A205" s="9"/>
    </row>
    <row r="206" spans="1:1" ht="14.25" customHeight="1">
      <c r="A206" s="9"/>
    </row>
    <row r="207" spans="1:1" ht="14.25" customHeight="1">
      <c r="A207" s="9"/>
    </row>
    <row r="208" spans="1:1" ht="14.25" customHeight="1">
      <c r="A208" s="9"/>
    </row>
    <row r="209" spans="1:1" ht="14.25" customHeight="1">
      <c r="A209" s="9"/>
    </row>
    <row r="210" spans="1:1" ht="14.25" customHeight="1">
      <c r="A210" s="9"/>
    </row>
    <row r="211" spans="1:1" ht="14.25" customHeight="1">
      <c r="A211" s="9"/>
    </row>
    <row r="212" spans="1:1" ht="14.25" customHeight="1">
      <c r="A212" s="9"/>
    </row>
    <row r="213" spans="1:1" ht="14.25" customHeight="1">
      <c r="A213" s="9"/>
    </row>
    <row r="214" spans="1:1" ht="14.25" customHeight="1">
      <c r="A214" s="9"/>
    </row>
    <row r="215" spans="1:1" ht="14.25" customHeight="1">
      <c r="A215" s="9"/>
    </row>
    <row r="216" spans="1:1" ht="14.25" customHeight="1">
      <c r="A216" s="9"/>
    </row>
    <row r="217" spans="1:1" ht="14.25" customHeight="1">
      <c r="A217" s="9"/>
    </row>
    <row r="218" spans="1:1" ht="14.25" customHeight="1">
      <c r="A218" s="9"/>
    </row>
    <row r="219" spans="1:1" ht="14.25" customHeight="1">
      <c r="A219" s="9"/>
    </row>
    <row r="220" spans="1:1" ht="14.25" customHeight="1">
      <c r="A220" s="9"/>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7:B17"/>
    <mergeCell ref="E1:K1"/>
    <mergeCell ref="A2:C2"/>
    <mergeCell ref="A6:C6"/>
    <mergeCell ref="A13:C13"/>
    <mergeCell ref="A15:C15"/>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election activeCell="C4" sqref="C4"/>
    </sheetView>
  </sheetViews>
  <sheetFormatPr defaultColWidth="14.453125" defaultRowHeight="15" customHeight="1"/>
  <cols>
    <col min="1" max="1" width="6" customWidth="1"/>
    <col min="2" max="2" width="18.81640625" customWidth="1"/>
    <col min="3" max="3" width="24.1796875" style="228" customWidth="1"/>
    <col min="4" max="4" width="21" customWidth="1"/>
    <col min="5" max="5" width="18.453125" customWidth="1"/>
    <col min="6" max="6" width="14.81640625" customWidth="1"/>
  </cols>
  <sheetData>
    <row r="1" spans="1:6" ht="29">
      <c r="A1" s="229" t="s">
        <v>218</v>
      </c>
      <c r="B1" s="230" t="s">
        <v>28</v>
      </c>
      <c r="C1" s="231" t="s">
        <v>261</v>
      </c>
      <c r="D1" s="205" t="s">
        <v>262</v>
      </c>
      <c r="E1" s="205" t="s">
        <v>263</v>
      </c>
      <c r="F1" s="206" t="s">
        <v>264</v>
      </c>
    </row>
    <row r="2" spans="1:6" ht="14.5">
      <c r="A2" s="207">
        <v>26</v>
      </c>
      <c r="B2" s="208" t="s">
        <v>219</v>
      </c>
      <c r="C2" s="232" t="s">
        <v>265</v>
      </c>
      <c r="D2" s="209"/>
      <c r="E2" s="209"/>
      <c r="F2" s="210">
        <v>0.75690000000000002</v>
      </c>
    </row>
    <row r="3" spans="1:6" ht="14.5">
      <c r="A3" s="211">
        <v>2</v>
      </c>
      <c r="B3" s="233" t="s">
        <v>87</v>
      </c>
      <c r="C3" s="234" t="s">
        <v>266</v>
      </c>
      <c r="D3" s="212">
        <v>932.42</v>
      </c>
      <c r="E3" s="212">
        <v>944.43</v>
      </c>
      <c r="F3" s="213">
        <v>0.98728333492159293</v>
      </c>
    </row>
    <row r="4" spans="1:6" ht="14.5">
      <c r="A4" s="211">
        <v>35</v>
      </c>
      <c r="B4" s="235" t="s">
        <v>228</v>
      </c>
      <c r="C4" s="234" t="s">
        <v>266</v>
      </c>
      <c r="D4" s="212">
        <v>932.42</v>
      </c>
      <c r="E4" s="212">
        <v>944.43</v>
      </c>
      <c r="F4" s="213">
        <v>0.98728333492159293</v>
      </c>
    </row>
    <row r="5" spans="1:6" ht="14.5">
      <c r="A5" s="211">
        <v>24</v>
      </c>
      <c r="B5" s="233" t="s">
        <v>216</v>
      </c>
      <c r="C5" s="234" t="s">
        <v>267</v>
      </c>
      <c r="D5" s="212"/>
      <c r="E5" s="212"/>
      <c r="F5" s="214">
        <v>0.75690000000000002</v>
      </c>
    </row>
    <row r="6" spans="1:6" ht="14.5">
      <c r="A6" s="211">
        <v>4</v>
      </c>
      <c r="B6" s="233" t="s">
        <v>104</v>
      </c>
      <c r="C6" s="234" t="s">
        <v>268</v>
      </c>
      <c r="D6" s="212">
        <v>92.6</v>
      </c>
      <c r="E6" s="212">
        <v>153.80000000000001</v>
      </c>
      <c r="F6" s="213">
        <v>0.60208062418725605</v>
      </c>
    </row>
    <row r="7" spans="1:6" ht="14.5">
      <c r="A7" s="211">
        <v>1</v>
      </c>
      <c r="B7" s="233" t="s">
        <v>76</v>
      </c>
      <c r="C7" s="234" t="s">
        <v>269</v>
      </c>
      <c r="D7" s="212"/>
      <c r="E7" s="212"/>
      <c r="F7" s="214">
        <v>0.75690000000000002</v>
      </c>
    </row>
    <row r="8" spans="1:6" ht="14.5">
      <c r="A8" s="211">
        <v>6</v>
      </c>
      <c r="B8" s="233" t="s">
        <v>106</v>
      </c>
      <c r="C8" s="234" t="s">
        <v>270</v>
      </c>
      <c r="D8" s="212">
        <v>87.55</v>
      </c>
      <c r="E8" s="212">
        <v>87.55</v>
      </c>
      <c r="F8" s="213">
        <v>1</v>
      </c>
    </row>
    <row r="9" spans="1:6" ht="14.5">
      <c r="A9" s="211">
        <v>47</v>
      </c>
      <c r="B9" s="235" t="s">
        <v>244</v>
      </c>
      <c r="C9" s="234" t="s">
        <v>270</v>
      </c>
      <c r="D9" s="4"/>
      <c r="E9" s="4"/>
      <c r="F9" s="214">
        <v>0.2</v>
      </c>
    </row>
    <row r="10" spans="1:6" ht="14.5">
      <c r="A10" s="211">
        <v>39</v>
      </c>
      <c r="B10" s="235" t="s">
        <v>232</v>
      </c>
      <c r="C10" s="234" t="s">
        <v>271</v>
      </c>
      <c r="D10" s="212">
        <v>87.55</v>
      </c>
      <c r="E10" s="212">
        <v>87.55</v>
      </c>
      <c r="F10" s="213">
        <v>0.2</v>
      </c>
    </row>
    <row r="11" spans="1:6" ht="14.5">
      <c r="A11" s="211">
        <v>20</v>
      </c>
      <c r="B11" s="233" t="s">
        <v>212</v>
      </c>
      <c r="C11" s="234" t="s">
        <v>272</v>
      </c>
      <c r="D11" s="212">
        <v>597.6</v>
      </c>
      <c r="E11" s="212">
        <v>826.19</v>
      </c>
      <c r="F11" s="213">
        <v>0.72332030162553407</v>
      </c>
    </row>
    <row r="12" spans="1:6" ht="14.5">
      <c r="A12" s="211">
        <v>37</v>
      </c>
      <c r="B12" s="235" t="s">
        <v>230</v>
      </c>
      <c r="C12" s="234" t="s">
        <v>272</v>
      </c>
      <c r="D12" s="212">
        <v>597.6</v>
      </c>
      <c r="E12" s="212">
        <v>826.19</v>
      </c>
      <c r="F12" s="213">
        <v>0.72332030162553407</v>
      </c>
    </row>
    <row r="13" spans="1:6" ht="14.5">
      <c r="A13" s="211">
        <v>41</v>
      </c>
      <c r="B13" s="235" t="s">
        <v>234</v>
      </c>
      <c r="C13" s="234" t="s">
        <v>272</v>
      </c>
      <c r="D13" s="212">
        <v>597.6</v>
      </c>
      <c r="E13" s="212">
        <v>826.19</v>
      </c>
      <c r="F13" s="213">
        <v>0.72332030162553407</v>
      </c>
    </row>
    <row r="14" spans="1:6" ht="14.5">
      <c r="A14" s="211">
        <v>12</v>
      </c>
      <c r="B14" s="233" t="s">
        <v>152</v>
      </c>
      <c r="C14" s="234" t="s">
        <v>273</v>
      </c>
      <c r="D14" s="212">
        <v>216.03</v>
      </c>
      <c r="E14" s="212">
        <v>216.03</v>
      </c>
      <c r="F14" s="213">
        <v>1</v>
      </c>
    </row>
    <row r="15" spans="1:6" ht="14.5">
      <c r="A15" s="211">
        <v>22</v>
      </c>
      <c r="B15" s="233" t="s">
        <v>214</v>
      </c>
      <c r="C15" s="234" t="s">
        <v>274</v>
      </c>
      <c r="D15" s="212">
        <v>352.63</v>
      </c>
      <c r="E15" s="212">
        <v>438.79</v>
      </c>
      <c r="F15" s="213">
        <v>0.80364183322318183</v>
      </c>
    </row>
    <row r="16" spans="1:6" ht="14.5">
      <c r="A16" s="211">
        <v>25</v>
      </c>
      <c r="B16" s="233" t="s">
        <v>217</v>
      </c>
      <c r="C16" s="234" t="s">
        <v>275</v>
      </c>
      <c r="D16" s="212">
        <v>723.5</v>
      </c>
      <c r="E16" s="212">
        <v>865.56</v>
      </c>
      <c r="F16" s="213">
        <v>0.83587504043624938</v>
      </c>
    </row>
    <row r="17" spans="1:6" ht="14.5">
      <c r="A17" s="211">
        <v>40</v>
      </c>
      <c r="B17" s="235" t="s">
        <v>233</v>
      </c>
      <c r="C17" s="234" t="s">
        <v>275</v>
      </c>
      <c r="D17" s="212">
        <v>723.5</v>
      </c>
      <c r="E17" s="212">
        <v>865.56</v>
      </c>
      <c r="F17" s="213">
        <v>0.83587504043624938</v>
      </c>
    </row>
    <row r="18" spans="1:6" ht="14.5">
      <c r="A18" s="211">
        <v>19</v>
      </c>
      <c r="B18" s="233" t="s">
        <v>211</v>
      </c>
      <c r="C18" s="234" t="s">
        <v>276</v>
      </c>
      <c r="D18" s="212">
        <v>485.39</v>
      </c>
      <c r="E18" s="212">
        <v>1208.33</v>
      </c>
      <c r="F18" s="213">
        <v>0.40170317711221276</v>
      </c>
    </row>
    <row r="19" spans="1:6" ht="14.5">
      <c r="A19" s="211">
        <v>43</v>
      </c>
      <c r="B19" s="235" t="s">
        <v>236</v>
      </c>
      <c r="C19" s="234" t="s">
        <v>276</v>
      </c>
      <c r="D19" s="212">
        <v>485.39</v>
      </c>
      <c r="E19" s="212">
        <v>1208.33</v>
      </c>
      <c r="F19" s="213">
        <v>0.40170317711221276</v>
      </c>
    </row>
    <row r="20" spans="1:6" ht="14.5">
      <c r="A20" s="211">
        <v>16</v>
      </c>
      <c r="B20" s="233" t="s">
        <v>208</v>
      </c>
      <c r="C20" s="234" t="s">
        <v>277</v>
      </c>
      <c r="D20" s="212">
        <v>320.68</v>
      </c>
      <c r="E20" s="212">
        <v>364.88</v>
      </c>
      <c r="F20" s="213">
        <v>0.87886428414821316</v>
      </c>
    </row>
    <row r="21" spans="1:6" ht="15.75" customHeight="1">
      <c r="A21" s="211">
        <v>23</v>
      </c>
      <c r="B21" s="233" t="s">
        <v>215</v>
      </c>
      <c r="C21" s="234" t="s">
        <v>278</v>
      </c>
      <c r="D21" s="212"/>
      <c r="E21" s="212"/>
      <c r="F21" s="214">
        <v>0.75690000000000002</v>
      </c>
    </row>
    <row r="22" spans="1:6" ht="15.75" customHeight="1">
      <c r="A22" s="211">
        <v>17</v>
      </c>
      <c r="B22" s="233" t="s">
        <v>209</v>
      </c>
      <c r="C22" s="234" t="s">
        <v>279</v>
      </c>
      <c r="D22" s="212">
        <v>294.93</v>
      </c>
      <c r="E22" s="212">
        <v>348.66</v>
      </c>
      <c r="F22" s="213">
        <v>0.8458957150232318</v>
      </c>
    </row>
    <row r="23" spans="1:6" ht="15.75" customHeight="1">
      <c r="A23" s="211">
        <v>31</v>
      </c>
      <c r="B23" s="233" t="s">
        <v>224</v>
      </c>
      <c r="C23" s="234" t="s">
        <v>280</v>
      </c>
      <c r="D23" s="212"/>
      <c r="E23" s="212"/>
      <c r="F23" s="214">
        <v>0.75690000000000002</v>
      </c>
    </row>
    <row r="24" spans="1:6" ht="15.75" customHeight="1">
      <c r="A24" s="211">
        <v>28</v>
      </c>
      <c r="B24" s="233" t="s">
        <v>221</v>
      </c>
      <c r="C24" s="234" t="s">
        <v>281</v>
      </c>
      <c r="D24" s="212"/>
      <c r="E24" s="212"/>
      <c r="F24" s="214">
        <v>0.75690000000000002</v>
      </c>
    </row>
    <row r="25" spans="1:6" ht="15.75" customHeight="1">
      <c r="A25" s="211">
        <v>14</v>
      </c>
      <c r="B25" s="233" t="s">
        <v>206</v>
      </c>
      <c r="C25" s="234" t="s">
        <v>282</v>
      </c>
      <c r="D25" s="212">
        <v>516.14</v>
      </c>
      <c r="E25" s="212">
        <v>737.14</v>
      </c>
      <c r="F25" s="213">
        <v>0.7001926364055675</v>
      </c>
    </row>
    <row r="26" spans="1:6" ht="15.75" customHeight="1">
      <c r="A26" s="211">
        <v>46</v>
      </c>
      <c r="B26" s="235" t="s">
        <v>243</v>
      </c>
      <c r="C26" s="234" t="s">
        <v>282</v>
      </c>
      <c r="D26" s="212">
        <v>516.14</v>
      </c>
      <c r="E26" s="212">
        <v>737.14</v>
      </c>
      <c r="F26" s="213">
        <v>0.7001926364055675</v>
      </c>
    </row>
    <row r="27" spans="1:6" ht="15.75" customHeight="1">
      <c r="A27" s="211">
        <v>21</v>
      </c>
      <c r="B27" s="233" t="s">
        <v>213</v>
      </c>
      <c r="C27" s="234" t="s">
        <v>283</v>
      </c>
      <c r="D27" s="212"/>
      <c r="E27" s="212"/>
      <c r="F27" s="214">
        <v>0.75690000000000002</v>
      </c>
    </row>
    <row r="28" spans="1:6" ht="15.75" customHeight="1">
      <c r="A28" s="211">
        <v>9</v>
      </c>
      <c r="B28" s="233" t="s">
        <v>109</v>
      </c>
      <c r="C28" s="234" t="s">
        <v>284</v>
      </c>
      <c r="D28" s="212">
        <v>37.32</v>
      </c>
      <c r="E28" s="212">
        <v>123.3</v>
      </c>
      <c r="F28" s="213">
        <v>0.30267639902676402</v>
      </c>
    </row>
    <row r="29" spans="1:6" ht="15.75" customHeight="1">
      <c r="A29" s="211">
        <v>38</v>
      </c>
      <c r="B29" s="235" t="s">
        <v>231</v>
      </c>
      <c r="C29" s="234" t="s">
        <v>284</v>
      </c>
      <c r="D29" s="212">
        <v>37.32</v>
      </c>
      <c r="E29" s="212">
        <v>123.3</v>
      </c>
      <c r="F29" s="213">
        <v>0.30267639902676402</v>
      </c>
    </row>
    <row r="30" spans="1:6" ht="15.75" customHeight="1">
      <c r="A30" s="211">
        <v>13</v>
      </c>
      <c r="B30" s="233" t="s">
        <v>181</v>
      </c>
      <c r="C30" s="234" t="s">
        <v>285</v>
      </c>
      <c r="D30" s="212">
        <v>548.16999999999996</v>
      </c>
      <c r="E30" s="212">
        <v>743.14</v>
      </c>
      <c r="F30" s="213">
        <v>0.7376402831229647</v>
      </c>
    </row>
    <row r="31" spans="1:6" ht="15.75" customHeight="1">
      <c r="A31" s="211">
        <v>11</v>
      </c>
      <c r="B31" s="233" t="s">
        <v>125</v>
      </c>
      <c r="C31" s="234" t="s">
        <v>286</v>
      </c>
      <c r="D31" s="212">
        <v>590.85</v>
      </c>
      <c r="E31" s="212">
        <v>653.63</v>
      </c>
      <c r="F31" s="213">
        <v>0.9039517769992198</v>
      </c>
    </row>
    <row r="32" spans="1:6" ht="15.75" customHeight="1">
      <c r="A32" s="211">
        <v>34</v>
      </c>
      <c r="B32" s="235" t="s">
        <v>227</v>
      </c>
      <c r="C32" s="234" t="s">
        <v>286</v>
      </c>
      <c r="D32" s="212">
        <v>590.85</v>
      </c>
      <c r="E32" s="212">
        <v>653.63</v>
      </c>
      <c r="F32" s="213">
        <v>0.54700000000000004</v>
      </c>
    </row>
    <row r="33" spans="1:6" ht="15.75" customHeight="1">
      <c r="A33" s="211">
        <v>7</v>
      </c>
      <c r="B33" s="233" t="s">
        <v>107</v>
      </c>
      <c r="C33" s="234" t="s">
        <v>287</v>
      </c>
      <c r="D33" s="212">
        <v>364.68</v>
      </c>
      <c r="E33" s="212">
        <v>501.98</v>
      </c>
      <c r="F33" s="213">
        <v>0.72648312681780147</v>
      </c>
    </row>
    <row r="34" spans="1:6" ht="15.75" customHeight="1">
      <c r="A34" s="211">
        <v>42</v>
      </c>
      <c r="B34" s="235" t="s">
        <v>235</v>
      </c>
      <c r="C34" s="234" t="s">
        <v>287</v>
      </c>
      <c r="D34" s="212">
        <v>364.68</v>
      </c>
      <c r="E34" s="212">
        <v>501.98</v>
      </c>
      <c r="F34" s="213">
        <v>0.72648312681780147</v>
      </c>
    </row>
    <row r="35" spans="1:6" ht="15.75" customHeight="1">
      <c r="A35" s="211">
        <v>44</v>
      </c>
      <c r="B35" s="235" t="s">
        <v>241</v>
      </c>
      <c r="C35" s="234" t="s">
        <v>287</v>
      </c>
      <c r="D35" s="212"/>
      <c r="E35" s="212"/>
      <c r="F35" s="214">
        <v>0.72648312681780147</v>
      </c>
    </row>
    <row r="36" spans="1:6" ht="15.75" customHeight="1">
      <c r="A36" s="211">
        <v>29</v>
      </c>
      <c r="B36" s="233" t="s">
        <v>222</v>
      </c>
      <c r="C36" s="234" t="s">
        <v>288</v>
      </c>
      <c r="D36" s="212">
        <v>266.68</v>
      </c>
      <c r="E36" s="212">
        <v>411.5</v>
      </c>
      <c r="F36" s="213">
        <v>0.6480680437424059</v>
      </c>
    </row>
    <row r="37" spans="1:6" ht="15.75" customHeight="1">
      <c r="A37" s="211">
        <v>15</v>
      </c>
      <c r="B37" s="233" t="s">
        <v>207</v>
      </c>
      <c r="C37" s="234" t="s">
        <v>289</v>
      </c>
      <c r="D37" s="212">
        <v>89.84</v>
      </c>
      <c r="E37" s="212">
        <v>89.84</v>
      </c>
      <c r="F37" s="213">
        <v>1</v>
      </c>
    </row>
    <row r="38" spans="1:6" ht="15.75" customHeight="1">
      <c r="A38" s="211">
        <v>8</v>
      </c>
      <c r="B38" s="233" t="s">
        <v>108</v>
      </c>
      <c r="C38" s="234" t="s">
        <v>290</v>
      </c>
      <c r="D38" s="212">
        <v>172.14</v>
      </c>
      <c r="E38" s="212">
        <v>232.19</v>
      </c>
      <c r="F38" s="213">
        <v>0.74137559757095473</v>
      </c>
    </row>
    <row r="39" spans="1:6" ht="15.75" customHeight="1">
      <c r="A39" s="211">
        <v>27</v>
      </c>
      <c r="B39" s="233" t="s">
        <v>220</v>
      </c>
      <c r="C39" s="234" t="s">
        <v>291</v>
      </c>
      <c r="D39" s="212"/>
      <c r="E39" s="212"/>
      <c r="F39" s="214">
        <v>0.75690000000000002</v>
      </c>
    </row>
    <row r="40" spans="1:6" ht="15.75" customHeight="1">
      <c r="A40" s="211">
        <v>5</v>
      </c>
      <c r="B40" s="233" t="s">
        <v>105</v>
      </c>
      <c r="C40" s="234" t="s">
        <v>292</v>
      </c>
      <c r="D40" s="212">
        <v>759.21</v>
      </c>
      <c r="E40" s="212">
        <v>980.49</v>
      </c>
      <c r="F40" s="213">
        <v>0.77431692317106759</v>
      </c>
    </row>
    <row r="41" spans="1:6" ht="15.75" customHeight="1">
      <c r="A41" s="211">
        <v>18</v>
      </c>
      <c r="B41" s="233" t="s">
        <v>210</v>
      </c>
      <c r="C41" s="234" t="s">
        <v>293</v>
      </c>
      <c r="D41" s="212">
        <v>5.0599999999999996</v>
      </c>
      <c r="E41" s="212">
        <v>129.25</v>
      </c>
      <c r="F41" s="213">
        <v>3.9148936170212763E-2</v>
      </c>
    </row>
    <row r="42" spans="1:6" ht="15.75" customHeight="1">
      <c r="A42" s="211">
        <v>10</v>
      </c>
      <c r="B42" s="233" t="s">
        <v>110</v>
      </c>
      <c r="C42" s="234" t="s">
        <v>294</v>
      </c>
      <c r="D42" s="212">
        <v>302.07</v>
      </c>
      <c r="E42" s="212">
        <v>302.07</v>
      </c>
      <c r="F42" s="213">
        <v>1</v>
      </c>
    </row>
    <row r="43" spans="1:6" ht="15.75" customHeight="1">
      <c r="A43" s="211">
        <v>45</v>
      </c>
      <c r="B43" s="235" t="s">
        <v>242</v>
      </c>
      <c r="C43" s="234" t="s">
        <v>294</v>
      </c>
      <c r="D43" s="212">
        <v>302.07</v>
      </c>
      <c r="E43" s="212">
        <v>302.07</v>
      </c>
      <c r="F43" s="213">
        <v>1</v>
      </c>
    </row>
    <row r="44" spans="1:6" ht="15.75" customHeight="1">
      <c r="A44" s="211">
        <v>3</v>
      </c>
      <c r="B44" s="233" t="s">
        <v>103</v>
      </c>
      <c r="C44" s="234" t="s">
        <v>295</v>
      </c>
      <c r="D44" s="212">
        <v>261.13</v>
      </c>
      <c r="E44" s="212">
        <v>261.13</v>
      </c>
      <c r="F44" s="213">
        <v>1</v>
      </c>
    </row>
    <row r="45" spans="1:6" ht="15.75" customHeight="1">
      <c r="A45" s="211">
        <v>33</v>
      </c>
      <c r="B45" s="235" t="s">
        <v>226</v>
      </c>
      <c r="C45" s="234" t="s">
        <v>295</v>
      </c>
      <c r="D45" s="212">
        <v>261.13</v>
      </c>
      <c r="E45" s="212">
        <v>261.13</v>
      </c>
      <c r="F45" s="213">
        <v>1</v>
      </c>
    </row>
    <row r="46" spans="1:6" ht="15.75" customHeight="1">
      <c r="A46" s="211">
        <v>36</v>
      </c>
      <c r="B46" s="235" t="s">
        <v>229</v>
      </c>
      <c r="C46" s="234" t="s">
        <v>295</v>
      </c>
      <c r="D46" s="212">
        <v>261.13</v>
      </c>
      <c r="E46" s="212">
        <v>261.13</v>
      </c>
      <c r="F46" s="213">
        <v>1</v>
      </c>
    </row>
    <row r="47" spans="1:6" ht="15.75" customHeight="1">
      <c r="A47" s="211">
        <v>32</v>
      </c>
      <c r="B47" s="235" t="s">
        <v>225</v>
      </c>
      <c r="C47" s="234" t="s">
        <v>296</v>
      </c>
      <c r="D47" s="212"/>
      <c r="E47" s="212"/>
      <c r="F47" s="214">
        <v>0.75690000000000002</v>
      </c>
    </row>
    <row r="48" spans="1:6" ht="15.75" customHeight="1">
      <c r="A48" s="236">
        <v>30</v>
      </c>
      <c r="B48" s="237" t="s">
        <v>223</v>
      </c>
      <c r="C48" s="238" t="s">
        <v>297</v>
      </c>
      <c r="D48" s="215"/>
      <c r="E48" s="215"/>
      <c r="F48" s="216">
        <v>0.75690000000000002</v>
      </c>
    </row>
    <row r="49" spans="1:6" ht="117" customHeight="1">
      <c r="A49" s="4"/>
      <c r="B49" s="99"/>
      <c r="C49" s="227"/>
      <c r="D49" s="217" t="s">
        <v>298</v>
      </c>
      <c r="E49" s="217" t="s">
        <v>298</v>
      </c>
      <c r="F49" s="218"/>
    </row>
    <row r="50" spans="1:6" ht="15.75" customHeight="1">
      <c r="B50" s="99"/>
      <c r="C50" s="227"/>
      <c r="D50" s="212"/>
      <c r="E50" s="212"/>
      <c r="F50" s="219"/>
    </row>
    <row r="51" spans="1:6" ht="15.75" customHeight="1">
      <c r="B51" s="4"/>
      <c r="D51" s="212"/>
      <c r="E51" s="212"/>
      <c r="F51" s="219"/>
    </row>
    <row r="52" spans="1:6" ht="15.75" customHeight="1">
      <c r="B52" s="4"/>
      <c r="D52" s="212"/>
      <c r="E52" s="212"/>
      <c r="F52" s="219"/>
    </row>
    <row r="53" spans="1:6" ht="15.75" customHeight="1">
      <c r="B53" s="4"/>
      <c r="D53" s="212"/>
      <c r="E53" s="212"/>
      <c r="F53" s="219"/>
    </row>
    <row r="54" spans="1:6" ht="15.75" customHeight="1">
      <c r="B54" s="4"/>
      <c r="D54" s="212"/>
      <c r="E54" s="212"/>
      <c r="F54" s="219"/>
    </row>
    <row r="55" spans="1:6" ht="15.75" customHeight="1">
      <c r="B55" s="4"/>
      <c r="D55" s="212"/>
      <c r="E55" s="212"/>
      <c r="F55" s="219"/>
    </row>
    <row r="56" spans="1:6" ht="15.75" customHeight="1">
      <c r="B56" s="4"/>
      <c r="D56" s="212"/>
      <c r="E56" s="212"/>
      <c r="F56" s="219"/>
    </row>
    <row r="57" spans="1:6" ht="15.75" customHeight="1">
      <c r="B57" s="4"/>
      <c r="D57" s="212"/>
      <c r="E57" s="212"/>
      <c r="F57" s="219"/>
    </row>
    <row r="58" spans="1:6" ht="15.75" customHeight="1">
      <c r="B58" s="4"/>
      <c r="D58" s="212"/>
      <c r="E58" s="212"/>
      <c r="F58" s="219"/>
    </row>
    <row r="59" spans="1:6" ht="15.75" customHeight="1">
      <c r="B59" s="4"/>
      <c r="D59" s="212"/>
      <c r="E59" s="212"/>
      <c r="F59" s="219"/>
    </row>
    <row r="60" spans="1:6" ht="15.75" customHeight="1">
      <c r="B60" s="4"/>
      <c r="D60" s="212"/>
      <c r="E60" s="212"/>
      <c r="F60" s="219"/>
    </row>
    <row r="61" spans="1:6" ht="15.75" customHeight="1">
      <c r="B61" s="4"/>
      <c r="D61" s="212"/>
      <c r="E61" s="212"/>
      <c r="F61" s="219"/>
    </row>
    <row r="62" spans="1:6" ht="15.75" customHeight="1">
      <c r="B62" s="4"/>
      <c r="D62" s="212"/>
      <c r="E62" s="212"/>
      <c r="F62" s="219"/>
    </row>
    <row r="63" spans="1:6" ht="15.75" customHeight="1">
      <c r="B63" s="4"/>
      <c r="D63" s="212"/>
      <c r="E63" s="212"/>
      <c r="F63" s="219"/>
    </row>
    <row r="64" spans="1:6" ht="15.75" customHeight="1">
      <c r="B64" s="4"/>
      <c r="D64" s="212"/>
      <c r="E64" s="212"/>
      <c r="F64" s="219"/>
    </row>
    <row r="65" spans="2:6" ht="15.75" customHeight="1">
      <c r="B65" s="4"/>
      <c r="D65" s="212"/>
      <c r="E65" s="212"/>
      <c r="F65" s="219"/>
    </row>
    <row r="66" spans="2:6" ht="15.75" customHeight="1">
      <c r="B66" s="4"/>
      <c r="D66" s="212"/>
      <c r="E66" s="212"/>
      <c r="F66" s="219"/>
    </row>
    <row r="67" spans="2:6" ht="15.75" customHeight="1">
      <c r="B67" s="4"/>
      <c r="D67" s="212"/>
      <c r="E67" s="212"/>
      <c r="F67" s="219"/>
    </row>
    <row r="68" spans="2:6" ht="15.75" customHeight="1">
      <c r="B68" s="4"/>
      <c r="D68" s="212"/>
      <c r="E68" s="212"/>
      <c r="F68" s="219"/>
    </row>
    <row r="69" spans="2:6" ht="15.75" customHeight="1">
      <c r="B69" s="4"/>
      <c r="D69" s="212"/>
      <c r="E69" s="212"/>
      <c r="F69" s="219"/>
    </row>
    <row r="70" spans="2:6" ht="15.75" customHeight="1">
      <c r="B70" s="4"/>
      <c r="D70" s="212"/>
      <c r="E70" s="212"/>
      <c r="F70" s="219"/>
    </row>
    <row r="71" spans="2:6" ht="15.75" customHeight="1">
      <c r="B71" s="4"/>
      <c r="D71" s="212"/>
      <c r="E71" s="212"/>
      <c r="F71" s="219"/>
    </row>
    <row r="72" spans="2:6" ht="15.75" customHeight="1">
      <c r="B72" s="4"/>
      <c r="D72" s="212"/>
      <c r="E72" s="212"/>
      <c r="F72" s="219"/>
    </row>
    <row r="73" spans="2:6" ht="15.75" customHeight="1">
      <c r="B73" s="4"/>
      <c r="D73" s="212"/>
      <c r="E73" s="212"/>
      <c r="F73" s="219"/>
    </row>
    <row r="74" spans="2:6" ht="15.75" customHeight="1">
      <c r="B74" s="4"/>
      <c r="D74" s="212"/>
      <c r="E74" s="212"/>
      <c r="F74" s="219"/>
    </row>
    <row r="75" spans="2:6" ht="15.75" customHeight="1">
      <c r="B75" s="4"/>
      <c r="D75" s="212"/>
      <c r="E75" s="212"/>
      <c r="F75" s="219"/>
    </row>
    <row r="76" spans="2:6" ht="15.75" customHeight="1">
      <c r="B76" s="4"/>
      <c r="D76" s="212"/>
      <c r="E76" s="212"/>
      <c r="F76" s="219"/>
    </row>
    <row r="77" spans="2:6" ht="15.75" customHeight="1">
      <c r="B77" s="4"/>
      <c r="D77" s="212"/>
      <c r="E77" s="212"/>
      <c r="F77" s="219"/>
    </row>
    <row r="78" spans="2:6" ht="15.75" customHeight="1">
      <c r="B78" s="4"/>
      <c r="D78" s="212"/>
      <c r="E78" s="212"/>
      <c r="F78" s="219"/>
    </row>
    <row r="79" spans="2:6" ht="15.75" customHeight="1">
      <c r="B79" s="4"/>
      <c r="D79" s="212"/>
      <c r="E79" s="212"/>
      <c r="F79" s="219"/>
    </row>
    <row r="80" spans="2:6" ht="15.75" customHeight="1">
      <c r="B80" s="4"/>
      <c r="D80" s="212"/>
      <c r="E80" s="212"/>
      <c r="F80" s="219"/>
    </row>
    <row r="81" spans="2:6" ht="15.75" customHeight="1">
      <c r="B81" s="4"/>
      <c r="D81" s="212"/>
      <c r="E81" s="212"/>
      <c r="F81" s="219"/>
    </row>
    <row r="82" spans="2:6" ht="15.75" customHeight="1">
      <c r="B82" s="2"/>
      <c r="D82" s="212"/>
      <c r="E82" s="212"/>
      <c r="F82" s="219"/>
    </row>
    <row r="83" spans="2:6" ht="15.75" customHeight="1">
      <c r="B83" s="2"/>
      <c r="D83" s="212"/>
      <c r="E83" s="212"/>
      <c r="F83" s="219"/>
    </row>
    <row r="84" spans="2:6" ht="15.75" customHeight="1">
      <c r="B84" s="2"/>
      <c r="D84" s="212"/>
      <c r="E84" s="212"/>
      <c r="F84" s="219"/>
    </row>
    <row r="85" spans="2:6" ht="15.75" customHeight="1">
      <c r="B85" s="2"/>
      <c r="D85" s="212"/>
      <c r="E85" s="212"/>
      <c r="F85" s="219"/>
    </row>
    <row r="86" spans="2:6" ht="15.75" customHeight="1">
      <c r="B86" s="2"/>
      <c r="D86" s="212"/>
      <c r="E86" s="212"/>
      <c r="F86" s="219"/>
    </row>
    <row r="87" spans="2:6" ht="15.75" customHeight="1">
      <c r="B87" s="191"/>
      <c r="D87" s="212"/>
      <c r="E87" s="212"/>
      <c r="F87" s="219"/>
    </row>
    <row r="88" spans="2:6" ht="15.75" customHeight="1">
      <c r="B88" s="191"/>
      <c r="D88" s="212"/>
      <c r="E88" s="212"/>
      <c r="F88" s="219"/>
    </row>
    <row r="89" spans="2:6" ht="15.75" customHeight="1">
      <c r="B89" s="191"/>
      <c r="D89" s="212"/>
      <c r="E89" s="212"/>
      <c r="F89" s="219"/>
    </row>
    <row r="90" spans="2:6" ht="15.75" customHeight="1">
      <c r="B90" s="191"/>
      <c r="D90" s="212"/>
      <c r="E90" s="212"/>
      <c r="F90" s="219"/>
    </row>
    <row r="91" spans="2:6" ht="15.75" customHeight="1">
      <c r="B91" s="191"/>
      <c r="D91" s="212"/>
      <c r="E91" s="212"/>
      <c r="F91" s="219"/>
    </row>
    <row r="92" spans="2:6" ht="15.75" customHeight="1">
      <c r="B92" s="27"/>
      <c r="D92" s="212"/>
      <c r="E92" s="212"/>
      <c r="F92" s="219"/>
    </row>
    <row r="93" spans="2:6" ht="15.75" customHeight="1">
      <c r="B93" s="27"/>
      <c r="D93" s="212"/>
      <c r="E93" s="212"/>
      <c r="F93" s="219"/>
    </row>
    <row r="94" spans="2:6" ht="15.75" customHeight="1">
      <c r="B94" s="27"/>
      <c r="D94" s="212"/>
      <c r="E94" s="212"/>
      <c r="F94" s="219"/>
    </row>
    <row r="95" spans="2:6" ht="15.75" customHeight="1">
      <c r="B95" s="27"/>
      <c r="D95" s="212"/>
      <c r="E95" s="212"/>
      <c r="F95" s="219"/>
    </row>
    <row r="96" spans="2:6" ht="15.75" customHeight="1">
      <c r="B96" s="27"/>
      <c r="D96" s="212"/>
      <c r="E96" s="212"/>
      <c r="F96" s="219"/>
    </row>
    <row r="97" spans="4:6" ht="15.75" customHeight="1">
      <c r="D97" s="212"/>
      <c r="E97" s="212"/>
      <c r="F97" s="219"/>
    </row>
    <row r="98" spans="4:6" ht="15.75" customHeight="1">
      <c r="D98" s="212"/>
      <c r="E98" s="212"/>
      <c r="F98" s="219"/>
    </row>
    <row r="99" spans="4:6" ht="15.75" customHeight="1">
      <c r="D99" s="212"/>
      <c r="E99" s="212"/>
      <c r="F99" s="219"/>
    </row>
    <row r="100" spans="4:6" ht="15.75" customHeight="1">
      <c r="D100" s="212"/>
      <c r="E100" s="212"/>
      <c r="F100" s="219"/>
    </row>
    <row r="101" spans="4:6" ht="15.75" customHeight="1">
      <c r="D101" s="212"/>
      <c r="E101" s="212"/>
      <c r="F101" s="219"/>
    </row>
    <row r="102" spans="4:6" ht="15.75" customHeight="1">
      <c r="D102" s="212"/>
      <c r="E102" s="212"/>
      <c r="F102" s="219"/>
    </row>
    <row r="103" spans="4:6" ht="15.75" customHeight="1">
      <c r="D103" s="212"/>
      <c r="E103" s="212"/>
      <c r="F103" s="219"/>
    </row>
    <row r="104" spans="4:6" ht="15.75" customHeight="1">
      <c r="D104" s="212"/>
      <c r="E104" s="212"/>
      <c r="F104" s="219"/>
    </row>
    <row r="105" spans="4:6" ht="15.75" customHeight="1">
      <c r="D105" s="212"/>
      <c r="E105" s="212"/>
      <c r="F105" s="219"/>
    </row>
    <row r="106" spans="4:6" ht="15.75" customHeight="1">
      <c r="D106" s="212"/>
      <c r="E106" s="212"/>
      <c r="F106" s="219"/>
    </row>
    <row r="107" spans="4:6" ht="15.75" customHeight="1">
      <c r="D107" s="212"/>
      <c r="E107" s="212"/>
      <c r="F107" s="219"/>
    </row>
    <row r="108" spans="4:6" ht="15.75" customHeight="1">
      <c r="D108" s="212"/>
      <c r="E108" s="212"/>
      <c r="F108" s="219"/>
    </row>
    <row r="109" spans="4:6" ht="15.75" customHeight="1">
      <c r="D109" s="212"/>
      <c r="E109" s="212"/>
      <c r="F109" s="219"/>
    </row>
    <row r="110" spans="4:6" ht="15.75" customHeight="1">
      <c r="D110" s="212"/>
      <c r="E110" s="212"/>
      <c r="F110" s="219"/>
    </row>
    <row r="111" spans="4:6" ht="15.75" customHeight="1">
      <c r="D111" s="212"/>
      <c r="E111" s="212"/>
      <c r="F111" s="219"/>
    </row>
    <row r="112" spans="4:6" ht="15.75" customHeight="1">
      <c r="D112" s="212"/>
      <c r="E112" s="212"/>
      <c r="F112" s="219"/>
    </row>
    <row r="113" spans="4:6" ht="15.75" customHeight="1">
      <c r="D113" s="212"/>
      <c r="E113" s="212"/>
      <c r="F113" s="219"/>
    </row>
    <row r="114" spans="4:6" ht="15.75" customHeight="1">
      <c r="D114" s="212"/>
      <c r="E114" s="212"/>
      <c r="F114" s="219"/>
    </row>
    <row r="115" spans="4:6" ht="15.75" customHeight="1">
      <c r="D115" s="212"/>
      <c r="E115" s="212"/>
      <c r="F115" s="219"/>
    </row>
    <row r="116" spans="4:6" ht="15.75" customHeight="1">
      <c r="D116" s="212"/>
      <c r="E116" s="212"/>
      <c r="F116" s="219"/>
    </row>
    <row r="117" spans="4:6" ht="15.75" customHeight="1">
      <c r="D117" s="212"/>
      <c r="E117" s="212"/>
      <c r="F117" s="219"/>
    </row>
    <row r="118" spans="4:6" ht="15.75" customHeight="1">
      <c r="D118" s="212"/>
      <c r="E118" s="212"/>
      <c r="F118" s="219"/>
    </row>
    <row r="119" spans="4:6" ht="15.75" customHeight="1">
      <c r="D119" s="212"/>
      <c r="E119" s="212"/>
      <c r="F119" s="219"/>
    </row>
    <row r="120" spans="4:6" ht="15.75" customHeight="1">
      <c r="D120" s="212"/>
      <c r="E120" s="212"/>
      <c r="F120" s="219"/>
    </row>
    <row r="121" spans="4:6" ht="15.75" customHeight="1">
      <c r="D121" s="212"/>
      <c r="E121" s="212"/>
      <c r="F121" s="219"/>
    </row>
    <row r="122" spans="4:6" ht="15.75" customHeight="1">
      <c r="D122" s="212"/>
      <c r="E122" s="212"/>
      <c r="F122" s="219"/>
    </row>
    <row r="123" spans="4:6" ht="15.75" customHeight="1">
      <c r="D123" s="212"/>
      <c r="E123" s="212"/>
      <c r="F123" s="219"/>
    </row>
    <row r="124" spans="4:6" ht="15.75" customHeight="1">
      <c r="D124" s="212"/>
      <c r="E124" s="212"/>
      <c r="F124" s="219"/>
    </row>
    <row r="125" spans="4:6" ht="15.75" customHeight="1">
      <c r="D125" s="212"/>
      <c r="E125" s="212"/>
      <c r="F125" s="219"/>
    </row>
    <row r="126" spans="4:6" ht="15.75" customHeight="1">
      <c r="D126" s="212"/>
      <c r="E126" s="212"/>
      <c r="F126" s="219"/>
    </row>
    <row r="127" spans="4:6" ht="15.75" customHeight="1">
      <c r="D127" s="212"/>
      <c r="E127" s="212"/>
      <c r="F127" s="219"/>
    </row>
    <row r="128" spans="4:6" ht="15.75" customHeight="1">
      <c r="D128" s="212"/>
      <c r="E128" s="212"/>
      <c r="F128" s="219"/>
    </row>
    <row r="129" spans="4:6" ht="15.75" customHeight="1">
      <c r="D129" s="212"/>
      <c r="E129" s="212"/>
      <c r="F129" s="219"/>
    </row>
    <row r="130" spans="4:6" ht="15.75" customHeight="1">
      <c r="D130" s="212"/>
      <c r="E130" s="212"/>
      <c r="F130" s="219"/>
    </row>
    <row r="131" spans="4:6" ht="15.75" customHeight="1">
      <c r="D131" s="212"/>
      <c r="E131" s="212"/>
      <c r="F131" s="219"/>
    </row>
    <row r="132" spans="4:6" ht="15.75" customHeight="1">
      <c r="D132" s="212"/>
      <c r="E132" s="212"/>
      <c r="F132" s="219"/>
    </row>
    <row r="133" spans="4:6" ht="15.75" customHeight="1">
      <c r="D133" s="212"/>
      <c r="E133" s="212"/>
      <c r="F133" s="219"/>
    </row>
    <row r="134" spans="4:6" ht="15.75" customHeight="1">
      <c r="D134" s="212"/>
      <c r="E134" s="212"/>
      <c r="F134" s="219"/>
    </row>
    <row r="135" spans="4:6" ht="15.75" customHeight="1">
      <c r="D135" s="212"/>
      <c r="E135" s="212"/>
      <c r="F135" s="219"/>
    </row>
    <row r="136" spans="4:6" ht="15.75" customHeight="1">
      <c r="D136" s="212"/>
      <c r="E136" s="212"/>
      <c r="F136" s="219"/>
    </row>
    <row r="137" spans="4:6" ht="15.75" customHeight="1">
      <c r="D137" s="212"/>
      <c r="E137" s="212"/>
      <c r="F137" s="219"/>
    </row>
    <row r="138" spans="4:6" ht="15.75" customHeight="1">
      <c r="D138" s="212"/>
      <c r="E138" s="212"/>
      <c r="F138" s="219"/>
    </row>
    <row r="139" spans="4:6" ht="15.75" customHeight="1">
      <c r="D139" s="212"/>
      <c r="E139" s="212"/>
      <c r="F139" s="219"/>
    </row>
    <row r="140" spans="4:6" ht="15.75" customHeight="1">
      <c r="D140" s="212"/>
      <c r="E140" s="212"/>
      <c r="F140" s="219"/>
    </row>
    <row r="141" spans="4:6" ht="15.75" customHeight="1">
      <c r="D141" s="212"/>
      <c r="E141" s="212"/>
      <c r="F141" s="219"/>
    </row>
    <row r="142" spans="4:6" ht="15.75" customHeight="1">
      <c r="D142" s="212"/>
      <c r="E142" s="212"/>
      <c r="F142" s="219"/>
    </row>
    <row r="143" spans="4:6" ht="15.75" customHeight="1">
      <c r="D143" s="212"/>
      <c r="E143" s="212"/>
      <c r="F143" s="219"/>
    </row>
    <row r="144" spans="4:6" ht="15.75" customHeight="1">
      <c r="D144" s="212"/>
      <c r="E144" s="212"/>
      <c r="F144" s="219"/>
    </row>
    <row r="145" spans="4:6" ht="15.75" customHeight="1">
      <c r="D145" s="212"/>
      <c r="E145" s="212"/>
      <c r="F145" s="219"/>
    </row>
    <row r="146" spans="4:6" ht="15.75" customHeight="1">
      <c r="D146" s="212"/>
      <c r="E146" s="212"/>
      <c r="F146" s="219"/>
    </row>
    <row r="147" spans="4:6" ht="15.75" customHeight="1">
      <c r="D147" s="212"/>
      <c r="E147" s="212"/>
      <c r="F147" s="219"/>
    </row>
    <row r="148" spans="4:6" ht="15.75" customHeight="1">
      <c r="D148" s="212"/>
      <c r="E148" s="212"/>
      <c r="F148" s="219"/>
    </row>
    <row r="149" spans="4:6" ht="15.75" customHeight="1">
      <c r="D149" s="212"/>
      <c r="E149" s="212"/>
      <c r="F149" s="219"/>
    </row>
    <row r="150" spans="4:6" ht="15.75" customHeight="1">
      <c r="D150" s="212"/>
      <c r="E150" s="212"/>
      <c r="F150" s="219"/>
    </row>
    <row r="151" spans="4:6" ht="15.75" customHeight="1">
      <c r="D151" s="212"/>
      <c r="E151" s="212"/>
      <c r="F151" s="219"/>
    </row>
    <row r="152" spans="4:6" ht="15.75" customHeight="1">
      <c r="D152" s="212"/>
      <c r="E152" s="212"/>
      <c r="F152" s="219"/>
    </row>
    <row r="153" spans="4:6" ht="15.75" customHeight="1">
      <c r="D153" s="212"/>
      <c r="E153" s="212"/>
      <c r="F153" s="219"/>
    </row>
    <row r="154" spans="4:6" ht="15.75" customHeight="1">
      <c r="D154" s="212"/>
      <c r="E154" s="212"/>
      <c r="F154" s="219"/>
    </row>
    <row r="155" spans="4:6" ht="15.75" customHeight="1">
      <c r="D155" s="212"/>
      <c r="E155" s="212"/>
      <c r="F155" s="219"/>
    </row>
    <row r="156" spans="4:6" ht="15.75" customHeight="1">
      <c r="D156" s="212"/>
      <c r="E156" s="212"/>
      <c r="F156" s="219"/>
    </row>
    <row r="157" spans="4:6" ht="15.75" customHeight="1">
      <c r="D157" s="212"/>
      <c r="E157" s="212"/>
      <c r="F157" s="219"/>
    </row>
    <row r="158" spans="4:6" ht="15.75" customHeight="1">
      <c r="D158" s="212"/>
      <c r="E158" s="212"/>
      <c r="F158" s="219"/>
    </row>
    <row r="159" spans="4:6" ht="15.75" customHeight="1">
      <c r="D159" s="212"/>
      <c r="E159" s="212"/>
      <c r="F159" s="219"/>
    </row>
    <row r="160" spans="4:6" ht="15.75" customHeight="1">
      <c r="D160" s="212"/>
      <c r="E160" s="212"/>
      <c r="F160" s="219"/>
    </row>
    <row r="161" spans="4:6" ht="15.75" customHeight="1">
      <c r="D161" s="212"/>
      <c r="E161" s="212"/>
      <c r="F161" s="219"/>
    </row>
    <row r="162" spans="4:6" ht="15.75" customHeight="1">
      <c r="D162" s="212"/>
      <c r="E162" s="212"/>
      <c r="F162" s="219"/>
    </row>
    <row r="163" spans="4:6" ht="15.75" customHeight="1">
      <c r="D163" s="212"/>
      <c r="E163" s="212"/>
      <c r="F163" s="219"/>
    </row>
    <row r="164" spans="4:6" ht="15.75" customHeight="1">
      <c r="D164" s="212"/>
      <c r="E164" s="212"/>
      <c r="F164" s="219"/>
    </row>
    <row r="165" spans="4:6" ht="15.75" customHeight="1">
      <c r="D165" s="212"/>
      <c r="E165" s="212"/>
      <c r="F165" s="219"/>
    </row>
    <row r="166" spans="4:6" ht="15.75" customHeight="1">
      <c r="D166" s="212"/>
      <c r="E166" s="212"/>
      <c r="F166" s="219"/>
    </row>
    <row r="167" spans="4:6" ht="15.75" customHeight="1">
      <c r="D167" s="212"/>
      <c r="E167" s="212"/>
      <c r="F167" s="219"/>
    </row>
    <row r="168" spans="4:6" ht="15.75" customHeight="1">
      <c r="D168" s="212"/>
      <c r="E168" s="212"/>
      <c r="F168" s="219"/>
    </row>
    <row r="169" spans="4:6" ht="15.75" customHeight="1">
      <c r="D169" s="212"/>
      <c r="E169" s="212"/>
      <c r="F169" s="219"/>
    </row>
    <row r="170" spans="4:6" ht="15.75" customHeight="1">
      <c r="D170" s="212"/>
      <c r="E170" s="212"/>
      <c r="F170" s="219"/>
    </row>
    <row r="171" spans="4:6" ht="15.75" customHeight="1">
      <c r="D171" s="212"/>
      <c r="E171" s="212"/>
      <c r="F171" s="219"/>
    </row>
    <row r="172" spans="4:6" ht="15.75" customHeight="1">
      <c r="D172" s="212"/>
      <c r="E172" s="212"/>
      <c r="F172" s="219"/>
    </row>
    <row r="173" spans="4:6" ht="15.75" customHeight="1">
      <c r="D173" s="212"/>
      <c r="E173" s="212"/>
      <c r="F173" s="219"/>
    </row>
    <row r="174" spans="4:6" ht="15.75" customHeight="1">
      <c r="D174" s="212"/>
      <c r="E174" s="212"/>
      <c r="F174" s="219"/>
    </row>
    <row r="175" spans="4:6" ht="15.75" customHeight="1">
      <c r="D175" s="212"/>
      <c r="E175" s="212"/>
      <c r="F175" s="219"/>
    </row>
    <row r="176" spans="4:6" ht="15.75" customHeight="1">
      <c r="D176" s="212"/>
      <c r="E176" s="212"/>
      <c r="F176" s="219"/>
    </row>
    <row r="177" spans="4:6" ht="15.75" customHeight="1">
      <c r="D177" s="212"/>
      <c r="E177" s="212"/>
      <c r="F177" s="219"/>
    </row>
    <row r="178" spans="4:6" ht="15.75" customHeight="1">
      <c r="D178" s="212"/>
      <c r="E178" s="212"/>
      <c r="F178" s="219"/>
    </row>
    <row r="179" spans="4:6" ht="15.75" customHeight="1">
      <c r="D179" s="212"/>
      <c r="E179" s="212"/>
      <c r="F179" s="219"/>
    </row>
    <row r="180" spans="4:6" ht="15.75" customHeight="1">
      <c r="D180" s="212"/>
      <c r="E180" s="212"/>
      <c r="F180" s="219"/>
    </row>
    <row r="181" spans="4:6" ht="15.75" customHeight="1">
      <c r="D181" s="212"/>
      <c r="E181" s="212"/>
      <c r="F181" s="219"/>
    </row>
    <row r="182" spans="4:6" ht="15.75" customHeight="1">
      <c r="D182" s="212"/>
      <c r="E182" s="212"/>
      <c r="F182" s="219"/>
    </row>
    <row r="183" spans="4:6" ht="15.75" customHeight="1">
      <c r="D183" s="212"/>
      <c r="E183" s="212"/>
      <c r="F183" s="219"/>
    </row>
    <row r="184" spans="4:6" ht="15.75" customHeight="1">
      <c r="D184" s="212"/>
      <c r="E184" s="212"/>
      <c r="F184" s="219"/>
    </row>
    <row r="185" spans="4:6" ht="15.75" customHeight="1">
      <c r="D185" s="212"/>
      <c r="E185" s="212"/>
      <c r="F185" s="219"/>
    </row>
    <row r="186" spans="4:6" ht="15.75" customHeight="1">
      <c r="D186" s="212"/>
      <c r="E186" s="212"/>
      <c r="F186" s="219"/>
    </row>
    <row r="187" spans="4:6" ht="15.75" customHeight="1">
      <c r="D187" s="212"/>
      <c r="E187" s="212"/>
      <c r="F187" s="219"/>
    </row>
    <row r="188" spans="4:6" ht="15.75" customHeight="1">
      <c r="D188" s="212"/>
      <c r="E188" s="212"/>
      <c r="F188" s="219"/>
    </row>
    <row r="189" spans="4:6" ht="15.75" customHeight="1">
      <c r="D189" s="212"/>
      <c r="E189" s="212"/>
      <c r="F189" s="219"/>
    </row>
    <row r="190" spans="4:6" ht="15.75" customHeight="1">
      <c r="D190" s="212"/>
      <c r="E190" s="212"/>
      <c r="F190" s="219"/>
    </row>
    <row r="191" spans="4:6" ht="15.75" customHeight="1">
      <c r="D191" s="212"/>
      <c r="E191" s="212"/>
      <c r="F191" s="219"/>
    </row>
    <row r="192" spans="4:6" ht="15.75" customHeight="1">
      <c r="D192" s="212"/>
      <c r="E192" s="212"/>
      <c r="F192" s="219"/>
    </row>
    <row r="193" spans="4:6" ht="15.75" customHeight="1">
      <c r="D193" s="212"/>
      <c r="E193" s="212"/>
      <c r="F193" s="219"/>
    </row>
    <row r="194" spans="4:6" ht="15.75" customHeight="1">
      <c r="D194" s="212"/>
      <c r="E194" s="212"/>
      <c r="F194" s="219"/>
    </row>
    <row r="195" spans="4:6" ht="15.75" customHeight="1">
      <c r="D195" s="212"/>
      <c r="E195" s="212"/>
      <c r="F195" s="219"/>
    </row>
    <row r="196" spans="4:6" ht="15.75" customHeight="1">
      <c r="D196" s="212"/>
      <c r="E196" s="212"/>
      <c r="F196" s="219"/>
    </row>
    <row r="197" spans="4:6" ht="15.75" customHeight="1">
      <c r="D197" s="212"/>
      <c r="E197" s="212"/>
      <c r="F197" s="219"/>
    </row>
    <row r="198" spans="4:6" ht="15.75" customHeight="1">
      <c r="D198" s="212"/>
      <c r="E198" s="212"/>
      <c r="F198" s="219"/>
    </row>
    <row r="199" spans="4:6" ht="15.75" customHeight="1">
      <c r="D199" s="212"/>
      <c r="E199" s="212"/>
      <c r="F199" s="219"/>
    </row>
    <row r="200" spans="4:6" ht="15.75" customHeight="1">
      <c r="D200" s="212"/>
      <c r="E200" s="212"/>
      <c r="F200" s="219"/>
    </row>
    <row r="201" spans="4:6" ht="15.75" customHeight="1">
      <c r="D201" s="212"/>
      <c r="E201" s="212"/>
      <c r="F201" s="219"/>
    </row>
    <row r="202" spans="4:6" ht="15.75" customHeight="1">
      <c r="D202" s="212"/>
      <c r="E202" s="212"/>
      <c r="F202" s="219"/>
    </row>
    <row r="203" spans="4:6" ht="15.75" customHeight="1">
      <c r="D203" s="212"/>
      <c r="E203" s="212"/>
      <c r="F203" s="219"/>
    </row>
    <row r="204" spans="4:6" ht="15.75" customHeight="1">
      <c r="D204" s="212"/>
      <c r="E204" s="212"/>
      <c r="F204" s="219"/>
    </row>
    <row r="205" spans="4:6" ht="15.75" customHeight="1">
      <c r="D205" s="212"/>
      <c r="E205" s="212"/>
      <c r="F205" s="219"/>
    </row>
    <row r="206" spans="4:6" ht="15.75" customHeight="1">
      <c r="D206" s="212"/>
      <c r="E206" s="212"/>
      <c r="F206" s="219"/>
    </row>
    <row r="207" spans="4:6" ht="15.75" customHeight="1">
      <c r="D207" s="212"/>
      <c r="E207" s="212"/>
      <c r="F207" s="219"/>
    </row>
    <row r="208" spans="4:6" ht="15.75" customHeight="1">
      <c r="D208" s="212"/>
      <c r="E208" s="212"/>
      <c r="F208" s="219"/>
    </row>
    <row r="209" spans="4:6" ht="15.75" customHeight="1">
      <c r="D209" s="212"/>
      <c r="E209" s="212"/>
      <c r="F209" s="219"/>
    </row>
    <row r="210" spans="4:6" ht="15.75" customHeight="1">
      <c r="D210" s="212"/>
      <c r="E210" s="212"/>
      <c r="F210" s="219"/>
    </row>
    <row r="211" spans="4:6" ht="15.75" customHeight="1">
      <c r="D211" s="212"/>
      <c r="E211" s="212"/>
      <c r="F211" s="219"/>
    </row>
    <row r="212" spans="4:6" ht="15.75" customHeight="1">
      <c r="D212" s="212"/>
      <c r="E212" s="212"/>
      <c r="F212" s="219"/>
    </row>
    <row r="213" spans="4:6" ht="15.75" customHeight="1">
      <c r="D213" s="212"/>
      <c r="E213" s="212"/>
      <c r="F213" s="219"/>
    </row>
    <row r="214" spans="4:6" ht="15.75" customHeight="1">
      <c r="D214" s="212"/>
      <c r="E214" s="212"/>
      <c r="F214" s="219"/>
    </row>
    <row r="215" spans="4:6" ht="15.75" customHeight="1">
      <c r="D215" s="212"/>
      <c r="E215" s="212"/>
      <c r="F215" s="219"/>
    </row>
    <row r="216" spans="4:6" ht="15.75" customHeight="1">
      <c r="D216" s="212"/>
      <c r="E216" s="212"/>
      <c r="F216" s="219"/>
    </row>
    <row r="217" spans="4:6" ht="15.75" customHeight="1">
      <c r="D217" s="212"/>
      <c r="E217" s="212"/>
      <c r="F217" s="219"/>
    </row>
    <row r="218" spans="4:6" ht="15.75" customHeight="1">
      <c r="D218" s="212"/>
      <c r="E218" s="212"/>
      <c r="F218" s="219"/>
    </row>
    <row r="219" spans="4:6" ht="15.75" customHeight="1">
      <c r="D219" s="212"/>
      <c r="E219" s="212"/>
      <c r="F219" s="219"/>
    </row>
    <row r="220" spans="4:6" ht="15.75" customHeight="1">
      <c r="D220" s="212"/>
      <c r="E220" s="212"/>
      <c r="F220" s="219"/>
    </row>
    <row r="221" spans="4:6" ht="15.75" customHeight="1">
      <c r="D221" s="212"/>
      <c r="E221" s="212"/>
      <c r="F221" s="219"/>
    </row>
    <row r="222" spans="4:6" ht="15.75" customHeight="1">
      <c r="D222" s="212"/>
      <c r="E222" s="212"/>
      <c r="F222" s="219"/>
    </row>
    <row r="223" spans="4:6" ht="15.75" customHeight="1">
      <c r="D223" s="212"/>
      <c r="E223" s="212"/>
      <c r="F223" s="219"/>
    </row>
    <row r="224" spans="4:6" ht="15.75" customHeight="1">
      <c r="D224" s="212"/>
      <c r="E224" s="212"/>
      <c r="F224" s="219"/>
    </row>
    <row r="225" spans="4:6" ht="15.75" customHeight="1">
      <c r="D225" s="212"/>
      <c r="E225" s="212"/>
      <c r="F225" s="219"/>
    </row>
    <row r="226" spans="4:6" ht="15.75" customHeight="1">
      <c r="D226" s="212"/>
      <c r="E226" s="212"/>
      <c r="F226" s="219"/>
    </row>
    <row r="227" spans="4:6" ht="15.75" customHeight="1">
      <c r="D227" s="212"/>
      <c r="E227" s="212"/>
      <c r="F227" s="219"/>
    </row>
    <row r="228" spans="4:6" ht="15.75" customHeight="1">
      <c r="D228" s="212"/>
      <c r="E228" s="212"/>
      <c r="F228" s="219"/>
    </row>
    <row r="229" spans="4:6" ht="15.75" customHeight="1">
      <c r="D229" s="212"/>
      <c r="E229" s="212"/>
      <c r="F229" s="219"/>
    </row>
    <row r="230" spans="4:6" ht="15.75" customHeight="1">
      <c r="D230" s="212"/>
      <c r="E230" s="212"/>
      <c r="F230" s="219"/>
    </row>
    <row r="231" spans="4:6" ht="15.75" customHeight="1">
      <c r="D231" s="212"/>
      <c r="E231" s="212"/>
      <c r="F231" s="219"/>
    </row>
    <row r="232" spans="4:6" ht="15.75" customHeight="1">
      <c r="D232" s="212"/>
      <c r="E232" s="212"/>
      <c r="F232" s="219"/>
    </row>
    <row r="233" spans="4:6" ht="15.75" customHeight="1">
      <c r="D233" s="212"/>
      <c r="E233" s="212"/>
      <c r="F233" s="219"/>
    </row>
    <row r="234" spans="4:6" ht="15.75" customHeight="1">
      <c r="D234" s="212"/>
      <c r="E234" s="212"/>
      <c r="F234" s="219"/>
    </row>
    <row r="235" spans="4:6" ht="15.75" customHeight="1">
      <c r="D235" s="212"/>
      <c r="E235" s="212"/>
      <c r="F235" s="219"/>
    </row>
    <row r="236" spans="4:6" ht="15.75" customHeight="1">
      <c r="D236" s="212"/>
      <c r="E236" s="212"/>
      <c r="F236" s="219"/>
    </row>
    <row r="237" spans="4:6" ht="15.75" customHeight="1">
      <c r="D237" s="212"/>
      <c r="E237" s="212"/>
      <c r="F237" s="219"/>
    </row>
    <row r="238" spans="4:6" ht="15.75" customHeight="1">
      <c r="D238" s="212"/>
      <c r="E238" s="212"/>
      <c r="F238" s="219"/>
    </row>
    <row r="239" spans="4:6" ht="15.75" customHeight="1">
      <c r="D239" s="212"/>
      <c r="E239" s="212"/>
      <c r="F239" s="219"/>
    </row>
    <row r="240" spans="4:6" ht="15.75" customHeight="1">
      <c r="D240" s="212"/>
      <c r="E240" s="212"/>
      <c r="F240" s="219"/>
    </row>
    <row r="241" spans="4:6" ht="15.75" customHeight="1">
      <c r="D241" s="212"/>
      <c r="E241" s="212"/>
      <c r="F241" s="219"/>
    </row>
    <row r="242" spans="4:6" ht="15.75" customHeight="1">
      <c r="D242" s="212"/>
      <c r="E242" s="212"/>
      <c r="F242" s="219"/>
    </row>
    <row r="243" spans="4:6" ht="15.75" customHeight="1">
      <c r="D243" s="212"/>
      <c r="E243" s="212"/>
      <c r="F243" s="219"/>
    </row>
    <row r="244" spans="4:6" ht="15.75" customHeight="1">
      <c r="D244" s="212"/>
      <c r="E244" s="212"/>
      <c r="F244" s="219"/>
    </row>
    <row r="245" spans="4:6" ht="15.75" customHeight="1">
      <c r="D245" s="212"/>
      <c r="E245" s="212"/>
      <c r="F245" s="219"/>
    </row>
    <row r="246" spans="4:6" ht="15.75" customHeight="1">
      <c r="D246" s="212"/>
      <c r="E246" s="212"/>
      <c r="F246" s="219"/>
    </row>
    <row r="247" spans="4:6" ht="15.75" customHeight="1">
      <c r="D247" s="212"/>
      <c r="E247" s="212"/>
      <c r="F247" s="219"/>
    </row>
    <row r="248" spans="4:6" ht="15.75" customHeight="1">
      <c r="D248" s="212"/>
      <c r="E248" s="212"/>
      <c r="F248" s="219"/>
    </row>
    <row r="249" spans="4:6" ht="15.75" customHeight="1">
      <c r="D249" s="212"/>
      <c r="E249" s="212"/>
      <c r="F249" s="219"/>
    </row>
    <row r="250" spans="4:6" ht="15.75" customHeight="1">
      <c r="F250" s="219"/>
    </row>
    <row r="251" spans="4:6" ht="15.75" customHeight="1">
      <c r="F251" s="219"/>
    </row>
    <row r="252" spans="4:6" ht="15.75" customHeight="1">
      <c r="F252" s="219"/>
    </row>
    <row r="253" spans="4:6" ht="15.75" customHeight="1">
      <c r="F253" s="219"/>
    </row>
    <row r="254" spans="4:6" ht="15.75" customHeight="1">
      <c r="F254" s="219"/>
    </row>
    <row r="255" spans="4:6" ht="15.75" customHeight="1">
      <c r="F255" s="219"/>
    </row>
    <row r="256" spans="4:6" ht="15.75" customHeight="1">
      <c r="F256" s="219"/>
    </row>
    <row r="257" spans="6:6" ht="15.75" customHeight="1">
      <c r="F257" s="219"/>
    </row>
    <row r="258" spans="6:6" ht="15.75" customHeight="1">
      <c r="F258" s="219"/>
    </row>
    <row r="259" spans="6:6" ht="15.75" customHeight="1">
      <c r="F259" s="219"/>
    </row>
    <row r="260" spans="6:6" ht="15.75" customHeight="1">
      <c r="F260" s="219"/>
    </row>
    <row r="261" spans="6:6" ht="15.75" customHeight="1">
      <c r="F261" s="219"/>
    </row>
    <row r="262" spans="6:6" ht="15.75" customHeight="1">
      <c r="F262" s="219"/>
    </row>
    <row r="263" spans="6:6" ht="15.75" customHeight="1">
      <c r="F263" s="219"/>
    </row>
    <row r="264" spans="6:6" ht="15.75" customHeight="1">
      <c r="F264" s="219"/>
    </row>
    <row r="265" spans="6:6" ht="15.75" customHeight="1">
      <c r="F265" s="219"/>
    </row>
    <row r="266" spans="6:6" ht="15.75" customHeight="1">
      <c r="F266" s="219"/>
    </row>
    <row r="267" spans="6:6" ht="15.75" customHeight="1">
      <c r="F267" s="219"/>
    </row>
    <row r="268" spans="6:6" ht="15.75" customHeight="1">
      <c r="F268" s="219"/>
    </row>
    <row r="269" spans="6:6" ht="15.75" customHeight="1">
      <c r="F269" s="219"/>
    </row>
    <row r="270" spans="6:6" ht="15.75" customHeight="1">
      <c r="F270" s="219"/>
    </row>
    <row r="271" spans="6:6" ht="15.75" customHeight="1">
      <c r="F271" s="219"/>
    </row>
    <row r="272" spans="6:6" ht="15.75" customHeight="1">
      <c r="F272" s="219"/>
    </row>
    <row r="273" spans="6:6" ht="15.75" customHeight="1">
      <c r="F273" s="219"/>
    </row>
    <row r="274" spans="6:6" ht="15.75" customHeight="1">
      <c r="F274" s="219"/>
    </row>
    <row r="275" spans="6:6" ht="15.75" customHeight="1">
      <c r="F275" s="219"/>
    </row>
    <row r="276" spans="6:6" ht="15.75" customHeight="1">
      <c r="F276" s="219"/>
    </row>
    <row r="277" spans="6:6" ht="15.75" customHeight="1">
      <c r="F277" s="219"/>
    </row>
    <row r="278" spans="6:6" ht="15.75" customHeight="1">
      <c r="F278" s="219"/>
    </row>
    <row r="279" spans="6:6" ht="15.75" customHeight="1">
      <c r="F279" s="219"/>
    </row>
    <row r="280" spans="6:6" ht="15.75" customHeight="1">
      <c r="F280" s="219"/>
    </row>
    <row r="281" spans="6:6" ht="15.75" customHeight="1">
      <c r="F281" s="219"/>
    </row>
    <row r="282" spans="6:6" ht="15.75" customHeight="1">
      <c r="F282" s="219"/>
    </row>
    <row r="283" spans="6:6" ht="15.75" customHeight="1">
      <c r="F283" s="219"/>
    </row>
    <row r="284" spans="6:6" ht="15.75" customHeight="1">
      <c r="F284" s="219"/>
    </row>
    <row r="285" spans="6:6" ht="15.75" customHeight="1">
      <c r="F285" s="219"/>
    </row>
    <row r="286" spans="6:6" ht="15.75" customHeight="1">
      <c r="F286" s="219"/>
    </row>
    <row r="287" spans="6:6" ht="15.75" customHeight="1">
      <c r="F287" s="219"/>
    </row>
    <row r="288" spans="6:6" ht="15.75" customHeight="1">
      <c r="F288" s="219"/>
    </row>
    <row r="289" spans="6:6" ht="15.75" customHeight="1">
      <c r="F289" s="219"/>
    </row>
    <row r="290" spans="6:6" ht="15.75" customHeight="1">
      <c r="F290" s="219"/>
    </row>
    <row r="291" spans="6:6" ht="15.75" customHeight="1">
      <c r="F291" s="219"/>
    </row>
    <row r="292" spans="6:6" ht="15.75" customHeight="1">
      <c r="F292" s="219"/>
    </row>
    <row r="293" spans="6:6" ht="15.75" customHeight="1">
      <c r="F293" s="219"/>
    </row>
    <row r="294" spans="6:6" ht="15.75" customHeight="1">
      <c r="F294" s="219"/>
    </row>
    <row r="295" spans="6:6" ht="15.75" customHeight="1">
      <c r="F295" s="219"/>
    </row>
    <row r="296" spans="6:6" ht="15.75" customHeight="1">
      <c r="F296" s="219"/>
    </row>
    <row r="297" spans="6:6" ht="15.75" customHeight="1">
      <c r="F297" s="219"/>
    </row>
    <row r="298" spans="6:6" ht="15.75" customHeight="1">
      <c r="F298" s="219"/>
    </row>
    <row r="299" spans="6:6" ht="15.75" customHeight="1">
      <c r="F299" s="219"/>
    </row>
    <row r="300" spans="6:6" ht="15.75" customHeight="1">
      <c r="F300" s="219"/>
    </row>
    <row r="301" spans="6:6" ht="15.75" customHeight="1">
      <c r="F301" s="219"/>
    </row>
    <row r="302" spans="6:6" ht="15.75" customHeight="1">
      <c r="F302" s="219"/>
    </row>
    <row r="303" spans="6:6" ht="15.75" customHeight="1">
      <c r="F303" s="219"/>
    </row>
    <row r="304" spans="6:6" ht="15.75" customHeight="1">
      <c r="F304" s="219"/>
    </row>
    <row r="305" spans="6:6" ht="15.75" customHeight="1">
      <c r="F305" s="219"/>
    </row>
    <row r="306" spans="6:6" ht="15.75" customHeight="1">
      <c r="F306" s="219"/>
    </row>
    <row r="307" spans="6:6" ht="15.75" customHeight="1">
      <c r="F307" s="219"/>
    </row>
    <row r="308" spans="6:6" ht="15.75" customHeight="1">
      <c r="F308" s="219"/>
    </row>
    <row r="309" spans="6:6" ht="15.75" customHeight="1">
      <c r="F309" s="219"/>
    </row>
    <row r="310" spans="6:6" ht="15.75" customHeight="1">
      <c r="F310" s="219"/>
    </row>
    <row r="311" spans="6:6" ht="15.75" customHeight="1">
      <c r="F311" s="219"/>
    </row>
    <row r="312" spans="6:6" ht="15.75" customHeight="1">
      <c r="F312" s="219"/>
    </row>
    <row r="313" spans="6:6" ht="15.75" customHeight="1">
      <c r="F313" s="219"/>
    </row>
    <row r="314" spans="6:6" ht="15.75" customHeight="1">
      <c r="F314" s="219"/>
    </row>
    <row r="315" spans="6:6" ht="15.75" customHeight="1">
      <c r="F315" s="219"/>
    </row>
    <row r="316" spans="6:6" ht="15.75" customHeight="1">
      <c r="F316" s="219"/>
    </row>
    <row r="317" spans="6:6" ht="15.75" customHeight="1">
      <c r="F317" s="219"/>
    </row>
    <row r="318" spans="6:6" ht="15.75" customHeight="1">
      <c r="F318" s="219"/>
    </row>
    <row r="319" spans="6:6" ht="15.75" customHeight="1">
      <c r="F319" s="219"/>
    </row>
    <row r="320" spans="6:6" ht="15.75" customHeight="1">
      <c r="F320" s="219"/>
    </row>
    <row r="321" spans="6:6" ht="15.75" customHeight="1">
      <c r="F321" s="219"/>
    </row>
    <row r="322" spans="6:6" ht="15.75" customHeight="1">
      <c r="F322" s="219"/>
    </row>
    <row r="323" spans="6:6" ht="15.75" customHeight="1">
      <c r="F323" s="219"/>
    </row>
    <row r="324" spans="6:6" ht="15.75" customHeight="1">
      <c r="F324" s="219"/>
    </row>
    <row r="325" spans="6:6" ht="15.75" customHeight="1">
      <c r="F325" s="219"/>
    </row>
    <row r="326" spans="6:6" ht="15.75" customHeight="1">
      <c r="F326" s="219"/>
    </row>
    <row r="327" spans="6:6" ht="15.75" customHeight="1">
      <c r="F327" s="219"/>
    </row>
    <row r="328" spans="6:6" ht="15.75" customHeight="1">
      <c r="F328" s="219"/>
    </row>
    <row r="329" spans="6:6" ht="15.75" customHeight="1">
      <c r="F329" s="219"/>
    </row>
    <row r="330" spans="6:6" ht="15.75" customHeight="1">
      <c r="F330" s="219"/>
    </row>
    <row r="331" spans="6:6" ht="15.75" customHeight="1">
      <c r="F331" s="219"/>
    </row>
    <row r="332" spans="6:6" ht="15.75" customHeight="1">
      <c r="F332" s="219"/>
    </row>
    <row r="333" spans="6:6" ht="15.75" customHeight="1">
      <c r="F333" s="219"/>
    </row>
    <row r="334" spans="6:6" ht="15.75" customHeight="1">
      <c r="F334" s="219"/>
    </row>
    <row r="335" spans="6:6" ht="15.75" customHeight="1">
      <c r="F335" s="219"/>
    </row>
    <row r="336" spans="6:6" ht="15.75" customHeight="1">
      <c r="F336" s="219"/>
    </row>
    <row r="337" spans="6:6" ht="15.75" customHeight="1">
      <c r="F337" s="219"/>
    </row>
    <row r="338" spans="6:6" ht="15.75" customHeight="1">
      <c r="F338" s="219"/>
    </row>
    <row r="339" spans="6:6" ht="15.75" customHeight="1">
      <c r="F339" s="219"/>
    </row>
    <row r="340" spans="6:6" ht="15.75" customHeight="1">
      <c r="F340" s="219"/>
    </row>
    <row r="341" spans="6:6" ht="15.75" customHeight="1">
      <c r="F341" s="219"/>
    </row>
    <row r="342" spans="6:6" ht="15.75" customHeight="1">
      <c r="F342" s="219"/>
    </row>
    <row r="343" spans="6:6" ht="15.75" customHeight="1">
      <c r="F343" s="219"/>
    </row>
    <row r="344" spans="6:6" ht="15.75" customHeight="1">
      <c r="F344" s="219"/>
    </row>
    <row r="345" spans="6:6" ht="15.75" customHeight="1">
      <c r="F345" s="219"/>
    </row>
    <row r="346" spans="6:6" ht="15.75" customHeight="1">
      <c r="F346" s="219"/>
    </row>
    <row r="347" spans="6:6" ht="15.75" customHeight="1">
      <c r="F347" s="219"/>
    </row>
    <row r="348" spans="6:6" ht="15.75" customHeight="1">
      <c r="F348" s="219"/>
    </row>
    <row r="349" spans="6:6" ht="15.75" customHeight="1">
      <c r="F349" s="219"/>
    </row>
    <row r="350" spans="6:6" ht="15.75" customHeight="1">
      <c r="F350" s="219"/>
    </row>
    <row r="351" spans="6:6" ht="15.75" customHeight="1">
      <c r="F351" s="219"/>
    </row>
    <row r="352" spans="6:6" ht="15.75" customHeight="1">
      <c r="F352" s="219"/>
    </row>
    <row r="353" spans="6:6" ht="15.75" customHeight="1">
      <c r="F353" s="219"/>
    </row>
    <row r="354" spans="6:6" ht="15.75" customHeight="1">
      <c r="F354" s="219"/>
    </row>
    <row r="355" spans="6:6" ht="15.75" customHeight="1">
      <c r="F355" s="219"/>
    </row>
    <row r="356" spans="6:6" ht="15.75" customHeight="1">
      <c r="F356" s="219"/>
    </row>
    <row r="357" spans="6:6" ht="15.75" customHeight="1">
      <c r="F357" s="219"/>
    </row>
    <row r="358" spans="6:6" ht="15.75" customHeight="1">
      <c r="F358" s="219"/>
    </row>
    <row r="359" spans="6:6" ht="15.75" customHeight="1">
      <c r="F359" s="219"/>
    </row>
    <row r="360" spans="6:6" ht="15.75" customHeight="1">
      <c r="F360" s="219"/>
    </row>
    <row r="361" spans="6:6" ht="15.75" customHeight="1">
      <c r="F361" s="219"/>
    </row>
    <row r="362" spans="6:6" ht="15.75" customHeight="1">
      <c r="F362" s="219"/>
    </row>
    <row r="363" spans="6:6" ht="15.75" customHeight="1">
      <c r="F363" s="219"/>
    </row>
    <row r="364" spans="6:6" ht="15.75" customHeight="1">
      <c r="F364" s="219"/>
    </row>
    <row r="365" spans="6:6" ht="15.75" customHeight="1">
      <c r="F365" s="219"/>
    </row>
    <row r="366" spans="6:6" ht="15.75" customHeight="1">
      <c r="F366" s="219"/>
    </row>
    <row r="367" spans="6:6" ht="15.75" customHeight="1">
      <c r="F367" s="219"/>
    </row>
    <row r="368" spans="6:6" ht="15.75" customHeight="1">
      <c r="F368" s="219"/>
    </row>
    <row r="369" spans="6:6" ht="15.75" customHeight="1">
      <c r="F369" s="219"/>
    </row>
    <row r="370" spans="6:6" ht="15.75" customHeight="1">
      <c r="F370" s="219"/>
    </row>
    <row r="371" spans="6:6" ht="15.75" customHeight="1">
      <c r="F371" s="219"/>
    </row>
    <row r="372" spans="6:6" ht="15.75" customHeight="1">
      <c r="F372" s="219"/>
    </row>
    <row r="373" spans="6:6" ht="15.75" customHeight="1">
      <c r="F373" s="219"/>
    </row>
    <row r="374" spans="6:6" ht="15.75" customHeight="1">
      <c r="F374" s="219"/>
    </row>
    <row r="375" spans="6:6" ht="15.75" customHeight="1">
      <c r="F375" s="219"/>
    </row>
    <row r="376" spans="6:6" ht="15.75" customHeight="1">
      <c r="F376" s="219"/>
    </row>
    <row r="377" spans="6:6" ht="15.75" customHeight="1">
      <c r="F377" s="219"/>
    </row>
    <row r="378" spans="6:6" ht="15.75" customHeight="1">
      <c r="F378" s="219"/>
    </row>
    <row r="379" spans="6:6" ht="15.75" customHeight="1">
      <c r="F379" s="219"/>
    </row>
    <row r="380" spans="6:6" ht="15.75" customHeight="1">
      <c r="F380" s="219"/>
    </row>
    <row r="381" spans="6:6" ht="15.75" customHeight="1">
      <c r="F381" s="219"/>
    </row>
    <row r="382" spans="6:6" ht="15.75" customHeight="1">
      <c r="F382" s="219"/>
    </row>
    <row r="383" spans="6:6" ht="15.75" customHeight="1">
      <c r="F383" s="219"/>
    </row>
    <row r="384" spans="6:6" ht="15.75" customHeight="1">
      <c r="F384" s="219"/>
    </row>
    <row r="385" spans="6:6" ht="15.75" customHeight="1">
      <c r="F385" s="219"/>
    </row>
    <row r="386" spans="6:6" ht="15.75" customHeight="1">
      <c r="F386" s="219"/>
    </row>
    <row r="387" spans="6:6" ht="15.75" customHeight="1">
      <c r="F387" s="219"/>
    </row>
    <row r="388" spans="6:6" ht="15.75" customHeight="1">
      <c r="F388" s="219"/>
    </row>
    <row r="389" spans="6:6" ht="15.75" customHeight="1">
      <c r="F389" s="219"/>
    </row>
    <row r="390" spans="6:6" ht="15.75" customHeight="1">
      <c r="F390" s="219"/>
    </row>
    <row r="391" spans="6:6" ht="15.75" customHeight="1">
      <c r="F391" s="219"/>
    </row>
    <row r="392" spans="6:6" ht="15.75" customHeight="1">
      <c r="F392" s="219"/>
    </row>
    <row r="393" spans="6:6" ht="15.75" customHeight="1">
      <c r="F393" s="219"/>
    </row>
    <row r="394" spans="6:6" ht="15.75" customHeight="1">
      <c r="F394" s="219"/>
    </row>
    <row r="395" spans="6:6" ht="15.75" customHeight="1">
      <c r="F395" s="219"/>
    </row>
    <row r="396" spans="6:6" ht="15.75" customHeight="1">
      <c r="F396" s="219"/>
    </row>
    <row r="397" spans="6:6" ht="15.75" customHeight="1">
      <c r="F397" s="219"/>
    </row>
    <row r="398" spans="6:6" ht="15.75" customHeight="1">
      <c r="F398" s="219"/>
    </row>
    <row r="399" spans="6:6" ht="15.75" customHeight="1">
      <c r="F399" s="219"/>
    </row>
    <row r="400" spans="6:6" ht="15.75" customHeight="1">
      <c r="F400" s="219"/>
    </row>
    <row r="401" spans="6:6" ht="15.75" customHeight="1">
      <c r="F401" s="219"/>
    </row>
    <row r="402" spans="6:6" ht="15.75" customHeight="1">
      <c r="F402" s="219"/>
    </row>
    <row r="403" spans="6:6" ht="15.75" customHeight="1">
      <c r="F403" s="219"/>
    </row>
    <row r="404" spans="6:6" ht="15.75" customHeight="1">
      <c r="F404" s="219"/>
    </row>
    <row r="405" spans="6:6" ht="15.75" customHeight="1">
      <c r="F405" s="219"/>
    </row>
    <row r="406" spans="6:6" ht="15.75" customHeight="1">
      <c r="F406" s="219"/>
    </row>
    <row r="407" spans="6:6" ht="15.75" customHeight="1">
      <c r="F407" s="219"/>
    </row>
    <row r="408" spans="6:6" ht="15.75" customHeight="1">
      <c r="F408" s="219"/>
    </row>
    <row r="409" spans="6:6" ht="15.75" customHeight="1">
      <c r="F409" s="219"/>
    </row>
    <row r="410" spans="6:6" ht="15.75" customHeight="1">
      <c r="F410" s="219"/>
    </row>
    <row r="411" spans="6:6" ht="15.75" customHeight="1">
      <c r="F411" s="219"/>
    </row>
    <row r="412" spans="6:6" ht="15.75" customHeight="1">
      <c r="F412" s="219"/>
    </row>
    <row r="413" spans="6:6" ht="15.75" customHeight="1">
      <c r="F413" s="219"/>
    </row>
    <row r="414" spans="6:6" ht="15.75" customHeight="1">
      <c r="F414" s="219"/>
    </row>
    <row r="415" spans="6:6" ht="15.75" customHeight="1">
      <c r="F415" s="219"/>
    </row>
    <row r="416" spans="6:6" ht="15.75" customHeight="1">
      <c r="F416" s="219"/>
    </row>
    <row r="417" spans="6:6" ht="15.75" customHeight="1">
      <c r="F417" s="219"/>
    </row>
    <row r="418" spans="6:6" ht="15.75" customHeight="1">
      <c r="F418" s="219"/>
    </row>
    <row r="419" spans="6:6" ht="15.75" customHeight="1">
      <c r="F419" s="219"/>
    </row>
    <row r="420" spans="6:6" ht="15.75" customHeight="1">
      <c r="F420" s="219"/>
    </row>
    <row r="421" spans="6:6" ht="15.75" customHeight="1">
      <c r="F421" s="219"/>
    </row>
    <row r="422" spans="6:6" ht="15.75" customHeight="1">
      <c r="F422" s="219"/>
    </row>
    <row r="423" spans="6:6" ht="15.75" customHeight="1">
      <c r="F423" s="219"/>
    </row>
    <row r="424" spans="6:6" ht="15.75" customHeight="1">
      <c r="F424" s="219"/>
    </row>
    <row r="425" spans="6:6" ht="15.75" customHeight="1">
      <c r="F425" s="219"/>
    </row>
    <row r="426" spans="6:6" ht="15.75" customHeight="1">
      <c r="F426" s="219"/>
    </row>
    <row r="427" spans="6:6" ht="15.75" customHeight="1">
      <c r="F427" s="219"/>
    </row>
    <row r="428" spans="6:6" ht="15.75" customHeight="1">
      <c r="F428" s="219"/>
    </row>
    <row r="429" spans="6:6" ht="15.75" customHeight="1">
      <c r="F429" s="219"/>
    </row>
    <row r="430" spans="6:6" ht="15.75" customHeight="1">
      <c r="F430" s="219"/>
    </row>
    <row r="431" spans="6:6" ht="15.75" customHeight="1">
      <c r="F431" s="219"/>
    </row>
    <row r="432" spans="6:6" ht="15.75" customHeight="1">
      <c r="F432" s="219"/>
    </row>
    <row r="433" spans="6:6" ht="15.75" customHeight="1">
      <c r="F433" s="219"/>
    </row>
    <row r="434" spans="6:6" ht="15.75" customHeight="1">
      <c r="F434" s="219"/>
    </row>
    <row r="435" spans="6:6" ht="15.75" customHeight="1">
      <c r="F435" s="219"/>
    </row>
    <row r="436" spans="6:6" ht="15.75" customHeight="1">
      <c r="F436" s="219"/>
    </row>
    <row r="437" spans="6:6" ht="15.75" customHeight="1">
      <c r="F437" s="219"/>
    </row>
    <row r="438" spans="6:6" ht="15.75" customHeight="1">
      <c r="F438" s="219"/>
    </row>
    <row r="439" spans="6:6" ht="15.75" customHeight="1">
      <c r="F439" s="219"/>
    </row>
    <row r="440" spans="6:6" ht="15.75" customHeight="1">
      <c r="F440" s="219"/>
    </row>
    <row r="441" spans="6:6" ht="15.75" customHeight="1">
      <c r="F441" s="219"/>
    </row>
    <row r="442" spans="6:6" ht="15.75" customHeight="1">
      <c r="F442" s="219"/>
    </row>
    <row r="443" spans="6:6" ht="15.75" customHeight="1">
      <c r="F443" s="219"/>
    </row>
    <row r="444" spans="6:6" ht="15.75" customHeight="1">
      <c r="F444" s="219"/>
    </row>
    <row r="445" spans="6:6" ht="15.75" customHeight="1">
      <c r="F445" s="219"/>
    </row>
    <row r="446" spans="6:6" ht="15.75" customHeight="1">
      <c r="F446" s="219"/>
    </row>
    <row r="447" spans="6:6" ht="15.75" customHeight="1">
      <c r="F447" s="219"/>
    </row>
    <row r="448" spans="6:6" ht="15.75" customHeight="1">
      <c r="F448" s="219"/>
    </row>
    <row r="449" spans="6:6" ht="15.75" customHeight="1">
      <c r="F449" s="219"/>
    </row>
    <row r="450" spans="6:6" ht="15.75" customHeight="1">
      <c r="F450" s="219"/>
    </row>
    <row r="451" spans="6:6" ht="15.75" customHeight="1">
      <c r="F451" s="219"/>
    </row>
    <row r="452" spans="6:6" ht="15.75" customHeight="1">
      <c r="F452" s="219"/>
    </row>
    <row r="453" spans="6:6" ht="15.75" customHeight="1">
      <c r="F453" s="219"/>
    </row>
    <row r="454" spans="6:6" ht="15.75" customHeight="1">
      <c r="F454" s="219"/>
    </row>
    <row r="455" spans="6:6" ht="15.75" customHeight="1">
      <c r="F455" s="219"/>
    </row>
    <row r="456" spans="6:6" ht="15.75" customHeight="1">
      <c r="F456" s="219"/>
    </row>
    <row r="457" spans="6:6" ht="15.75" customHeight="1">
      <c r="F457" s="219"/>
    </row>
    <row r="458" spans="6:6" ht="15.75" customHeight="1">
      <c r="F458" s="219"/>
    </row>
    <row r="459" spans="6:6" ht="15.75" customHeight="1">
      <c r="F459" s="219"/>
    </row>
    <row r="460" spans="6:6" ht="15.75" customHeight="1">
      <c r="F460" s="219"/>
    </row>
    <row r="461" spans="6:6" ht="15.75" customHeight="1">
      <c r="F461" s="219"/>
    </row>
    <row r="462" spans="6:6" ht="15.75" customHeight="1">
      <c r="F462" s="219"/>
    </row>
    <row r="463" spans="6:6" ht="15.75" customHeight="1">
      <c r="F463" s="219"/>
    </row>
    <row r="464" spans="6:6" ht="15.75" customHeight="1">
      <c r="F464" s="219"/>
    </row>
    <row r="465" spans="6:6" ht="15.75" customHeight="1">
      <c r="F465" s="219"/>
    </row>
    <row r="466" spans="6:6" ht="15.75" customHeight="1">
      <c r="F466" s="219"/>
    </row>
    <row r="467" spans="6:6" ht="15.75" customHeight="1">
      <c r="F467" s="219"/>
    </row>
    <row r="468" spans="6:6" ht="15.75" customHeight="1">
      <c r="F468" s="219"/>
    </row>
    <row r="469" spans="6:6" ht="15.75" customHeight="1">
      <c r="F469" s="219"/>
    </row>
    <row r="470" spans="6:6" ht="15.75" customHeight="1">
      <c r="F470" s="219"/>
    </row>
    <row r="471" spans="6:6" ht="15.75" customHeight="1">
      <c r="F471" s="219"/>
    </row>
    <row r="472" spans="6:6" ht="15.75" customHeight="1">
      <c r="F472" s="219"/>
    </row>
    <row r="473" spans="6:6" ht="15.75" customHeight="1">
      <c r="F473" s="219"/>
    </row>
    <row r="474" spans="6:6" ht="15.75" customHeight="1">
      <c r="F474" s="219"/>
    </row>
    <row r="475" spans="6:6" ht="15.75" customHeight="1">
      <c r="F475" s="219"/>
    </row>
    <row r="476" spans="6:6" ht="15.75" customHeight="1">
      <c r="F476" s="219"/>
    </row>
    <row r="477" spans="6:6" ht="15.75" customHeight="1">
      <c r="F477" s="219"/>
    </row>
    <row r="478" spans="6:6" ht="15.75" customHeight="1">
      <c r="F478" s="219"/>
    </row>
    <row r="479" spans="6:6" ht="15.75" customHeight="1">
      <c r="F479" s="219"/>
    </row>
    <row r="480" spans="6:6" ht="15.75" customHeight="1">
      <c r="F480" s="219"/>
    </row>
    <row r="481" spans="6:6" ht="15.75" customHeight="1">
      <c r="F481" s="219"/>
    </row>
    <row r="482" spans="6:6" ht="15.75" customHeight="1">
      <c r="F482" s="219"/>
    </row>
    <row r="483" spans="6:6" ht="15.75" customHeight="1">
      <c r="F483" s="219"/>
    </row>
    <row r="484" spans="6:6" ht="15.75" customHeight="1">
      <c r="F484" s="219"/>
    </row>
    <row r="485" spans="6:6" ht="15.75" customHeight="1">
      <c r="F485" s="219"/>
    </row>
    <row r="486" spans="6:6" ht="15.75" customHeight="1">
      <c r="F486" s="219"/>
    </row>
    <row r="487" spans="6:6" ht="15.75" customHeight="1">
      <c r="F487" s="219"/>
    </row>
    <row r="488" spans="6:6" ht="15.75" customHeight="1">
      <c r="F488" s="219"/>
    </row>
    <row r="489" spans="6:6" ht="15.75" customHeight="1">
      <c r="F489" s="219"/>
    </row>
    <row r="490" spans="6:6" ht="15.75" customHeight="1">
      <c r="F490" s="219"/>
    </row>
    <row r="491" spans="6:6" ht="15.75" customHeight="1">
      <c r="F491" s="219"/>
    </row>
    <row r="492" spans="6:6" ht="15.75" customHeight="1">
      <c r="F492" s="219"/>
    </row>
    <row r="493" spans="6:6" ht="15.75" customHeight="1">
      <c r="F493" s="219"/>
    </row>
    <row r="494" spans="6:6" ht="15.75" customHeight="1">
      <c r="F494" s="219"/>
    </row>
    <row r="495" spans="6:6" ht="15.75" customHeight="1">
      <c r="F495" s="219"/>
    </row>
    <row r="496" spans="6:6" ht="15.75" customHeight="1">
      <c r="F496" s="219"/>
    </row>
    <row r="497" spans="6:6" ht="15.75" customHeight="1">
      <c r="F497" s="219"/>
    </row>
    <row r="498" spans="6:6" ht="15.75" customHeight="1">
      <c r="F498" s="219"/>
    </row>
    <row r="499" spans="6:6" ht="15.75" customHeight="1">
      <c r="F499" s="219"/>
    </row>
    <row r="500" spans="6:6" ht="15.75" customHeight="1">
      <c r="F500" s="219"/>
    </row>
    <row r="501" spans="6:6" ht="15.75" customHeight="1">
      <c r="F501" s="219"/>
    </row>
    <row r="502" spans="6:6" ht="15.75" customHeight="1">
      <c r="F502" s="219"/>
    </row>
    <row r="503" spans="6:6" ht="15.75" customHeight="1">
      <c r="F503" s="219"/>
    </row>
    <row r="504" spans="6:6" ht="15.75" customHeight="1">
      <c r="F504" s="219"/>
    </row>
    <row r="505" spans="6:6" ht="15.75" customHeight="1">
      <c r="F505" s="219"/>
    </row>
    <row r="506" spans="6:6" ht="15.75" customHeight="1">
      <c r="F506" s="219"/>
    </row>
    <row r="507" spans="6:6" ht="15.75" customHeight="1">
      <c r="F507" s="219"/>
    </row>
    <row r="508" spans="6:6" ht="15.75" customHeight="1">
      <c r="F508" s="219"/>
    </row>
    <row r="509" spans="6:6" ht="15.75" customHeight="1">
      <c r="F509" s="219"/>
    </row>
    <row r="510" spans="6:6" ht="15.75" customHeight="1">
      <c r="F510" s="219"/>
    </row>
    <row r="511" spans="6:6" ht="15.75" customHeight="1">
      <c r="F511" s="219"/>
    </row>
    <row r="512" spans="6:6" ht="15.75" customHeight="1">
      <c r="F512" s="219"/>
    </row>
    <row r="513" spans="6:6" ht="15.75" customHeight="1">
      <c r="F513" s="219"/>
    </row>
    <row r="514" spans="6:6" ht="15.75" customHeight="1">
      <c r="F514" s="219"/>
    </row>
    <row r="515" spans="6:6" ht="15.75" customHeight="1">
      <c r="F515" s="219"/>
    </row>
    <row r="516" spans="6:6" ht="15.75" customHeight="1">
      <c r="F516" s="219"/>
    </row>
    <row r="517" spans="6:6" ht="15.75" customHeight="1">
      <c r="F517" s="219"/>
    </row>
    <row r="518" spans="6:6" ht="15.75" customHeight="1">
      <c r="F518" s="219"/>
    </row>
    <row r="519" spans="6:6" ht="15.75" customHeight="1">
      <c r="F519" s="219"/>
    </row>
    <row r="520" spans="6:6" ht="15.75" customHeight="1">
      <c r="F520" s="219"/>
    </row>
    <row r="521" spans="6:6" ht="15.75" customHeight="1">
      <c r="F521" s="219"/>
    </row>
    <row r="522" spans="6:6" ht="15.75" customHeight="1">
      <c r="F522" s="219"/>
    </row>
    <row r="523" spans="6:6" ht="15.75" customHeight="1">
      <c r="F523" s="219"/>
    </row>
    <row r="524" spans="6:6" ht="15.75" customHeight="1">
      <c r="F524" s="219"/>
    </row>
    <row r="525" spans="6:6" ht="15.75" customHeight="1">
      <c r="F525" s="219"/>
    </row>
    <row r="526" spans="6:6" ht="15.75" customHeight="1">
      <c r="F526" s="219"/>
    </row>
    <row r="527" spans="6:6" ht="15.75" customHeight="1">
      <c r="F527" s="219"/>
    </row>
    <row r="528" spans="6:6" ht="15.75" customHeight="1">
      <c r="F528" s="219"/>
    </row>
    <row r="529" spans="6:6" ht="15.75" customHeight="1">
      <c r="F529" s="219"/>
    </row>
    <row r="530" spans="6:6" ht="15.75" customHeight="1">
      <c r="F530" s="219"/>
    </row>
    <row r="531" spans="6:6" ht="15.75" customHeight="1">
      <c r="F531" s="219"/>
    </row>
    <row r="532" spans="6:6" ht="15.75" customHeight="1">
      <c r="F532" s="219"/>
    </row>
    <row r="533" spans="6:6" ht="15.75" customHeight="1">
      <c r="F533" s="219"/>
    </row>
    <row r="534" spans="6:6" ht="15.75" customHeight="1">
      <c r="F534" s="219"/>
    </row>
    <row r="535" spans="6:6" ht="15.75" customHeight="1">
      <c r="F535" s="219"/>
    </row>
    <row r="536" spans="6:6" ht="15.75" customHeight="1">
      <c r="F536" s="219"/>
    </row>
    <row r="537" spans="6:6" ht="15.75" customHeight="1">
      <c r="F537" s="219"/>
    </row>
    <row r="538" spans="6:6" ht="15.75" customHeight="1">
      <c r="F538" s="219"/>
    </row>
    <row r="539" spans="6:6" ht="15.75" customHeight="1">
      <c r="F539" s="219"/>
    </row>
    <row r="540" spans="6:6" ht="15.75" customHeight="1">
      <c r="F540" s="219"/>
    </row>
    <row r="541" spans="6:6" ht="15.75" customHeight="1">
      <c r="F541" s="219"/>
    </row>
    <row r="542" spans="6:6" ht="15.75" customHeight="1">
      <c r="F542" s="219"/>
    </row>
    <row r="543" spans="6:6" ht="15.75" customHeight="1">
      <c r="F543" s="219"/>
    </row>
    <row r="544" spans="6:6" ht="15.75" customHeight="1">
      <c r="F544" s="219"/>
    </row>
    <row r="545" spans="6:6" ht="15.75" customHeight="1">
      <c r="F545" s="219"/>
    </row>
    <row r="546" spans="6:6" ht="15.75" customHeight="1">
      <c r="F546" s="219"/>
    </row>
    <row r="547" spans="6:6" ht="15.75" customHeight="1">
      <c r="F547" s="219"/>
    </row>
    <row r="548" spans="6:6" ht="15.75" customHeight="1">
      <c r="F548" s="219"/>
    </row>
    <row r="549" spans="6:6" ht="15.75" customHeight="1">
      <c r="F549" s="219"/>
    </row>
    <row r="550" spans="6:6" ht="15.75" customHeight="1">
      <c r="F550" s="219"/>
    </row>
    <row r="551" spans="6:6" ht="15.75" customHeight="1">
      <c r="F551" s="219"/>
    </row>
    <row r="552" spans="6:6" ht="15.75" customHeight="1">
      <c r="F552" s="219"/>
    </row>
    <row r="553" spans="6:6" ht="15.75" customHeight="1">
      <c r="F553" s="219"/>
    </row>
    <row r="554" spans="6:6" ht="15.75" customHeight="1">
      <c r="F554" s="219"/>
    </row>
    <row r="555" spans="6:6" ht="15.75" customHeight="1">
      <c r="F555" s="219"/>
    </row>
    <row r="556" spans="6:6" ht="15.75" customHeight="1">
      <c r="F556" s="219"/>
    </row>
    <row r="557" spans="6:6" ht="15.75" customHeight="1">
      <c r="F557" s="219"/>
    </row>
    <row r="558" spans="6:6" ht="15.75" customHeight="1">
      <c r="F558" s="219"/>
    </row>
    <row r="559" spans="6:6" ht="15.75" customHeight="1">
      <c r="F559" s="219"/>
    </row>
    <row r="560" spans="6:6" ht="15.75" customHeight="1">
      <c r="F560" s="219"/>
    </row>
    <row r="561" spans="6:6" ht="15.75" customHeight="1">
      <c r="F561" s="219"/>
    </row>
    <row r="562" spans="6:6" ht="15.75" customHeight="1">
      <c r="F562" s="219"/>
    </row>
    <row r="563" spans="6:6" ht="15.75" customHeight="1">
      <c r="F563" s="219"/>
    </row>
    <row r="564" spans="6:6" ht="15.75" customHeight="1">
      <c r="F564" s="219"/>
    </row>
    <row r="565" spans="6:6" ht="15.75" customHeight="1">
      <c r="F565" s="219"/>
    </row>
    <row r="566" spans="6:6" ht="15.75" customHeight="1">
      <c r="F566" s="219"/>
    </row>
    <row r="567" spans="6:6" ht="15.75" customHeight="1">
      <c r="F567" s="219"/>
    </row>
    <row r="568" spans="6:6" ht="15.75" customHeight="1">
      <c r="F568" s="219"/>
    </row>
    <row r="569" spans="6:6" ht="15.75" customHeight="1">
      <c r="F569" s="219"/>
    </row>
    <row r="570" spans="6:6" ht="15.75" customHeight="1">
      <c r="F570" s="219"/>
    </row>
    <row r="571" spans="6:6" ht="15.75" customHeight="1">
      <c r="F571" s="219"/>
    </row>
    <row r="572" spans="6:6" ht="15.75" customHeight="1">
      <c r="F572" s="219"/>
    </row>
    <row r="573" spans="6:6" ht="15.75" customHeight="1">
      <c r="F573" s="219"/>
    </row>
    <row r="574" spans="6:6" ht="15.75" customHeight="1">
      <c r="F574" s="219"/>
    </row>
    <row r="575" spans="6:6" ht="15.75" customHeight="1">
      <c r="F575" s="219"/>
    </row>
    <row r="576" spans="6:6" ht="15.75" customHeight="1">
      <c r="F576" s="219"/>
    </row>
    <row r="577" spans="6:6" ht="15.75" customHeight="1">
      <c r="F577" s="219"/>
    </row>
    <row r="578" spans="6:6" ht="15.75" customHeight="1">
      <c r="F578" s="219"/>
    </row>
    <row r="579" spans="6:6" ht="15.75" customHeight="1">
      <c r="F579" s="219"/>
    </row>
    <row r="580" spans="6:6" ht="15.75" customHeight="1">
      <c r="F580" s="219"/>
    </row>
    <row r="581" spans="6:6" ht="15.75" customHeight="1">
      <c r="F581" s="219"/>
    </row>
    <row r="582" spans="6:6" ht="15.75" customHeight="1">
      <c r="F582" s="219"/>
    </row>
    <row r="583" spans="6:6" ht="15.75" customHeight="1">
      <c r="F583" s="219"/>
    </row>
    <row r="584" spans="6:6" ht="15.75" customHeight="1">
      <c r="F584" s="219"/>
    </row>
    <row r="585" spans="6:6" ht="15.75" customHeight="1">
      <c r="F585" s="219"/>
    </row>
    <row r="586" spans="6:6" ht="15.75" customHeight="1">
      <c r="F586" s="219"/>
    </row>
    <row r="587" spans="6:6" ht="15.75" customHeight="1">
      <c r="F587" s="219"/>
    </row>
    <row r="588" spans="6:6" ht="15.75" customHeight="1">
      <c r="F588" s="219"/>
    </row>
    <row r="589" spans="6:6" ht="15.75" customHeight="1">
      <c r="F589" s="219"/>
    </row>
    <row r="590" spans="6:6" ht="15.75" customHeight="1">
      <c r="F590" s="219"/>
    </row>
    <row r="591" spans="6:6" ht="15.75" customHeight="1">
      <c r="F591" s="219"/>
    </row>
    <row r="592" spans="6:6" ht="15.75" customHeight="1">
      <c r="F592" s="219"/>
    </row>
    <row r="593" spans="6:6" ht="15.75" customHeight="1">
      <c r="F593" s="219"/>
    </row>
    <row r="594" spans="6:6" ht="15.75" customHeight="1">
      <c r="F594" s="219"/>
    </row>
    <row r="595" spans="6:6" ht="15.75" customHeight="1">
      <c r="F595" s="219"/>
    </row>
    <row r="596" spans="6:6" ht="15.75" customHeight="1">
      <c r="F596" s="219"/>
    </row>
    <row r="597" spans="6:6" ht="15.75" customHeight="1">
      <c r="F597" s="219"/>
    </row>
    <row r="598" spans="6:6" ht="15.75" customHeight="1">
      <c r="F598" s="219"/>
    </row>
    <row r="599" spans="6:6" ht="15.75" customHeight="1">
      <c r="F599" s="219"/>
    </row>
    <row r="600" spans="6:6" ht="15.75" customHeight="1">
      <c r="F600" s="219"/>
    </row>
    <row r="601" spans="6:6" ht="15.75" customHeight="1">
      <c r="F601" s="219"/>
    </row>
    <row r="602" spans="6:6" ht="15.75" customHeight="1">
      <c r="F602" s="219"/>
    </row>
    <row r="603" spans="6:6" ht="15.75" customHeight="1">
      <c r="F603" s="219"/>
    </row>
    <row r="604" spans="6:6" ht="15.75" customHeight="1">
      <c r="F604" s="219"/>
    </row>
    <row r="605" spans="6:6" ht="15.75" customHeight="1">
      <c r="F605" s="219"/>
    </row>
    <row r="606" spans="6:6" ht="15.75" customHeight="1">
      <c r="F606" s="219"/>
    </row>
    <row r="607" spans="6:6" ht="15.75" customHeight="1">
      <c r="F607" s="219"/>
    </row>
    <row r="608" spans="6:6" ht="15.75" customHeight="1">
      <c r="F608" s="219"/>
    </row>
    <row r="609" spans="6:6" ht="15.75" customHeight="1">
      <c r="F609" s="219"/>
    </row>
    <row r="610" spans="6:6" ht="15.75" customHeight="1">
      <c r="F610" s="219"/>
    </row>
    <row r="611" spans="6:6" ht="15.75" customHeight="1">
      <c r="F611" s="219"/>
    </row>
    <row r="612" spans="6:6" ht="15.75" customHeight="1">
      <c r="F612" s="219"/>
    </row>
    <row r="613" spans="6:6" ht="15.75" customHeight="1">
      <c r="F613" s="219"/>
    </row>
    <row r="614" spans="6:6" ht="15.75" customHeight="1">
      <c r="F614" s="219"/>
    </row>
    <row r="615" spans="6:6" ht="15.75" customHeight="1">
      <c r="F615" s="219"/>
    </row>
    <row r="616" spans="6:6" ht="15.75" customHeight="1">
      <c r="F616" s="219"/>
    </row>
    <row r="617" spans="6:6" ht="15.75" customHeight="1">
      <c r="F617" s="219"/>
    </row>
    <row r="618" spans="6:6" ht="15.75" customHeight="1">
      <c r="F618" s="219"/>
    </row>
    <row r="619" spans="6:6" ht="15.75" customHeight="1">
      <c r="F619" s="219"/>
    </row>
    <row r="620" spans="6:6" ht="15.75" customHeight="1">
      <c r="F620" s="219"/>
    </row>
    <row r="621" spans="6:6" ht="15.75" customHeight="1">
      <c r="F621" s="219"/>
    </row>
    <row r="622" spans="6:6" ht="15.75" customHeight="1">
      <c r="F622" s="219"/>
    </row>
    <row r="623" spans="6:6" ht="15.75" customHeight="1">
      <c r="F623" s="219"/>
    </row>
    <row r="624" spans="6:6" ht="15.75" customHeight="1">
      <c r="F624" s="219"/>
    </row>
    <row r="625" spans="6:6" ht="15.75" customHeight="1">
      <c r="F625" s="219"/>
    </row>
    <row r="626" spans="6:6" ht="15.75" customHeight="1">
      <c r="F626" s="219"/>
    </row>
    <row r="627" spans="6:6" ht="15.75" customHeight="1">
      <c r="F627" s="219"/>
    </row>
    <row r="628" spans="6:6" ht="15.75" customHeight="1">
      <c r="F628" s="219"/>
    </row>
    <row r="629" spans="6:6" ht="15.75" customHeight="1">
      <c r="F629" s="219"/>
    </row>
    <row r="630" spans="6:6" ht="15.75" customHeight="1">
      <c r="F630" s="219"/>
    </row>
    <row r="631" spans="6:6" ht="15.75" customHeight="1">
      <c r="F631" s="219"/>
    </row>
    <row r="632" spans="6:6" ht="15.75" customHeight="1">
      <c r="F632" s="219"/>
    </row>
    <row r="633" spans="6:6" ht="15.75" customHeight="1">
      <c r="F633" s="219"/>
    </row>
    <row r="634" spans="6:6" ht="15.75" customHeight="1">
      <c r="F634" s="219"/>
    </row>
    <row r="635" spans="6:6" ht="15.75" customHeight="1">
      <c r="F635" s="219"/>
    </row>
    <row r="636" spans="6:6" ht="15.75" customHeight="1">
      <c r="F636" s="219"/>
    </row>
    <row r="637" spans="6:6" ht="15.75" customHeight="1">
      <c r="F637" s="219"/>
    </row>
    <row r="638" spans="6:6" ht="15.75" customHeight="1">
      <c r="F638" s="219"/>
    </row>
    <row r="639" spans="6:6" ht="15.75" customHeight="1">
      <c r="F639" s="219"/>
    </row>
    <row r="640" spans="6:6" ht="15.75" customHeight="1">
      <c r="F640" s="219"/>
    </row>
    <row r="641" spans="6:6" ht="15.75" customHeight="1">
      <c r="F641" s="219"/>
    </row>
    <row r="642" spans="6:6" ht="15.75" customHeight="1">
      <c r="F642" s="219"/>
    </row>
    <row r="643" spans="6:6" ht="15.75" customHeight="1">
      <c r="F643" s="219"/>
    </row>
    <row r="644" spans="6:6" ht="15.75" customHeight="1">
      <c r="F644" s="219"/>
    </row>
    <row r="645" spans="6:6" ht="15.75" customHeight="1">
      <c r="F645" s="219"/>
    </row>
    <row r="646" spans="6:6" ht="15.75" customHeight="1">
      <c r="F646" s="219"/>
    </row>
    <row r="647" spans="6:6" ht="15.75" customHeight="1">
      <c r="F647" s="219"/>
    </row>
    <row r="648" spans="6:6" ht="15.75" customHeight="1">
      <c r="F648" s="219"/>
    </row>
    <row r="649" spans="6:6" ht="15.75" customHeight="1">
      <c r="F649" s="219"/>
    </row>
    <row r="650" spans="6:6" ht="15.75" customHeight="1">
      <c r="F650" s="219"/>
    </row>
    <row r="651" spans="6:6" ht="15.75" customHeight="1">
      <c r="F651" s="219"/>
    </row>
    <row r="652" spans="6:6" ht="15.75" customHeight="1">
      <c r="F652" s="219"/>
    </row>
    <row r="653" spans="6:6" ht="15.75" customHeight="1">
      <c r="F653" s="219"/>
    </row>
    <row r="654" spans="6:6" ht="15.75" customHeight="1">
      <c r="F654" s="219"/>
    </row>
    <row r="655" spans="6:6" ht="15.75" customHeight="1">
      <c r="F655" s="219"/>
    </row>
    <row r="656" spans="6:6" ht="15.75" customHeight="1">
      <c r="F656" s="219"/>
    </row>
    <row r="657" spans="6:6" ht="15.75" customHeight="1">
      <c r="F657" s="219"/>
    </row>
    <row r="658" spans="6:6" ht="15.75" customHeight="1">
      <c r="F658" s="219"/>
    </row>
    <row r="659" spans="6:6" ht="15.75" customHeight="1">
      <c r="F659" s="219"/>
    </row>
    <row r="660" spans="6:6" ht="15.75" customHeight="1">
      <c r="F660" s="219"/>
    </row>
    <row r="661" spans="6:6" ht="15.75" customHeight="1">
      <c r="F661" s="219"/>
    </row>
    <row r="662" spans="6:6" ht="15.75" customHeight="1">
      <c r="F662" s="219"/>
    </row>
    <row r="663" spans="6:6" ht="15.75" customHeight="1">
      <c r="F663" s="219"/>
    </row>
    <row r="664" spans="6:6" ht="15.75" customHeight="1">
      <c r="F664" s="219"/>
    </row>
    <row r="665" spans="6:6" ht="15.75" customHeight="1">
      <c r="F665" s="219"/>
    </row>
    <row r="666" spans="6:6" ht="15.75" customHeight="1">
      <c r="F666" s="219"/>
    </row>
    <row r="667" spans="6:6" ht="15.75" customHeight="1">
      <c r="F667" s="219"/>
    </row>
    <row r="668" spans="6:6" ht="15.75" customHeight="1">
      <c r="F668" s="219"/>
    </row>
    <row r="669" spans="6:6" ht="15.75" customHeight="1">
      <c r="F669" s="219"/>
    </row>
    <row r="670" spans="6:6" ht="15.75" customHeight="1">
      <c r="F670" s="219"/>
    </row>
    <row r="671" spans="6:6" ht="15.75" customHeight="1">
      <c r="F671" s="219"/>
    </row>
    <row r="672" spans="6:6" ht="15.75" customHeight="1">
      <c r="F672" s="219"/>
    </row>
    <row r="673" spans="6:6" ht="15.75" customHeight="1">
      <c r="F673" s="219"/>
    </row>
    <row r="674" spans="6:6" ht="15.75" customHeight="1">
      <c r="F674" s="219"/>
    </row>
    <row r="675" spans="6:6" ht="15.75" customHeight="1">
      <c r="F675" s="219"/>
    </row>
    <row r="676" spans="6:6" ht="15.75" customHeight="1">
      <c r="F676" s="219"/>
    </row>
    <row r="677" spans="6:6" ht="15.75" customHeight="1">
      <c r="F677" s="219"/>
    </row>
    <row r="678" spans="6:6" ht="15.75" customHeight="1">
      <c r="F678" s="219"/>
    </row>
    <row r="679" spans="6:6" ht="15.75" customHeight="1">
      <c r="F679" s="219"/>
    </row>
    <row r="680" spans="6:6" ht="15.75" customHeight="1">
      <c r="F680" s="219"/>
    </row>
    <row r="681" spans="6:6" ht="15.75" customHeight="1">
      <c r="F681" s="219"/>
    </row>
    <row r="682" spans="6:6" ht="15.75" customHeight="1">
      <c r="F682" s="219"/>
    </row>
    <row r="683" spans="6:6" ht="15.75" customHeight="1">
      <c r="F683" s="219"/>
    </row>
    <row r="684" spans="6:6" ht="15.75" customHeight="1">
      <c r="F684" s="219"/>
    </row>
    <row r="685" spans="6:6" ht="15.75" customHeight="1">
      <c r="F685" s="219"/>
    </row>
    <row r="686" spans="6:6" ht="15.75" customHeight="1">
      <c r="F686" s="219"/>
    </row>
    <row r="687" spans="6:6" ht="15.75" customHeight="1">
      <c r="F687" s="219"/>
    </row>
    <row r="688" spans="6:6" ht="15.75" customHeight="1">
      <c r="F688" s="219"/>
    </row>
    <row r="689" spans="6:6" ht="15.75" customHeight="1">
      <c r="F689" s="219"/>
    </row>
    <row r="690" spans="6:6" ht="15.75" customHeight="1">
      <c r="F690" s="219"/>
    </row>
    <row r="691" spans="6:6" ht="15.75" customHeight="1">
      <c r="F691" s="219"/>
    </row>
    <row r="692" spans="6:6" ht="15.75" customHeight="1">
      <c r="F692" s="219"/>
    </row>
    <row r="693" spans="6:6" ht="15.75" customHeight="1">
      <c r="F693" s="219"/>
    </row>
    <row r="694" spans="6:6" ht="15.75" customHeight="1">
      <c r="F694" s="219"/>
    </row>
    <row r="695" spans="6:6" ht="15.75" customHeight="1">
      <c r="F695" s="219"/>
    </row>
    <row r="696" spans="6:6" ht="15.75" customHeight="1">
      <c r="F696" s="219"/>
    </row>
    <row r="697" spans="6:6" ht="15.75" customHeight="1">
      <c r="F697" s="219"/>
    </row>
    <row r="698" spans="6:6" ht="15.75" customHeight="1">
      <c r="F698" s="219"/>
    </row>
    <row r="699" spans="6:6" ht="15.75" customHeight="1">
      <c r="F699" s="219"/>
    </row>
    <row r="700" spans="6:6" ht="15.75" customHeight="1">
      <c r="F700" s="219"/>
    </row>
    <row r="701" spans="6:6" ht="15.75" customHeight="1">
      <c r="F701" s="219"/>
    </row>
    <row r="702" spans="6:6" ht="15.75" customHeight="1">
      <c r="F702" s="219"/>
    </row>
    <row r="703" spans="6:6" ht="15.75" customHeight="1">
      <c r="F703" s="219"/>
    </row>
    <row r="704" spans="6:6" ht="15.75" customHeight="1">
      <c r="F704" s="219"/>
    </row>
    <row r="705" spans="6:6" ht="15.75" customHeight="1">
      <c r="F705" s="219"/>
    </row>
    <row r="706" spans="6:6" ht="15.75" customHeight="1">
      <c r="F706" s="219"/>
    </row>
    <row r="707" spans="6:6" ht="15.75" customHeight="1">
      <c r="F707" s="219"/>
    </row>
    <row r="708" spans="6:6" ht="15.75" customHeight="1">
      <c r="F708" s="219"/>
    </row>
    <row r="709" spans="6:6" ht="15.75" customHeight="1">
      <c r="F709" s="219"/>
    </row>
    <row r="710" spans="6:6" ht="15.75" customHeight="1">
      <c r="F710" s="219"/>
    </row>
    <row r="711" spans="6:6" ht="15.75" customHeight="1">
      <c r="F711" s="219"/>
    </row>
    <row r="712" spans="6:6" ht="15.75" customHeight="1">
      <c r="F712" s="219"/>
    </row>
    <row r="713" spans="6:6" ht="15.75" customHeight="1">
      <c r="F713" s="219"/>
    </row>
    <row r="714" spans="6:6" ht="15.75" customHeight="1">
      <c r="F714" s="219"/>
    </row>
    <row r="715" spans="6:6" ht="15.75" customHeight="1">
      <c r="F715" s="219"/>
    </row>
    <row r="716" spans="6:6" ht="15.75" customHeight="1">
      <c r="F716" s="219"/>
    </row>
    <row r="717" spans="6:6" ht="15.75" customHeight="1">
      <c r="F717" s="219"/>
    </row>
    <row r="718" spans="6:6" ht="15.75" customHeight="1">
      <c r="F718" s="219"/>
    </row>
    <row r="719" spans="6:6" ht="15.75" customHeight="1">
      <c r="F719" s="219"/>
    </row>
    <row r="720" spans="6:6" ht="15.75" customHeight="1">
      <c r="F720" s="219"/>
    </row>
    <row r="721" spans="6:6" ht="15.75" customHeight="1">
      <c r="F721" s="219"/>
    </row>
    <row r="722" spans="6:6" ht="15.75" customHeight="1">
      <c r="F722" s="219"/>
    </row>
    <row r="723" spans="6:6" ht="15.75" customHeight="1">
      <c r="F723" s="219"/>
    </row>
    <row r="724" spans="6:6" ht="15.75" customHeight="1">
      <c r="F724" s="219"/>
    </row>
    <row r="725" spans="6:6" ht="15.75" customHeight="1">
      <c r="F725" s="219"/>
    </row>
    <row r="726" spans="6:6" ht="15.75" customHeight="1">
      <c r="F726" s="219"/>
    </row>
    <row r="727" spans="6:6" ht="15.75" customHeight="1">
      <c r="F727" s="219"/>
    </row>
    <row r="728" spans="6:6" ht="15.75" customHeight="1">
      <c r="F728" s="219"/>
    </row>
    <row r="729" spans="6:6" ht="15.75" customHeight="1">
      <c r="F729" s="219"/>
    </row>
    <row r="730" spans="6:6" ht="15.75" customHeight="1">
      <c r="F730" s="219"/>
    </row>
    <row r="731" spans="6:6" ht="15.75" customHeight="1">
      <c r="F731" s="219"/>
    </row>
    <row r="732" spans="6:6" ht="15.75" customHeight="1">
      <c r="F732" s="219"/>
    </row>
    <row r="733" spans="6:6" ht="15.75" customHeight="1">
      <c r="F733" s="219"/>
    </row>
    <row r="734" spans="6:6" ht="15.75" customHeight="1">
      <c r="F734" s="219"/>
    </row>
    <row r="735" spans="6:6" ht="15.75" customHeight="1">
      <c r="F735" s="219"/>
    </row>
    <row r="736" spans="6:6" ht="15.75" customHeight="1">
      <c r="F736" s="219"/>
    </row>
    <row r="737" spans="6:6" ht="15.75" customHeight="1">
      <c r="F737" s="219"/>
    </row>
    <row r="738" spans="6:6" ht="15.75" customHeight="1">
      <c r="F738" s="219"/>
    </row>
    <row r="739" spans="6:6" ht="15.75" customHeight="1">
      <c r="F739" s="219"/>
    </row>
    <row r="740" spans="6:6" ht="15.75" customHeight="1">
      <c r="F740" s="219"/>
    </row>
    <row r="741" spans="6:6" ht="15.75" customHeight="1">
      <c r="F741" s="219"/>
    </row>
    <row r="742" spans="6:6" ht="15.75" customHeight="1">
      <c r="F742" s="219"/>
    </row>
    <row r="743" spans="6:6" ht="15.75" customHeight="1">
      <c r="F743" s="219"/>
    </row>
    <row r="744" spans="6:6" ht="15.75" customHeight="1">
      <c r="F744" s="219"/>
    </row>
    <row r="745" spans="6:6" ht="15.75" customHeight="1">
      <c r="F745" s="219"/>
    </row>
    <row r="746" spans="6:6" ht="15.75" customHeight="1">
      <c r="F746" s="219"/>
    </row>
    <row r="747" spans="6:6" ht="15.75" customHeight="1">
      <c r="F747" s="219"/>
    </row>
    <row r="748" spans="6:6" ht="15.75" customHeight="1">
      <c r="F748" s="219"/>
    </row>
    <row r="749" spans="6:6" ht="15.75" customHeight="1">
      <c r="F749" s="219"/>
    </row>
    <row r="750" spans="6:6" ht="15.75" customHeight="1">
      <c r="F750" s="219"/>
    </row>
    <row r="751" spans="6:6" ht="15.75" customHeight="1">
      <c r="F751" s="219"/>
    </row>
    <row r="752" spans="6:6" ht="15.75" customHeight="1">
      <c r="F752" s="219"/>
    </row>
    <row r="753" spans="6:6" ht="15.75" customHeight="1">
      <c r="F753" s="219"/>
    </row>
    <row r="754" spans="6:6" ht="15.75" customHeight="1">
      <c r="F754" s="219"/>
    </row>
    <row r="755" spans="6:6" ht="15.75" customHeight="1">
      <c r="F755" s="219"/>
    </row>
    <row r="756" spans="6:6" ht="15.75" customHeight="1">
      <c r="F756" s="219"/>
    </row>
    <row r="757" spans="6:6" ht="15.75" customHeight="1">
      <c r="F757" s="219"/>
    </row>
    <row r="758" spans="6:6" ht="15.75" customHeight="1">
      <c r="F758" s="219"/>
    </row>
    <row r="759" spans="6:6" ht="15.75" customHeight="1">
      <c r="F759" s="219"/>
    </row>
    <row r="760" spans="6:6" ht="15.75" customHeight="1">
      <c r="F760" s="219"/>
    </row>
    <row r="761" spans="6:6" ht="15.75" customHeight="1">
      <c r="F761" s="219"/>
    </row>
    <row r="762" spans="6:6" ht="15.75" customHeight="1">
      <c r="F762" s="219"/>
    </row>
    <row r="763" spans="6:6" ht="15.75" customHeight="1">
      <c r="F763" s="219"/>
    </row>
    <row r="764" spans="6:6" ht="15.75" customHeight="1">
      <c r="F764" s="219"/>
    </row>
    <row r="765" spans="6:6" ht="15.75" customHeight="1">
      <c r="F765" s="219"/>
    </row>
    <row r="766" spans="6:6" ht="15.75" customHeight="1">
      <c r="F766" s="219"/>
    </row>
    <row r="767" spans="6:6" ht="15.75" customHeight="1">
      <c r="F767" s="219"/>
    </row>
    <row r="768" spans="6:6" ht="15.75" customHeight="1">
      <c r="F768" s="219"/>
    </row>
    <row r="769" spans="6:6" ht="15.75" customHeight="1">
      <c r="F769" s="219"/>
    </row>
    <row r="770" spans="6:6" ht="15.75" customHeight="1">
      <c r="F770" s="219"/>
    </row>
    <row r="771" spans="6:6" ht="15.75" customHeight="1">
      <c r="F771" s="219"/>
    </row>
    <row r="772" spans="6:6" ht="15.75" customHeight="1">
      <c r="F772" s="219"/>
    </row>
    <row r="773" spans="6:6" ht="15.75" customHeight="1">
      <c r="F773" s="219"/>
    </row>
    <row r="774" spans="6:6" ht="15.75" customHeight="1">
      <c r="F774" s="219"/>
    </row>
    <row r="775" spans="6:6" ht="15.75" customHeight="1">
      <c r="F775" s="219"/>
    </row>
    <row r="776" spans="6:6" ht="15.75" customHeight="1">
      <c r="F776" s="219"/>
    </row>
    <row r="777" spans="6:6" ht="15.75" customHeight="1">
      <c r="F777" s="219"/>
    </row>
    <row r="778" spans="6:6" ht="15.75" customHeight="1">
      <c r="F778" s="219"/>
    </row>
    <row r="779" spans="6:6" ht="15.75" customHeight="1">
      <c r="F779" s="219"/>
    </row>
    <row r="780" spans="6:6" ht="15.75" customHeight="1">
      <c r="F780" s="219"/>
    </row>
    <row r="781" spans="6:6" ht="15.75" customHeight="1">
      <c r="F781" s="219"/>
    </row>
    <row r="782" spans="6:6" ht="15.75" customHeight="1">
      <c r="F782" s="219"/>
    </row>
    <row r="783" spans="6:6" ht="15.75" customHeight="1">
      <c r="F783" s="219"/>
    </row>
    <row r="784" spans="6:6" ht="15.75" customHeight="1">
      <c r="F784" s="219"/>
    </row>
    <row r="785" spans="6:6" ht="15.75" customHeight="1">
      <c r="F785" s="219"/>
    </row>
    <row r="786" spans="6:6" ht="15.75" customHeight="1">
      <c r="F786" s="219"/>
    </row>
    <row r="787" spans="6:6" ht="15.75" customHeight="1">
      <c r="F787" s="219"/>
    </row>
    <row r="788" spans="6:6" ht="15.75" customHeight="1">
      <c r="F788" s="219"/>
    </row>
    <row r="789" spans="6:6" ht="15.75" customHeight="1">
      <c r="F789" s="219"/>
    </row>
    <row r="790" spans="6:6" ht="15.75" customHeight="1">
      <c r="F790" s="219"/>
    </row>
    <row r="791" spans="6:6" ht="15.75" customHeight="1">
      <c r="F791" s="219"/>
    </row>
    <row r="792" spans="6:6" ht="15.75" customHeight="1">
      <c r="F792" s="219"/>
    </row>
    <row r="793" spans="6:6" ht="15.75" customHeight="1">
      <c r="F793" s="219"/>
    </row>
    <row r="794" spans="6:6" ht="15.75" customHeight="1">
      <c r="F794" s="219"/>
    </row>
    <row r="795" spans="6:6" ht="15.75" customHeight="1">
      <c r="F795" s="219"/>
    </row>
    <row r="796" spans="6:6" ht="15.75" customHeight="1">
      <c r="F796" s="219"/>
    </row>
    <row r="797" spans="6:6" ht="15.75" customHeight="1">
      <c r="F797" s="219"/>
    </row>
    <row r="798" spans="6:6" ht="15.75" customHeight="1">
      <c r="F798" s="219"/>
    </row>
    <row r="799" spans="6:6" ht="15.75" customHeight="1">
      <c r="F799" s="219"/>
    </row>
    <row r="800" spans="6:6" ht="15.75" customHeight="1">
      <c r="F800" s="219"/>
    </row>
    <row r="801" spans="6:6" ht="15.75" customHeight="1">
      <c r="F801" s="219"/>
    </row>
    <row r="802" spans="6:6" ht="15.75" customHeight="1">
      <c r="F802" s="219"/>
    </row>
    <row r="803" spans="6:6" ht="15.75" customHeight="1">
      <c r="F803" s="219"/>
    </row>
    <row r="804" spans="6:6" ht="15.75" customHeight="1">
      <c r="F804" s="219"/>
    </row>
    <row r="805" spans="6:6" ht="15.75" customHeight="1">
      <c r="F805" s="219"/>
    </row>
    <row r="806" spans="6:6" ht="15.75" customHeight="1">
      <c r="F806" s="219"/>
    </row>
    <row r="807" spans="6:6" ht="15.75" customHeight="1">
      <c r="F807" s="219"/>
    </row>
    <row r="808" spans="6:6" ht="15.75" customHeight="1">
      <c r="F808" s="219"/>
    </row>
    <row r="809" spans="6:6" ht="15.75" customHeight="1">
      <c r="F809" s="219"/>
    </row>
    <row r="810" spans="6:6" ht="15.75" customHeight="1">
      <c r="F810" s="219"/>
    </row>
    <row r="811" spans="6:6" ht="15.75" customHeight="1">
      <c r="F811" s="219"/>
    </row>
    <row r="812" spans="6:6" ht="15.75" customHeight="1">
      <c r="F812" s="219"/>
    </row>
    <row r="813" spans="6:6" ht="15.75" customHeight="1">
      <c r="F813" s="219"/>
    </row>
    <row r="814" spans="6:6" ht="15.75" customHeight="1">
      <c r="F814" s="219"/>
    </row>
    <row r="815" spans="6:6" ht="15.75" customHeight="1">
      <c r="F815" s="219"/>
    </row>
    <row r="816" spans="6:6" ht="15.75" customHeight="1">
      <c r="F816" s="219"/>
    </row>
    <row r="817" spans="6:6" ht="15.75" customHeight="1">
      <c r="F817" s="219"/>
    </row>
    <row r="818" spans="6:6" ht="15.75" customHeight="1">
      <c r="F818" s="219"/>
    </row>
    <row r="819" spans="6:6" ht="15.75" customHeight="1">
      <c r="F819" s="219"/>
    </row>
    <row r="820" spans="6:6" ht="15.75" customHeight="1">
      <c r="F820" s="219"/>
    </row>
    <row r="821" spans="6:6" ht="15.75" customHeight="1">
      <c r="F821" s="219"/>
    </row>
    <row r="822" spans="6:6" ht="15.75" customHeight="1">
      <c r="F822" s="219"/>
    </row>
    <row r="823" spans="6:6" ht="15.75" customHeight="1">
      <c r="F823" s="219"/>
    </row>
    <row r="824" spans="6:6" ht="15.75" customHeight="1">
      <c r="F824" s="219"/>
    </row>
    <row r="825" spans="6:6" ht="15.75" customHeight="1">
      <c r="F825" s="219"/>
    </row>
    <row r="826" spans="6:6" ht="15.75" customHeight="1">
      <c r="F826" s="219"/>
    </row>
    <row r="827" spans="6:6" ht="15.75" customHeight="1">
      <c r="F827" s="219"/>
    </row>
    <row r="828" spans="6:6" ht="15.75" customHeight="1">
      <c r="F828" s="219"/>
    </row>
    <row r="829" spans="6:6" ht="15.75" customHeight="1">
      <c r="F829" s="219"/>
    </row>
    <row r="830" spans="6:6" ht="15.75" customHeight="1">
      <c r="F830" s="219"/>
    </row>
    <row r="831" spans="6:6" ht="15.75" customHeight="1">
      <c r="F831" s="219"/>
    </row>
    <row r="832" spans="6:6" ht="15.75" customHeight="1">
      <c r="F832" s="219"/>
    </row>
    <row r="833" spans="6:6" ht="15.75" customHeight="1">
      <c r="F833" s="219"/>
    </row>
    <row r="834" spans="6:6" ht="15.75" customHeight="1">
      <c r="F834" s="219"/>
    </row>
    <row r="835" spans="6:6" ht="15.75" customHeight="1">
      <c r="F835" s="219"/>
    </row>
    <row r="836" spans="6:6" ht="15.75" customHeight="1">
      <c r="F836" s="219"/>
    </row>
    <row r="837" spans="6:6" ht="15.75" customHeight="1">
      <c r="F837" s="219"/>
    </row>
    <row r="838" spans="6:6" ht="15.75" customHeight="1">
      <c r="F838" s="219"/>
    </row>
    <row r="839" spans="6:6" ht="15.75" customHeight="1">
      <c r="F839" s="219"/>
    </row>
    <row r="840" spans="6:6" ht="15.75" customHeight="1">
      <c r="F840" s="219"/>
    </row>
    <row r="841" spans="6:6" ht="15.75" customHeight="1">
      <c r="F841" s="219"/>
    </row>
    <row r="842" spans="6:6" ht="15.75" customHeight="1">
      <c r="F842" s="219"/>
    </row>
    <row r="843" spans="6:6" ht="15.75" customHeight="1">
      <c r="F843" s="219"/>
    </row>
    <row r="844" spans="6:6" ht="15.75" customHeight="1">
      <c r="F844" s="219"/>
    </row>
    <row r="845" spans="6:6" ht="15.75" customHeight="1">
      <c r="F845" s="219"/>
    </row>
    <row r="846" spans="6:6" ht="15.75" customHeight="1">
      <c r="F846" s="219"/>
    </row>
    <row r="847" spans="6:6" ht="15.75" customHeight="1">
      <c r="F847" s="219"/>
    </row>
    <row r="848" spans="6:6" ht="15.75" customHeight="1">
      <c r="F848" s="219"/>
    </row>
    <row r="849" spans="6:6" ht="15.75" customHeight="1">
      <c r="F849" s="219"/>
    </row>
    <row r="850" spans="6:6" ht="15.75" customHeight="1">
      <c r="F850" s="219"/>
    </row>
    <row r="851" spans="6:6" ht="15.75" customHeight="1">
      <c r="F851" s="219"/>
    </row>
    <row r="852" spans="6:6" ht="15.75" customHeight="1">
      <c r="F852" s="219"/>
    </row>
    <row r="853" spans="6:6" ht="15.75" customHeight="1">
      <c r="F853" s="219"/>
    </row>
    <row r="854" spans="6:6" ht="15.75" customHeight="1">
      <c r="F854" s="219"/>
    </row>
    <row r="855" spans="6:6" ht="15.75" customHeight="1">
      <c r="F855" s="219"/>
    </row>
    <row r="856" spans="6:6" ht="15.75" customHeight="1">
      <c r="F856" s="219"/>
    </row>
    <row r="857" spans="6:6" ht="15.75" customHeight="1">
      <c r="F857" s="219"/>
    </row>
    <row r="858" spans="6:6" ht="15.75" customHeight="1">
      <c r="F858" s="219"/>
    </row>
    <row r="859" spans="6:6" ht="15.75" customHeight="1">
      <c r="F859" s="219"/>
    </row>
    <row r="860" spans="6:6" ht="15.75" customHeight="1">
      <c r="F860" s="219"/>
    </row>
    <row r="861" spans="6:6" ht="15.75" customHeight="1">
      <c r="F861" s="219"/>
    </row>
    <row r="862" spans="6:6" ht="15.75" customHeight="1">
      <c r="F862" s="219"/>
    </row>
    <row r="863" spans="6:6" ht="15.75" customHeight="1">
      <c r="F863" s="219"/>
    </row>
    <row r="864" spans="6:6" ht="15.75" customHeight="1">
      <c r="F864" s="219"/>
    </row>
    <row r="865" spans="6:6" ht="15.75" customHeight="1">
      <c r="F865" s="219"/>
    </row>
    <row r="866" spans="6:6" ht="15.75" customHeight="1">
      <c r="F866" s="219"/>
    </row>
    <row r="867" spans="6:6" ht="15.75" customHeight="1">
      <c r="F867" s="219"/>
    </row>
    <row r="868" spans="6:6" ht="15.75" customHeight="1">
      <c r="F868" s="219"/>
    </row>
    <row r="869" spans="6:6" ht="15.75" customHeight="1">
      <c r="F869" s="219"/>
    </row>
    <row r="870" spans="6:6" ht="15.75" customHeight="1">
      <c r="F870" s="219"/>
    </row>
    <row r="871" spans="6:6" ht="15.75" customHeight="1">
      <c r="F871" s="219"/>
    </row>
    <row r="872" spans="6:6" ht="15.75" customHeight="1">
      <c r="F872" s="219"/>
    </row>
    <row r="873" spans="6:6" ht="15.75" customHeight="1">
      <c r="F873" s="219"/>
    </row>
    <row r="874" spans="6:6" ht="15.75" customHeight="1">
      <c r="F874" s="219"/>
    </row>
    <row r="875" spans="6:6" ht="15.75" customHeight="1">
      <c r="F875" s="219"/>
    </row>
    <row r="876" spans="6:6" ht="15.75" customHeight="1">
      <c r="F876" s="219"/>
    </row>
    <row r="877" spans="6:6" ht="15.75" customHeight="1">
      <c r="F877" s="219"/>
    </row>
    <row r="878" spans="6:6" ht="15.75" customHeight="1">
      <c r="F878" s="219"/>
    </row>
    <row r="879" spans="6:6" ht="15.75" customHeight="1">
      <c r="F879" s="219"/>
    </row>
    <row r="880" spans="6:6" ht="15.75" customHeight="1">
      <c r="F880" s="219"/>
    </row>
    <row r="881" spans="6:6" ht="15.75" customHeight="1">
      <c r="F881" s="219"/>
    </row>
    <row r="882" spans="6:6" ht="15.75" customHeight="1">
      <c r="F882" s="219"/>
    </row>
    <row r="883" spans="6:6" ht="15.75" customHeight="1">
      <c r="F883" s="219"/>
    </row>
    <row r="884" spans="6:6" ht="15.75" customHeight="1">
      <c r="F884" s="219"/>
    </row>
    <row r="885" spans="6:6" ht="15.75" customHeight="1">
      <c r="F885" s="219"/>
    </row>
    <row r="886" spans="6:6" ht="15.75" customHeight="1">
      <c r="F886" s="219"/>
    </row>
    <row r="887" spans="6:6" ht="15.75" customHeight="1">
      <c r="F887" s="219"/>
    </row>
    <row r="888" spans="6:6" ht="15.75" customHeight="1">
      <c r="F888" s="219"/>
    </row>
    <row r="889" spans="6:6" ht="15.75" customHeight="1">
      <c r="F889" s="219"/>
    </row>
    <row r="890" spans="6:6" ht="15.75" customHeight="1">
      <c r="F890" s="219"/>
    </row>
    <row r="891" spans="6:6" ht="15.75" customHeight="1">
      <c r="F891" s="219"/>
    </row>
    <row r="892" spans="6:6" ht="15.75" customHeight="1">
      <c r="F892" s="219"/>
    </row>
    <row r="893" spans="6:6" ht="15.75" customHeight="1">
      <c r="F893" s="219"/>
    </row>
    <row r="894" spans="6:6" ht="15.75" customHeight="1">
      <c r="F894" s="219"/>
    </row>
    <row r="895" spans="6:6" ht="15.75" customHeight="1">
      <c r="F895" s="219"/>
    </row>
    <row r="896" spans="6:6" ht="15.75" customHeight="1">
      <c r="F896" s="219"/>
    </row>
    <row r="897" spans="6:6" ht="15.75" customHeight="1">
      <c r="F897" s="219"/>
    </row>
    <row r="898" spans="6:6" ht="15.75" customHeight="1">
      <c r="F898" s="219"/>
    </row>
    <row r="899" spans="6:6" ht="15.75" customHeight="1">
      <c r="F899" s="219"/>
    </row>
    <row r="900" spans="6:6" ht="15.75" customHeight="1">
      <c r="F900" s="219"/>
    </row>
    <row r="901" spans="6:6" ht="15.75" customHeight="1">
      <c r="F901" s="219"/>
    </row>
    <row r="902" spans="6:6" ht="15.75" customHeight="1">
      <c r="F902" s="219"/>
    </row>
    <row r="903" spans="6:6" ht="15.75" customHeight="1">
      <c r="F903" s="219"/>
    </row>
    <row r="904" spans="6:6" ht="15.75" customHeight="1">
      <c r="F904" s="219"/>
    </row>
    <row r="905" spans="6:6" ht="15.75" customHeight="1">
      <c r="F905" s="219"/>
    </row>
    <row r="906" spans="6:6" ht="15.75" customHeight="1">
      <c r="F906" s="219"/>
    </row>
    <row r="907" spans="6:6" ht="15.75" customHeight="1">
      <c r="F907" s="219"/>
    </row>
    <row r="908" spans="6:6" ht="15.75" customHeight="1">
      <c r="F908" s="219"/>
    </row>
    <row r="909" spans="6:6" ht="15.75" customHeight="1">
      <c r="F909" s="219"/>
    </row>
    <row r="910" spans="6:6" ht="15.75" customHeight="1">
      <c r="F910" s="219"/>
    </row>
    <row r="911" spans="6:6" ht="15.75" customHeight="1">
      <c r="F911" s="219"/>
    </row>
    <row r="912" spans="6:6" ht="15.75" customHeight="1">
      <c r="F912" s="219"/>
    </row>
    <row r="913" spans="6:6" ht="15.75" customHeight="1">
      <c r="F913" s="219"/>
    </row>
    <row r="914" spans="6:6" ht="15.75" customHeight="1">
      <c r="F914" s="219"/>
    </row>
    <row r="915" spans="6:6" ht="15.75" customHeight="1">
      <c r="F915" s="219"/>
    </row>
    <row r="916" spans="6:6" ht="15.75" customHeight="1">
      <c r="F916" s="219"/>
    </row>
    <row r="917" spans="6:6" ht="15.75" customHeight="1">
      <c r="F917" s="219"/>
    </row>
    <row r="918" spans="6:6" ht="15.75" customHeight="1">
      <c r="F918" s="219"/>
    </row>
    <row r="919" spans="6:6" ht="15.75" customHeight="1">
      <c r="F919" s="219"/>
    </row>
    <row r="920" spans="6:6" ht="15.75" customHeight="1">
      <c r="F920" s="219"/>
    </row>
    <row r="921" spans="6:6" ht="15.75" customHeight="1">
      <c r="F921" s="219"/>
    </row>
    <row r="922" spans="6:6" ht="15.75" customHeight="1">
      <c r="F922" s="219"/>
    </row>
    <row r="923" spans="6:6" ht="15.75" customHeight="1">
      <c r="F923" s="219"/>
    </row>
    <row r="924" spans="6:6" ht="15.75" customHeight="1">
      <c r="F924" s="219"/>
    </row>
    <row r="925" spans="6:6" ht="15.75" customHeight="1">
      <c r="F925" s="219"/>
    </row>
    <row r="926" spans="6:6" ht="15.75" customHeight="1">
      <c r="F926" s="219"/>
    </row>
    <row r="927" spans="6:6" ht="15.75" customHeight="1">
      <c r="F927" s="219"/>
    </row>
    <row r="928" spans="6:6" ht="15.75" customHeight="1">
      <c r="F928" s="219"/>
    </row>
    <row r="929" spans="6:6" ht="15.75" customHeight="1">
      <c r="F929" s="219"/>
    </row>
    <row r="930" spans="6:6" ht="15.75" customHeight="1">
      <c r="F930" s="219"/>
    </row>
    <row r="931" spans="6:6" ht="15.75" customHeight="1">
      <c r="F931" s="219"/>
    </row>
    <row r="932" spans="6:6" ht="15.75" customHeight="1">
      <c r="F932" s="219"/>
    </row>
    <row r="933" spans="6:6" ht="15.75" customHeight="1">
      <c r="F933" s="219"/>
    </row>
    <row r="934" spans="6:6" ht="15.75" customHeight="1">
      <c r="F934" s="219"/>
    </row>
    <row r="935" spans="6:6" ht="15.75" customHeight="1">
      <c r="F935" s="219"/>
    </row>
    <row r="936" spans="6:6" ht="15.75" customHeight="1">
      <c r="F936" s="219"/>
    </row>
    <row r="937" spans="6:6" ht="15.75" customHeight="1">
      <c r="F937" s="219"/>
    </row>
    <row r="938" spans="6:6" ht="15.75" customHeight="1">
      <c r="F938" s="219"/>
    </row>
    <row r="939" spans="6:6" ht="15.75" customHeight="1">
      <c r="F939" s="219"/>
    </row>
    <row r="940" spans="6:6" ht="15.75" customHeight="1">
      <c r="F940" s="219"/>
    </row>
    <row r="941" spans="6:6" ht="15.75" customHeight="1">
      <c r="F941" s="219"/>
    </row>
    <row r="942" spans="6:6" ht="15.75" customHeight="1">
      <c r="F942" s="219"/>
    </row>
    <row r="943" spans="6:6" ht="15.75" customHeight="1">
      <c r="F943" s="219"/>
    </row>
    <row r="944" spans="6:6" ht="15.75" customHeight="1">
      <c r="F944" s="219"/>
    </row>
    <row r="945" spans="6:6" ht="15.75" customHeight="1">
      <c r="F945" s="219"/>
    </row>
    <row r="946" spans="6:6" ht="15.75" customHeight="1">
      <c r="F946" s="219"/>
    </row>
    <row r="947" spans="6:6" ht="15.75" customHeight="1">
      <c r="F947" s="219"/>
    </row>
    <row r="948" spans="6:6" ht="15.75" customHeight="1">
      <c r="F948" s="219"/>
    </row>
    <row r="949" spans="6:6" ht="15.75" customHeight="1">
      <c r="F949" s="219"/>
    </row>
    <row r="950" spans="6:6" ht="15.75" customHeight="1">
      <c r="F950" s="219"/>
    </row>
    <row r="951" spans="6:6" ht="15.75" customHeight="1">
      <c r="F951" s="219"/>
    </row>
    <row r="952" spans="6:6" ht="15.75" customHeight="1">
      <c r="F952" s="219"/>
    </row>
    <row r="953" spans="6:6" ht="15.75" customHeight="1">
      <c r="F953" s="219"/>
    </row>
    <row r="954" spans="6:6" ht="15.75" customHeight="1">
      <c r="F954" s="219"/>
    </row>
    <row r="955" spans="6:6" ht="15.75" customHeight="1">
      <c r="F955" s="219"/>
    </row>
    <row r="956" spans="6:6" ht="15.75" customHeight="1">
      <c r="F956" s="219"/>
    </row>
    <row r="957" spans="6:6" ht="15.75" customHeight="1">
      <c r="F957" s="219"/>
    </row>
    <row r="958" spans="6:6" ht="15.75" customHeight="1">
      <c r="F958" s="219"/>
    </row>
    <row r="959" spans="6:6" ht="15.75" customHeight="1">
      <c r="F959" s="219"/>
    </row>
    <row r="960" spans="6:6" ht="15.75" customHeight="1">
      <c r="F960" s="219"/>
    </row>
    <row r="961" spans="6:6" ht="15.75" customHeight="1">
      <c r="F961" s="219"/>
    </row>
    <row r="962" spans="6:6" ht="15.75" customHeight="1">
      <c r="F962" s="219"/>
    </row>
    <row r="963" spans="6:6" ht="15.75" customHeight="1">
      <c r="F963" s="219"/>
    </row>
    <row r="964" spans="6:6" ht="15.75" customHeight="1">
      <c r="F964" s="219"/>
    </row>
    <row r="965" spans="6:6" ht="15.75" customHeight="1">
      <c r="F965" s="219"/>
    </row>
    <row r="966" spans="6:6" ht="15.75" customHeight="1">
      <c r="F966" s="219"/>
    </row>
    <row r="967" spans="6:6" ht="15.75" customHeight="1">
      <c r="F967" s="219"/>
    </row>
    <row r="968" spans="6:6" ht="15.75" customHeight="1">
      <c r="F968" s="219"/>
    </row>
    <row r="969" spans="6:6" ht="15.75" customHeight="1">
      <c r="F969" s="219"/>
    </row>
    <row r="970" spans="6:6" ht="15.75" customHeight="1">
      <c r="F970" s="219"/>
    </row>
    <row r="971" spans="6:6" ht="15.75" customHeight="1">
      <c r="F971" s="219"/>
    </row>
    <row r="972" spans="6:6" ht="15.75" customHeight="1">
      <c r="F972" s="219"/>
    </row>
    <row r="973" spans="6:6" ht="15.75" customHeight="1">
      <c r="F973" s="219"/>
    </row>
    <row r="974" spans="6:6" ht="15.75" customHeight="1">
      <c r="F974" s="219"/>
    </row>
    <row r="975" spans="6:6" ht="15.75" customHeight="1">
      <c r="F975" s="219"/>
    </row>
    <row r="976" spans="6:6" ht="15.75" customHeight="1">
      <c r="F976" s="219"/>
    </row>
    <row r="977" spans="6:6" ht="15.75" customHeight="1">
      <c r="F977" s="219"/>
    </row>
    <row r="978" spans="6:6" ht="15.75" customHeight="1">
      <c r="F978" s="219"/>
    </row>
    <row r="979" spans="6:6" ht="15.75" customHeight="1">
      <c r="F979" s="219"/>
    </row>
    <row r="980" spans="6:6" ht="15.75" customHeight="1">
      <c r="F980" s="219"/>
    </row>
    <row r="981" spans="6:6" ht="15.75" customHeight="1">
      <c r="F981" s="219"/>
    </row>
    <row r="982" spans="6:6" ht="15.75" customHeight="1">
      <c r="F982" s="219"/>
    </row>
    <row r="983" spans="6:6" ht="15.75" customHeight="1">
      <c r="F983" s="219"/>
    </row>
    <row r="984" spans="6:6" ht="15.75" customHeight="1">
      <c r="F984" s="219"/>
    </row>
    <row r="985" spans="6:6" ht="15.75" customHeight="1">
      <c r="F985" s="219"/>
    </row>
    <row r="986" spans="6:6" ht="15.75" customHeight="1">
      <c r="F986" s="219"/>
    </row>
    <row r="987" spans="6:6" ht="15.75" customHeight="1">
      <c r="F987" s="219"/>
    </row>
    <row r="988" spans="6:6" ht="15.75" customHeight="1">
      <c r="F988" s="219"/>
    </row>
    <row r="989" spans="6:6" ht="15.75" customHeight="1">
      <c r="F989" s="219"/>
    </row>
    <row r="990" spans="6:6" ht="15.75" customHeight="1">
      <c r="F990" s="219"/>
    </row>
    <row r="991" spans="6:6" ht="15.75" customHeight="1">
      <c r="F991" s="219"/>
    </row>
    <row r="992" spans="6:6" ht="15.75" customHeight="1">
      <c r="F992" s="219"/>
    </row>
    <row r="993" spans="6:6" ht="15.75" customHeight="1">
      <c r="F993" s="219"/>
    </row>
    <row r="994" spans="6:6" ht="15.75" customHeight="1">
      <c r="F994" s="219"/>
    </row>
    <row r="995" spans="6:6" ht="15.75" customHeight="1">
      <c r="F995" s="219"/>
    </row>
    <row r="996" spans="6:6" ht="15.75" customHeight="1">
      <c r="F996" s="219"/>
    </row>
    <row r="997" spans="6:6" ht="15.75" customHeight="1">
      <c r="F997" s="219"/>
    </row>
    <row r="998" spans="6:6" ht="15.75" customHeight="1">
      <c r="F998" s="219"/>
    </row>
    <row r="999" spans="6:6" ht="15.75" customHeight="1">
      <c r="F999" s="219"/>
    </row>
    <row r="1000" spans="6:6" ht="15.75" customHeight="1">
      <c r="F1000" s="219"/>
    </row>
  </sheetData>
  <autoFilter ref="A1:F48" xr:uid="{00000000-0009-0000-0000-000009000000}"/>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AU661"/>
  <sheetViews>
    <sheetView tabSelected="1" zoomScaleNormal="100" workbookViewId="0">
      <pane xSplit="2" topLeftCell="C1" activePane="topRight" state="frozen"/>
      <selection pane="topRight" activeCell="N4" sqref="N4"/>
    </sheetView>
  </sheetViews>
  <sheetFormatPr defaultColWidth="14.453125" defaultRowHeight="15" customHeight="1"/>
  <cols>
    <col min="1" max="1" width="3.453125" customWidth="1"/>
    <col min="2" max="2" width="14.81640625" customWidth="1"/>
    <col min="3" max="3" width="5.81640625" customWidth="1"/>
    <col min="4" max="4" width="10.81640625" customWidth="1"/>
    <col min="5" max="5" width="10.81640625" style="224" customWidth="1"/>
    <col min="6" max="6" width="14.453125" customWidth="1"/>
    <col min="7" max="7" width="13.453125" customWidth="1"/>
    <col min="8" max="8" width="10.453125" customWidth="1"/>
    <col min="9" max="9" width="3" customWidth="1"/>
    <col min="10" max="10" width="14.453125" customWidth="1"/>
    <col min="11" max="11" width="16.453125" customWidth="1"/>
    <col min="12" max="12" width="15.81640625" customWidth="1"/>
    <col min="13" max="13" width="13.453125" customWidth="1"/>
    <col min="14" max="14" width="12.81640625" customWidth="1"/>
    <col min="15" max="15" width="7.453125" customWidth="1"/>
    <col min="16" max="16" width="11.453125" customWidth="1"/>
    <col min="17" max="17" width="9" customWidth="1"/>
    <col min="18" max="18" width="6.453125" customWidth="1"/>
    <col min="19" max="19" width="21.453125" customWidth="1"/>
    <col min="20" max="22" width="10.453125" customWidth="1"/>
    <col min="23" max="23" width="9.1796875" bestFit="1" customWidth="1"/>
    <col min="24" max="24" width="18.36328125" bestFit="1" customWidth="1"/>
    <col min="25" max="25" width="15.6328125" bestFit="1" customWidth="1"/>
    <col min="26" max="26" width="2.81640625" customWidth="1"/>
    <col min="27" max="27" width="13.1796875" style="9" customWidth="1"/>
    <col min="28" max="28" width="12.453125" customWidth="1"/>
    <col min="29" max="29" width="8.453125" customWidth="1"/>
    <col min="30" max="30" width="24.81640625" customWidth="1"/>
    <col min="31" max="33" width="15" customWidth="1"/>
    <col min="34" max="34" width="19.453125" customWidth="1"/>
    <col min="35" max="35" width="10.453125" customWidth="1"/>
    <col min="36" max="36" width="13.453125" customWidth="1"/>
    <col min="37" max="37" width="10.453125" customWidth="1"/>
    <col min="38" max="38" width="21.453125" customWidth="1"/>
    <col min="39" max="39" width="36.453125" customWidth="1"/>
    <col min="40" max="40" width="9.453125" customWidth="1"/>
    <col min="41" max="41" width="14.453125" customWidth="1"/>
    <col min="42" max="42" width="18.453125" customWidth="1"/>
    <col min="43" max="43" width="22.81640625" customWidth="1"/>
    <col min="44" max="44" width="19.1796875" customWidth="1"/>
    <col min="45" max="45" width="9.453125" customWidth="1"/>
    <col min="46" max="46" width="32.453125" customWidth="1"/>
    <col min="47" max="47" width="4.1796875" customWidth="1"/>
  </cols>
  <sheetData>
    <row r="1" spans="1:47" ht="14.25" customHeight="1">
      <c r="A1" s="1"/>
      <c r="B1" s="3"/>
      <c r="C1" s="1"/>
      <c r="D1" s="1"/>
      <c r="E1" s="1"/>
      <c r="F1" s="1"/>
      <c r="G1" s="1"/>
      <c r="H1" s="1"/>
      <c r="I1" s="1"/>
      <c r="J1" s="257" t="s">
        <v>1</v>
      </c>
      <c r="K1" s="251"/>
      <c r="L1" s="251"/>
      <c r="M1" s="251"/>
      <c r="N1" s="251"/>
      <c r="O1" s="251"/>
      <c r="P1" s="251"/>
      <c r="Q1" s="251"/>
      <c r="R1" s="251"/>
      <c r="S1" s="251"/>
      <c r="T1" s="251"/>
      <c r="U1" s="251"/>
      <c r="V1" s="251"/>
      <c r="W1" s="251"/>
      <c r="X1" s="251"/>
      <c r="Y1" s="252"/>
      <c r="Z1" s="1"/>
      <c r="AA1" s="255" t="s">
        <v>5</v>
      </c>
      <c r="AB1" s="251"/>
      <c r="AC1" s="251"/>
      <c r="AD1" s="251"/>
      <c r="AE1" s="251"/>
      <c r="AF1" s="251"/>
      <c r="AG1" s="251"/>
      <c r="AH1" s="251"/>
      <c r="AI1" s="251"/>
      <c r="AJ1" s="251"/>
      <c r="AK1" s="251"/>
      <c r="AL1" s="251"/>
      <c r="AM1" s="252"/>
      <c r="AN1" s="1"/>
      <c r="AO1" s="255" t="s">
        <v>8</v>
      </c>
      <c r="AP1" s="251"/>
      <c r="AQ1" s="251"/>
      <c r="AR1" s="252"/>
      <c r="AS1" s="1"/>
      <c r="AT1" s="6" t="s">
        <v>10</v>
      </c>
      <c r="AU1" s="1"/>
    </row>
    <row r="2" spans="1:47" ht="29">
      <c r="A2" s="1"/>
      <c r="B2" s="3"/>
      <c r="C2" s="1"/>
      <c r="D2" s="1"/>
      <c r="E2" s="1"/>
      <c r="F2" s="1"/>
      <c r="G2" s="1"/>
      <c r="H2" s="1"/>
      <c r="I2" s="1"/>
      <c r="J2" s="13"/>
      <c r="K2" s="13"/>
      <c r="L2" s="1"/>
      <c r="M2" s="254" t="s">
        <v>12</v>
      </c>
      <c r="N2" s="251"/>
      <c r="O2" s="251"/>
      <c r="P2" s="251"/>
      <c r="Q2" s="251"/>
      <c r="R2" s="251"/>
      <c r="S2" s="252"/>
      <c r="T2" s="253" t="s">
        <v>13</v>
      </c>
      <c r="U2" s="251"/>
      <c r="V2" s="251"/>
      <c r="W2" s="251"/>
      <c r="X2" s="252"/>
      <c r="Y2" s="17" t="s">
        <v>16</v>
      </c>
      <c r="Z2" s="1"/>
      <c r="AA2" s="253" t="s">
        <v>17</v>
      </c>
      <c r="AB2" s="251"/>
      <c r="AC2" s="251"/>
      <c r="AD2" s="252"/>
      <c r="AE2" s="250" t="s">
        <v>19</v>
      </c>
      <c r="AF2" s="251"/>
      <c r="AG2" s="251"/>
      <c r="AH2" s="252"/>
      <c r="AI2" s="253" t="s">
        <v>21</v>
      </c>
      <c r="AJ2" s="251"/>
      <c r="AK2" s="251"/>
      <c r="AL2" s="252"/>
      <c r="AM2" s="19" t="s">
        <v>22</v>
      </c>
      <c r="AN2" s="1"/>
      <c r="AO2" s="256" t="s">
        <v>24</v>
      </c>
      <c r="AP2" s="251"/>
      <c r="AQ2" s="251"/>
      <c r="AR2" s="252"/>
      <c r="AS2" s="1"/>
      <c r="AT2" s="22" t="s">
        <v>26</v>
      </c>
      <c r="AU2" s="1"/>
    </row>
    <row r="3" spans="1:47" ht="72.5">
      <c r="A3" s="23" t="s">
        <v>27</v>
      </c>
      <c r="B3" s="24" t="s">
        <v>28</v>
      </c>
      <c r="C3" s="23" t="s">
        <v>30</v>
      </c>
      <c r="D3" s="23" t="s">
        <v>31</v>
      </c>
      <c r="E3" s="239" t="s">
        <v>302</v>
      </c>
      <c r="F3" s="23" t="s">
        <v>32</v>
      </c>
      <c r="G3" s="23" t="s">
        <v>34</v>
      </c>
      <c r="H3" s="26" t="s">
        <v>35</v>
      </c>
      <c r="I3" s="23"/>
      <c r="J3" s="28" t="s">
        <v>37</v>
      </c>
      <c r="K3" s="30" t="s">
        <v>39</v>
      </c>
      <c r="L3" s="23" t="s">
        <v>41</v>
      </c>
      <c r="M3" s="243" t="s">
        <v>308</v>
      </c>
      <c r="N3" s="32" t="s">
        <v>43</v>
      </c>
      <c r="O3" s="32" t="s">
        <v>44</v>
      </c>
      <c r="P3" s="32" t="s">
        <v>46</v>
      </c>
      <c r="Q3" s="32" t="s">
        <v>47</v>
      </c>
      <c r="R3" s="32" t="s">
        <v>49</v>
      </c>
      <c r="S3" s="37" t="s">
        <v>50</v>
      </c>
      <c r="T3" s="38" t="s">
        <v>44</v>
      </c>
      <c r="U3" s="38" t="s">
        <v>46</v>
      </c>
      <c r="V3" s="38" t="s">
        <v>47</v>
      </c>
      <c r="W3" s="38" t="s">
        <v>49</v>
      </c>
      <c r="X3" s="39" t="s">
        <v>50</v>
      </c>
      <c r="Y3" s="37" t="s">
        <v>53</v>
      </c>
      <c r="Z3" s="23"/>
      <c r="AA3" s="244" t="s">
        <v>54</v>
      </c>
      <c r="AB3" s="41" t="s">
        <v>55</v>
      </c>
      <c r="AC3" s="38" t="s">
        <v>56</v>
      </c>
      <c r="AD3" s="39" t="s">
        <v>58</v>
      </c>
      <c r="AE3" s="32" t="s">
        <v>59</v>
      </c>
      <c r="AF3" s="32" t="s">
        <v>60</v>
      </c>
      <c r="AG3" s="32" t="s">
        <v>61</v>
      </c>
      <c r="AH3" s="37" t="s">
        <v>50</v>
      </c>
      <c r="AI3" s="38" t="s">
        <v>63</v>
      </c>
      <c r="AJ3" s="42" t="s">
        <v>64</v>
      </c>
      <c r="AK3" s="38" t="s">
        <v>65</v>
      </c>
      <c r="AL3" s="39" t="s">
        <v>50</v>
      </c>
      <c r="AM3" s="37" t="s">
        <v>53</v>
      </c>
      <c r="AN3" s="23"/>
      <c r="AO3" s="45" t="s">
        <v>67</v>
      </c>
      <c r="AP3" s="50" t="s">
        <v>71</v>
      </c>
      <c r="AQ3" s="45" t="s">
        <v>74</v>
      </c>
      <c r="AR3" s="52" t="s">
        <v>75</v>
      </c>
      <c r="AS3" s="23"/>
      <c r="AT3" s="39" t="s">
        <v>53</v>
      </c>
      <c r="AU3" s="23"/>
    </row>
    <row r="4" spans="1:47" ht="14.25" customHeight="1">
      <c r="A4" s="1">
        <v>1</v>
      </c>
      <c r="B4" s="3" t="s">
        <v>76</v>
      </c>
      <c r="C4" s="1">
        <v>2019</v>
      </c>
      <c r="D4" s="13">
        <f>VLOOKUP(B4,Population!$B$1:$O$48,3,FALSE)</f>
        <v>7289191.0349999992</v>
      </c>
      <c r="E4" s="13" t="str">
        <f>IF(D4&lt;100000,"Small",IF(D4&lt;1000000,"Medium","Large"))</f>
        <v>Large</v>
      </c>
      <c r="F4" s="54">
        <f>VLOOKUP(B4,'Household Information'!$B$1:$E$48,2,FALSE)</f>
        <v>2.8458153079093123</v>
      </c>
      <c r="G4" s="54">
        <f t="shared" ref="G4:G567" si="0">D4/F4</f>
        <v>2561371.7849999997</v>
      </c>
      <c r="H4" s="55">
        <f>VLOOKUP(B4,Area!$B$2:$F$48,5,FALSE)</f>
        <v>418.2688494446499</v>
      </c>
      <c r="I4" s="55"/>
      <c r="J4" s="13">
        <f>H4*Variables!$C$21</f>
        <v>7528.8392900036979</v>
      </c>
      <c r="K4" s="13">
        <v>13984</v>
      </c>
      <c r="L4" s="54">
        <f t="shared" ref="L4:L567" si="1">IF(J4-K4&lt;0,0,J4-K4)</f>
        <v>0</v>
      </c>
      <c r="M4" s="56">
        <f>1-VLOOKUP(B4,'Road Pavement Percentage'!$B$2:$F$48,5,FALSE)</f>
        <v>0.24309999999999998</v>
      </c>
      <c r="N4" s="57">
        <f>(M4)*K4</f>
        <v>3399.5103999999997</v>
      </c>
      <c r="O4" s="57">
        <f>Variables!$C$22*'Cost Calculations'!$N4/100</f>
        <v>184.58879999999996</v>
      </c>
      <c r="P4" s="57">
        <f>Variables!$C$23*'Cost Calculations'!$N4/100</f>
        <v>323.03039999999999</v>
      </c>
      <c r="Q4" s="57">
        <f>Variables!$C$24*'Cost Calculations'!$N4/100</f>
        <v>338.4128</v>
      </c>
      <c r="R4" s="57">
        <f>Variables!$C$25*'Cost Calculations'!$N4/100</f>
        <v>2461.1839999999997</v>
      </c>
      <c r="S4" s="58">
        <f>O4*Variables!$C$18*Variables!$E$31+P4*Variables!$C$18*Variables!$E$32+('Cost Calculations'!Q4+'Cost Calculations'!R4)*Variables!$C$18*Variables!$E$33</f>
        <v>24591796.462069765</v>
      </c>
      <c r="T4" s="59">
        <f>$L4*Variables!$C$22/100</f>
        <v>0</v>
      </c>
      <c r="U4" s="59">
        <f>$L4*Variables!$C$23/100</f>
        <v>0</v>
      </c>
      <c r="V4" s="59">
        <f>$L4*Variables!$C$24/100</f>
        <v>0</v>
      </c>
      <c r="W4" s="59">
        <f>$L4*Variables!$C$25/100</f>
        <v>0</v>
      </c>
      <c r="X4" s="62">
        <f>T4*Variables!$E$26*Variables!$C$18+'Cost Calculations'!U4*Variables!$E$27*Variables!$C$18+'Cost Calculations'!V4*Variables!$E$28*Variables!$C$18+W4*Variables!$E$29*Variables!$C$18</f>
        <v>0</v>
      </c>
      <c r="Y4" s="58">
        <f>J4*Variables!$E$30</f>
        <v>4931389.7349524219</v>
      </c>
      <c r="Z4" s="1"/>
      <c r="AA4" s="245">
        <f>D4*(IF(D4&lt;Variables!$C$7,Variables!$C$38,IF(D4&gt;Variables!$C$6,Variables!$C$36,Variables!$C$37)))</f>
        <v>8747.0292419999987</v>
      </c>
      <c r="AB4" s="64">
        <f>ROUND(3880+0.2*8408,0)</f>
        <v>5562</v>
      </c>
      <c r="AC4" s="66">
        <f t="shared" ref="AC4:AC567" si="2">IF(AA4-AB4&lt;0,0,ROUND(AA4-AB4,0))</f>
        <v>3185</v>
      </c>
      <c r="AD4" s="62">
        <f>AC4*Variables!$E$41</f>
        <v>1712256000</v>
      </c>
      <c r="AE4" s="71">
        <f>ROUND((H4/(3.14*Variables!$C$35^2)),0)</f>
        <v>533</v>
      </c>
      <c r="AF4" s="17">
        <v>853</v>
      </c>
      <c r="AG4" s="57">
        <f t="shared" ref="AG4:AG567" si="3">IF(AE4-AF4&lt;0,0,ROUND(AE4-AF4,0))</f>
        <v>0</v>
      </c>
      <c r="AH4" s="58">
        <f>AG4*Variables!$E$42*Variables!$C$18</f>
        <v>0</v>
      </c>
      <c r="AI4" s="73">
        <f t="shared" ref="AI4:AI567" si="4">ROUND(AA4/120,0)</f>
        <v>73</v>
      </c>
      <c r="AJ4" s="73">
        <v>9</v>
      </c>
      <c r="AK4" s="73">
        <f t="shared" ref="AK4:AK567" si="5">IF(AI4-AJ4&lt;0,0,AI4-AJ4)</f>
        <v>64</v>
      </c>
      <c r="AL4" s="62">
        <f>IF(AK4*Variables!$E$43*Variables!$C$18&lt;0,0,AK4*Variables!$E$43*Variables!$C$18)</f>
        <v>60504415.487999998</v>
      </c>
      <c r="AM4" s="226">
        <f>AA4*Variables!$E$39*Variables!$C$18</f>
        <v>2528349048.3082037</v>
      </c>
      <c r="AN4" s="1"/>
      <c r="AO4" s="75">
        <f>Variables!C10*0.67</f>
        <v>0.68340000000000001</v>
      </c>
      <c r="AP4" s="76">
        <f t="shared" ref="AP4:AP567" si="6">AO4*2*30*F4</f>
        <v>116.68981088551344</v>
      </c>
      <c r="AQ4" s="75">
        <f>VLOOKUP(B4,'Household Information'!$B$2:$E$48,4,FALSE)</f>
        <v>91.36</v>
      </c>
      <c r="AR4" s="79">
        <f>IF(12*(AP4-Variables!$C$45*AQ4*F4)*(G4/5)&lt;0,0,12*(AP4-Variables!$C$45*AQ4*F4)*(G4/5))</f>
        <v>477587796.61320001</v>
      </c>
      <c r="AS4" s="1"/>
      <c r="AT4" s="62">
        <f t="shared" ref="AT4:AT22" si="7">IF(D4&lt;100000,100000,350000)</f>
        <v>350000</v>
      </c>
      <c r="AU4" s="1"/>
    </row>
    <row r="5" spans="1:47" ht="14.25" customHeight="1">
      <c r="A5" s="1">
        <v>2</v>
      </c>
      <c r="B5" s="3" t="s">
        <v>87</v>
      </c>
      <c r="C5" s="1">
        <v>2019</v>
      </c>
      <c r="D5" s="13">
        <f>VLOOKUP(B5,Population!$B$1:$O$48,3,FALSE)</f>
        <v>2407914.9499999997</v>
      </c>
      <c r="E5" s="13" t="str">
        <f t="shared" ref="E5:E68" si="8">IF(D5&lt;100000,"Small",IF(D5&lt;1000000,"Medium","Large"))</f>
        <v>Large</v>
      </c>
      <c r="F5" s="54">
        <f>VLOOKUP(B5,'Household Information'!$B$1:$E$48,2,FALSE)</f>
        <v>2.6591126390039355</v>
      </c>
      <c r="G5" s="54">
        <f t="shared" si="0"/>
        <v>905533.2649999999</v>
      </c>
      <c r="H5" s="55">
        <f>VLOOKUP(B5,Area!$B$2:$F$48,5,FALSE)</f>
        <v>119.58406164038337</v>
      </c>
      <c r="I5" s="55"/>
      <c r="J5" s="13">
        <f>H5*Variables!$C$21</f>
        <v>2152.5131095269007</v>
      </c>
      <c r="K5" s="13">
        <v>1803</v>
      </c>
      <c r="L5" s="54">
        <f t="shared" si="1"/>
        <v>349.51310952690073</v>
      </c>
      <c r="M5" s="56">
        <f>1-VLOOKUP(B5,'Road Pavement Percentage'!$B$2:$F$48,5,FALSE)</f>
        <v>1.2716665078407074E-2</v>
      </c>
      <c r="N5" s="57">
        <f t="shared" ref="N5:N49" si="9">(M5)*K5</f>
        <v>22.928147136367954</v>
      </c>
      <c r="O5" s="57">
        <f>Variables!$C$22*'Cost Calculations'!$N5/100</f>
        <v>1.2449672653231467</v>
      </c>
      <c r="P5" s="57">
        <f>Variables!$C$23*'Cost Calculations'!$N5/100</f>
        <v>2.178692714315507</v>
      </c>
      <c r="Q5" s="57">
        <f>Variables!$C$24*'Cost Calculations'!$N5/100</f>
        <v>2.2824399864257692</v>
      </c>
      <c r="R5" s="57">
        <f>Variables!$C$25*'Cost Calculations'!$N5/100</f>
        <v>16.599563537641956</v>
      </c>
      <c r="S5" s="58">
        <f>O5*Variables!$C$18*Variables!$E$31+P5*Variables!$C$18*Variables!$E$32+('Cost Calculations'!Q5+'Cost Calculations'!R5)*Variables!$C$18*Variables!$E$33</f>
        <v>165860.45085490792</v>
      </c>
      <c r="T5" s="59">
        <f>$L5*Variables!$C$22/100</f>
        <v>18.978087395125829</v>
      </c>
      <c r="U5" s="59">
        <f>$L5*Variables!$C$23/100</f>
        <v>33.211652941470206</v>
      </c>
      <c r="V5" s="59">
        <f>$L5*Variables!$C$24/100</f>
        <v>34.793160224397354</v>
      </c>
      <c r="W5" s="59">
        <f>$L5*Variables!$C$25/100</f>
        <v>253.0411652683444</v>
      </c>
      <c r="X5" s="62">
        <f>T5*Variables!$E$26*Variables!$C$18+'Cost Calculations'!U5*Variables!$E$27*Variables!$C$18+'Cost Calculations'!V5*Variables!$E$28*Variables!$C$18+W5*Variables!$E$29*Variables!$C$18</f>
        <v>397301330.05875838</v>
      </c>
      <c r="Y5" s="58">
        <f>J5*Variables!$E$30</f>
        <v>1409896.0867401201</v>
      </c>
      <c r="Z5" s="1"/>
      <c r="AA5" s="245">
        <f>D5*(IF(D5&lt;Variables!$C$7,Variables!$C$38,IF(D5&gt;Variables!$C$6,Variables!$C$36,Variables!$C$37)))</f>
        <v>2889.4979399999993</v>
      </c>
      <c r="AB5" s="97">
        <f>ROUND(2827+3.2*574,0)</f>
        <v>4664</v>
      </c>
      <c r="AC5" s="66">
        <f t="shared" si="2"/>
        <v>0</v>
      </c>
      <c r="AD5" s="62">
        <f>AC5*Variables!$E$41</f>
        <v>0</v>
      </c>
      <c r="AE5" s="71">
        <f>ROUND((H5/(3.14*Variables!$C$35^2)),0)</f>
        <v>152</v>
      </c>
      <c r="AF5" s="101">
        <v>0</v>
      </c>
      <c r="AG5" s="57">
        <f t="shared" si="3"/>
        <v>152</v>
      </c>
      <c r="AH5" s="58">
        <f>AG5*Variables!$E$42*Variables!$C$18</f>
        <v>174534.91200000001</v>
      </c>
      <c r="AI5" s="73">
        <f t="shared" si="4"/>
        <v>24</v>
      </c>
      <c r="AJ5" s="73">
        <v>2</v>
      </c>
      <c r="AK5" s="73">
        <f t="shared" si="5"/>
        <v>22</v>
      </c>
      <c r="AL5" s="62">
        <f>IF(AK5*Variables!$E$43*Variables!$C$18&lt;0,0,AK5*Variables!$E$43*Variables!$C$18)</f>
        <v>20798392.824000001</v>
      </c>
      <c r="AM5" s="58">
        <f>AA5*Variables!$E$39*Variables!$C$18</f>
        <v>835216067.60023618</v>
      </c>
      <c r="AN5" s="1"/>
      <c r="AO5" s="75">
        <f>Variables!C10*0.74</f>
        <v>0.75480000000000003</v>
      </c>
      <c r="AP5" s="76">
        <f t="shared" si="6"/>
        <v>120.42589319521024</v>
      </c>
      <c r="AQ5" s="75">
        <f>VLOOKUP(B5,'Household Information'!$B$2:$E$48,4,FALSE)</f>
        <v>73.64</v>
      </c>
      <c r="AR5" s="79">
        <f>IF(12*(AP5-Variables!$C$45*AQ5*F5)*(G5/5)&lt;0,0,12*(AP5-Variables!$C$45*AQ5*F5)*(G5/5))</f>
        <v>197884376.92296001</v>
      </c>
      <c r="AS5" s="1"/>
      <c r="AT5" s="62">
        <f t="shared" si="7"/>
        <v>350000</v>
      </c>
      <c r="AU5" s="1"/>
    </row>
    <row r="6" spans="1:47" ht="14.25" customHeight="1">
      <c r="A6" s="1">
        <v>3</v>
      </c>
      <c r="B6" s="3" t="s">
        <v>103</v>
      </c>
      <c r="C6" s="1">
        <v>2019</v>
      </c>
      <c r="D6" s="13">
        <f>VLOOKUP(B6,Population!$B$1:$O$48,3,FALSE)</f>
        <v>1850212.0349999999</v>
      </c>
      <c r="E6" s="13" t="str">
        <f t="shared" si="8"/>
        <v>Large</v>
      </c>
      <c r="F6" s="54">
        <f>VLOOKUP(B6,'Household Information'!$B$1:$E$48,2,FALSE)</f>
        <v>2.6407866430045996</v>
      </c>
      <c r="G6" s="54">
        <f t="shared" si="0"/>
        <v>700629.125</v>
      </c>
      <c r="H6" s="55">
        <f>VLOOKUP(B6,Area!$B$2:$F$48,5,FALSE)</f>
        <v>224.70642399999997</v>
      </c>
      <c r="I6" s="55"/>
      <c r="J6" s="13">
        <f>H6*Variables!$C$21</f>
        <v>4044.7156319999995</v>
      </c>
      <c r="K6" s="106">
        <v>966.67</v>
      </c>
      <c r="L6" s="54">
        <f t="shared" si="1"/>
        <v>3078.0456319999994</v>
      </c>
      <c r="M6" s="56">
        <f>1-VLOOKUP(B6,'Road Pavement Percentage'!$B$2:$F$48,5,FALSE)</f>
        <v>0</v>
      </c>
      <c r="N6" s="57">
        <f t="shared" si="9"/>
        <v>0</v>
      </c>
      <c r="O6" s="57">
        <f>Variables!$C$22*'Cost Calculations'!$N6/100</f>
        <v>0</v>
      </c>
      <c r="P6" s="57">
        <f>Variables!$C$23*'Cost Calculations'!$N6/100</f>
        <v>0</v>
      </c>
      <c r="Q6" s="57">
        <f>Variables!$C$24*'Cost Calculations'!$N6/100</f>
        <v>0</v>
      </c>
      <c r="R6" s="57">
        <f>Variables!$C$25*'Cost Calculations'!$N6/100</f>
        <v>0</v>
      </c>
      <c r="S6" s="58">
        <f>O6*Variables!$C$18*Variables!$E$31+P6*Variables!$C$18*Variables!$E$32+('Cost Calculations'!Q6+'Cost Calculations'!R6)*Variables!$C$18*Variables!$E$33</f>
        <v>0</v>
      </c>
      <c r="T6" s="59">
        <f>$L6*Variables!$C$22/100</f>
        <v>167.13369947511308</v>
      </c>
      <c r="U6" s="59">
        <f>$L6*Variables!$C$23/100</f>
        <v>292.48397408144791</v>
      </c>
      <c r="V6" s="59">
        <f>$L6*Variables!$C$24/100</f>
        <v>306.41178237104066</v>
      </c>
      <c r="W6" s="59">
        <f>$L6*Variables!$C$25/100</f>
        <v>2228.4493263348409</v>
      </c>
      <c r="X6" s="62">
        <f>T6*Variables!$E$26*Variables!$C$18+'Cost Calculations'!U6*Variables!$E$27*Variables!$C$18+'Cost Calculations'!V6*Variables!$E$28*Variables!$C$18+W6*Variables!$E$29*Variables!$C$18</f>
        <v>3498900585.5330539</v>
      </c>
      <c r="Y6" s="58">
        <f>J6*Variables!$E$30</f>
        <v>2649288.7389599998</v>
      </c>
      <c r="Z6" s="1"/>
      <c r="AA6" s="245">
        <f>D6*(IF(D6&lt;Variables!$C$7,Variables!$C$38,IF(D6&gt;Variables!$C$6,Variables!$C$36,Variables!$C$37)))</f>
        <v>2220.2544419999999</v>
      </c>
      <c r="AB6" s="97">
        <f>ROUND(338+0.2*(912+1603),0)</f>
        <v>841</v>
      </c>
      <c r="AC6" s="66">
        <f t="shared" si="2"/>
        <v>1379</v>
      </c>
      <c r="AD6" s="62">
        <f>AC6*Variables!$E$41</f>
        <v>741350400</v>
      </c>
      <c r="AE6" s="71">
        <f>ROUND((H6/(3.14*Variables!$C$35^2)),0)</f>
        <v>286</v>
      </c>
      <c r="AF6" s="101">
        <v>0</v>
      </c>
      <c r="AG6" s="57">
        <f t="shared" si="3"/>
        <v>286</v>
      </c>
      <c r="AH6" s="58">
        <f>AG6*Variables!$E$42*Variables!$C$18</f>
        <v>328401.21600000001</v>
      </c>
      <c r="AI6" s="73">
        <f t="shared" si="4"/>
        <v>19</v>
      </c>
      <c r="AJ6" s="73">
        <v>2</v>
      </c>
      <c r="AK6" s="73">
        <f t="shared" si="5"/>
        <v>17</v>
      </c>
      <c r="AL6" s="62">
        <f>IF(AK6*Variables!$E$43*Variables!$C$18&lt;0,0,AK6*Variables!$E$43*Variables!$C$18)</f>
        <v>16071485.364</v>
      </c>
      <c r="AM6" s="58">
        <f>AA6*Variables!$E$39*Variables!$C$18</f>
        <v>641769685.46971762</v>
      </c>
      <c r="AN6" s="1"/>
      <c r="AO6" s="75">
        <f>Variables!C10*0.6</f>
        <v>0.61199999999999999</v>
      </c>
      <c r="AP6" s="76">
        <f t="shared" si="6"/>
        <v>96.969685531128903</v>
      </c>
      <c r="AQ6" s="75">
        <f>VLOOKUP(B6,'Household Information'!$B$2:$E$48,4,FALSE)</f>
        <v>61.12</v>
      </c>
      <c r="AR6" s="79">
        <f>IF(12*(AP6-Variables!$C$45*AQ6*F6)*(G6/5)&lt;0,0,12*(AP6-Variables!$C$45*AQ6*F6)*(G6/5))</f>
        <v>122344900.77196802</v>
      </c>
      <c r="AS6" s="1"/>
      <c r="AT6" s="62">
        <f t="shared" si="7"/>
        <v>350000</v>
      </c>
      <c r="AU6" s="1"/>
    </row>
    <row r="7" spans="1:47" ht="14.25" customHeight="1">
      <c r="A7" s="1">
        <v>4</v>
      </c>
      <c r="B7" s="3" t="s">
        <v>104</v>
      </c>
      <c r="C7" s="1">
        <v>2019</v>
      </c>
      <c r="D7" s="13">
        <f>VLOOKUP(B7,Population!$B$1:$O$48,3,FALSE)</f>
        <v>1136904.5449999999</v>
      </c>
      <c r="E7" s="13" t="str">
        <f t="shared" si="8"/>
        <v>Large</v>
      </c>
      <c r="F7" s="54">
        <f>VLOOKUP(B7,'Household Information'!$B$1:$E$48,2,FALSE)</f>
        <v>3.2280741697119208</v>
      </c>
      <c r="G7" s="54">
        <f t="shared" si="0"/>
        <v>352192.82</v>
      </c>
      <c r="H7" s="55">
        <f>VLOOKUP(B7,Area!$B$2:$F$48,5,FALSE)</f>
        <v>154</v>
      </c>
      <c r="I7" s="55"/>
      <c r="J7" s="13">
        <f>H7*Variables!$C$21</f>
        <v>2772</v>
      </c>
      <c r="K7" s="13">
        <v>3916</v>
      </c>
      <c r="L7" s="54">
        <f t="shared" si="1"/>
        <v>0</v>
      </c>
      <c r="M7" s="56">
        <f>1-VLOOKUP(B7,'Road Pavement Percentage'!$B$2:$F$48,5,FALSE)</f>
        <v>0.39791937581274395</v>
      </c>
      <c r="N7" s="57">
        <f t="shared" si="9"/>
        <v>1558.2522756827052</v>
      </c>
      <c r="O7" s="57">
        <f>Variables!$C$22*'Cost Calculations'!$N7/100</f>
        <v>84.610983294988515</v>
      </c>
      <c r="P7" s="57">
        <f>Variables!$C$23*'Cost Calculations'!$N7/100</f>
        <v>148.0692207662299</v>
      </c>
      <c r="Q7" s="57">
        <f>Variables!$C$24*'Cost Calculations'!$N7/100</f>
        <v>155.1201360408123</v>
      </c>
      <c r="R7" s="57">
        <f>Variables!$C$25*'Cost Calculations'!$N7/100</f>
        <v>1128.1464439331803</v>
      </c>
      <c r="S7" s="58">
        <f>O7*Variables!$C$18*Variables!$E$31+P7*Variables!$C$18*Variables!$E$32+('Cost Calculations'!Q7+'Cost Calculations'!R7)*Variables!$C$18*Variables!$E$33</f>
        <v>11272276.972632913</v>
      </c>
      <c r="T7" s="59">
        <f>$L7*Variables!$C$22/100</f>
        <v>0</v>
      </c>
      <c r="U7" s="59">
        <f>$L7*Variables!$C$23/100</f>
        <v>0</v>
      </c>
      <c r="V7" s="59">
        <f>$L7*Variables!$C$24/100</f>
        <v>0</v>
      </c>
      <c r="W7" s="59">
        <f>$L7*Variables!$C$25/100</f>
        <v>0</v>
      </c>
      <c r="X7" s="62">
        <f>T7*Variables!$E$26*Variables!$C$18+'Cost Calculations'!U7*Variables!$E$27*Variables!$C$18+'Cost Calculations'!V7*Variables!$E$28*Variables!$C$18+W7*Variables!$E$29*Variables!$C$18</f>
        <v>0</v>
      </c>
      <c r="Y7" s="58">
        <f>J7*Variables!$E$30</f>
        <v>1815660</v>
      </c>
      <c r="Z7" s="1"/>
      <c r="AA7" s="245">
        <f>D7*(IF(D7&lt;Variables!$C$7,Variables!$C$38,IF(D7&gt;Variables!$C$6,Variables!$C$36,Variables!$C$37)))</f>
        <v>1364.2854539999998</v>
      </c>
      <c r="AB7" s="97">
        <f>ROUND(1702+0.2*(729+977),0)</f>
        <v>2043</v>
      </c>
      <c r="AC7" s="66">
        <f t="shared" si="2"/>
        <v>0</v>
      </c>
      <c r="AD7" s="62">
        <f>AC7*Variables!$E$41</f>
        <v>0</v>
      </c>
      <c r="AE7" s="71">
        <f>ROUND((H7/(3.14*Variables!$C$35^2)),0)</f>
        <v>196</v>
      </c>
      <c r="AF7" s="101">
        <v>0</v>
      </c>
      <c r="AG7" s="57">
        <f t="shared" si="3"/>
        <v>196</v>
      </c>
      <c r="AH7" s="58">
        <f>AG7*Variables!$E$42*Variables!$C$18</f>
        <v>225058.17600000001</v>
      </c>
      <c r="AI7" s="73">
        <f t="shared" si="4"/>
        <v>11</v>
      </c>
      <c r="AJ7" s="107">
        <v>2</v>
      </c>
      <c r="AK7" s="73">
        <f t="shared" si="5"/>
        <v>9</v>
      </c>
      <c r="AL7" s="62">
        <f>IF(AK7*Variables!$E$43*Variables!$C$18&lt;0,0,AK7*Variables!$E$43*Variables!$C$18)</f>
        <v>8508433.4279999994</v>
      </c>
      <c r="AM7" s="58">
        <f>AA7*Variables!$E$39*Variables!$C$18</f>
        <v>394349868.25914919</v>
      </c>
      <c r="AN7" s="1"/>
      <c r="AO7" s="75">
        <f>Variables!C11*0.63</f>
        <v>0.6804</v>
      </c>
      <c r="AP7" s="76">
        <f t="shared" si="6"/>
        <v>131.78289990431946</v>
      </c>
      <c r="AQ7" s="75">
        <f>VLOOKUP(B7,'Household Information'!$B$2:$E$48,4,FALSE)</f>
        <v>42.71</v>
      </c>
      <c r="AR7" s="79">
        <f>IF(12*(AP7-Variables!$C$45*AQ7*F7)*(G7/5)&lt;0,0,12*(AP7-Variables!$C$45*AQ7*F7)*(G7/5))</f>
        <v>93910589.226090014</v>
      </c>
      <c r="AS7" s="1"/>
      <c r="AT7" s="62">
        <f t="shared" si="7"/>
        <v>350000</v>
      </c>
      <c r="AU7" s="1"/>
    </row>
    <row r="8" spans="1:47" ht="14.25" customHeight="1">
      <c r="A8" s="1">
        <v>5</v>
      </c>
      <c r="B8" s="3" t="s">
        <v>105</v>
      </c>
      <c r="C8" s="1">
        <v>2019</v>
      </c>
      <c r="D8" s="13">
        <f>VLOOKUP(B8,Population!$B$1:$O$48,3,FALSE)</f>
        <v>536787.82499999995</v>
      </c>
      <c r="E8" s="13" t="str">
        <f t="shared" si="8"/>
        <v>Medium</v>
      </c>
      <c r="F8" s="54">
        <f>VLOOKUP(B8,'Household Information'!$B$1:$E$48,2,FALSE)</f>
        <v>2.791645991913092</v>
      </c>
      <c r="G8" s="54">
        <f t="shared" si="0"/>
        <v>192283.62999999998</v>
      </c>
      <c r="H8" s="55">
        <f>VLOOKUP(B8,Area!$B$2:$F$48,5,FALSE)</f>
        <v>76.806648999999993</v>
      </c>
      <c r="I8" s="55"/>
      <c r="J8" s="13">
        <f>H8*Variables!$C$21</f>
        <v>1382.5196819999999</v>
      </c>
      <c r="K8" s="106">
        <v>165</v>
      </c>
      <c r="L8" s="54">
        <f t="shared" si="1"/>
        <v>1217.5196819999999</v>
      </c>
      <c r="M8" s="56">
        <f>1-VLOOKUP(B8,'Road Pavement Percentage'!$B$2:$F$48,5,FALSE)</f>
        <v>0.22568307682893241</v>
      </c>
      <c r="N8" s="57">
        <f t="shared" si="9"/>
        <v>37.237707676773844</v>
      </c>
      <c r="O8" s="57">
        <f>Variables!$C$22*'Cost Calculations'!$N8/100</f>
        <v>2.0219569779243711</v>
      </c>
      <c r="P8" s="57">
        <f>Variables!$C$23*'Cost Calculations'!$N8/100</f>
        <v>3.5384247113676501</v>
      </c>
      <c r="Q8" s="57">
        <f>Variables!$C$24*'Cost Calculations'!$N8/100</f>
        <v>3.7069211261946817</v>
      </c>
      <c r="R8" s="57">
        <f>Variables!$C$25*'Cost Calculations'!$N8/100</f>
        <v>26.959426372324955</v>
      </c>
      <c r="S8" s="58">
        <f>O8*Variables!$C$18*Variables!$E$31+P8*Variables!$C$18*Variables!$E$32+('Cost Calculations'!Q8+'Cost Calculations'!R8)*Variables!$C$18*Variables!$E$33</f>
        <v>269374.70992919302</v>
      </c>
      <c r="T8" s="59">
        <f>$L8*Variables!$C$22/100</f>
        <v>66.109665990950219</v>
      </c>
      <c r="U8" s="59">
        <f>$L8*Variables!$C$23/100</f>
        <v>115.69191548416289</v>
      </c>
      <c r="V8" s="59">
        <f>$L8*Variables!$C$24/100</f>
        <v>121.20105431674206</v>
      </c>
      <c r="W8" s="59">
        <f>$L8*Variables!$C$25/100</f>
        <v>881.46221321266955</v>
      </c>
      <c r="X8" s="62">
        <f>T8*Variables!$E$26*Variables!$C$18+'Cost Calculations'!U8*Variables!$E$27*Variables!$C$18+'Cost Calculations'!V8*Variables!$E$28*Variables!$C$18+W8*Variables!$E$29*Variables!$C$18</f>
        <v>1383988685.5348017</v>
      </c>
      <c r="Y8" s="58">
        <f>J8*Variables!$E$30</f>
        <v>905550.39170999988</v>
      </c>
      <c r="Z8" s="1"/>
      <c r="AA8" s="245">
        <f>D8*(IF(D8&lt;Variables!$C$7,Variables!$C$38,IF(D8&gt;Variables!$C$6,Variables!$C$36,Variables!$C$37)))</f>
        <v>644.14538999999991</v>
      </c>
      <c r="AB8" s="97">
        <f>ROUND(327+0.2*(823+303),0)</f>
        <v>552</v>
      </c>
      <c r="AC8" s="66">
        <f t="shared" si="2"/>
        <v>92</v>
      </c>
      <c r="AD8" s="62">
        <f>AC8*Variables!$E$41</f>
        <v>49459200</v>
      </c>
      <c r="AE8" s="71">
        <f>ROUND((H8/(3.14*Variables!$C$35^2)),0)</f>
        <v>98</v>
      </c>
      <c r="AF8" s="101">
        <v>0</v>
      </c>
      <c r="AG8" s="57">
        <f t="shared" si="3"/>
        <v>98</v>
      </c>
      <c r="AH8" s="58">
        <f>AG8*Variables!$E$42*Variables!$C$18</f>
        <v>112529.088</v>
      </c>
      <c r="AI8" s="73">
        <f t="shared" si="4"/>
        <v>5</v>
      </c>
      <c r="AJ8" s="107">
        <v>1</v>
      </c>
      <c r="AK8" s="73">
        <f t="shared" si="5"/>
        <v>4</v>
      </c>
      <c r="AL8" s="62">
        <f>IF(AK8*Variables!$E$43*Variables!$C$18&lt;0,0,AK8*Variables!$E$43*Variables!$C$18)</f>
        <v>3781525.9679999999</v>
      </c>
      <c r="AM8" s="58">
        <f>AA8*Variables!$E$39*Variables!$C$18</f>
        <v>186191715.92093971</v>
      </c>
      <c r="AN8" s="1"/>
      <c r="AO8" s="75">
        <f>Variables!C10*0.7</f>
        <v>0.71399999999999997</v>
      </c>
      <c r="AP8" s="76">
        <f t="shared" si="6"/>
        <v>119.59411429355686</v>
      </c>
      <c r="AQ8" s="75">
        <f>VLOOKUP(B8,'Household Information'!$B$2:$E$48,4,FALSE)</f>
        <v>61.2</v>
      </c>
      <c r="AR8" s="79">
        <f>IF(12*(AP8-Variables!$C$45*AQ8*F8)*(G8/5)&lt;0,0,12*(AP8-Variables!$C$45*AQ8*F8)*(G8/5))</f>
        <v>43363867.65479999</v>
      </c>
      <c r="AS8" s="1"/>
      <c r="AT8" s="62">
        <f t="shared" si="7"/>
        <v>350000</v>
      </c>
      <c r="AU8" s="1"/>
    </row>
    <row r="9" spans="1:47" ht="14.25" customHeight="1">
      <c r="A9" s="1">
        <v>6</v>
      </c>
      <c r="B9" s="3" t="s">
        <v>106</v>
      </c>
      <c r="C9" s="1">
        <v>2019</v>
      </c>
      <c r="D9" s="13">
        <f>VLOOKUP(B9,Population!$B$1:$O$48,3,FALSE)</f>
        <v>901265.19</v>
      </c>
      <c r="E9" s="13" t="str">
        <f t="shared" si="8"/>
        <v>Medium</v>
      </c>
      <c r="F9" s="54">
        <f>VLOOKUP(B9,'Household Information'!$B$1:$E$48,2,FALSE)</f>
        <v>3.0151582035627214</v>
      </c>
      <c r="G9" s="54">
        <f t="shared" si="0"/>
        <v>298911.40999999997</v>
      </c>
      <c r="H9" s="55">
        <f>VLOOKUP(B9,Area!$B$2:$F$48,5,FALSE)</f>
        <v>116.91803899999999</v>
      </c>
      <c r="I9" s="55"/>
      <c r="J9" s="13">
        <f>H9*Variables!$C$21</f>
        <v>2104.5247019999997</v>
      </c>
      <c r="K9" s="13">
        <v>1834.4</v>
      </c>
      <c r="L9" s="54">
        <f t="shared" si="1"/>
        <v>270.12470199999962</v>
      </c>
      <c r="M9" s="56">
        <f>1-VLOOKUP(B9,'Road Pavement Percentage'!$B$2:$F$48,5,FALSE)</f>
        <v>0</v>
      </c>
      <c r="N9" s="57">
        <f t="shared" si="9"/>
        <v>0</v>
      </c>
      <c r="O9" s="57">
        <f>Variables!$C$22*'Cost Calculations'!$N9/100</f>
        <v>0</v>
      </c>
      <c r="P9" s="57">
        <f>Variables!$C$23*'Cost Calculations'!$N9/100</f>
        <v>0</v>
      </c>
      <c r="Q9" s="57">
        <f>Variables!$C$24*'Cost Calculations'!$N9/100</f>
        <v>0</v>
      </c>
      <c r="R9" s="57">
        <f>Variables!$C$25*'Cost Calculations'!$N9/100</f>
        <v>0</v>
      </c>
      <c r="S9" s="58">
        <f>O9*Variables!$C$18*Variables!$E$31+P9*Variables!$C$18*Variables!$E$32+('Cost Calculations'!Q9+'Cost Calculations'!R9)*Variables!$C$18*Variables!$E$33</f>
        <v>0</v>
      </c>
      <c r="T9" s="59">
        <f>$L9*Variables!$C$22/100</f>
        <v>14.667404633484141</v>
      </c>
      <c r="U9" s="59">
        <f>$L9*Variables!$C$23/100</f>
        <v>25.667958108597251</v>
      </c>
      <c r="V9" s="59">
        <f>$L9*Variables!$C$24/100</f>
        <v>26.890241828054258</v>
      </c>
      <c r="W9" s="59">
        <f>$L9*Variables!$C$25/100</f>
        <v>195.56539511312189</v>
      </c>
      <c r="X9" s="62">
        <f>T9*Variables!$E$26*Variables!$C$18+'Cost Calculations'!U9*Variables!$E$27*Variables!$C$18+'Cost Calculations'!V9*Variables!$E$28*Variables!$C$18+W9*Variables!$E$29*Variables!$C$18</f>
        <v>307058306.14363694</v>
      </c>
      <c r="Y9" s="58">
        <f>J9*Variables!$E$30</f>
        <v>1378463.6798099999</v>
      </c>
      <c r="Z9" s="1"/>
      <c r="AA9" s="245">
        <f>D9*(IF(D9&lt;Variables!$C$7,Variables!$C$38,IF(D9&gt;Variables!$C$6,Variables!$C$36,Variables!$C$37)))</f>
        <v>1081.5182279999999</v>
      </c>
      <c r="AB9" s="97">
        <f>ROUND(763+0.2*(735+73),0)</f>
        <v>925</v>
      </c>
      <c r="AC9" s="66">
        <f t="shared" si="2"/>
        <v>157</v>
      </c>
      <c r="AD9" s="62">
        <f>AC9*Variables!$E$41</f>
        <v>84403200</v>
      </c>
      <c r="AE9" s="71">
        <f>ROUND((H9/(3.14*Variables!$C$35^2)),0)</f>
        <v>149</v>
      </c>
      <c r="AF9" s="101">
        <v>0</v>
      </c>
      <c r="AG9" s="57">
        <f t="shared" si="3"/>
        <v>149</v>
      </c>
      <c r="AH9" s="58">
        <f>AG9*Variables!$E$42*Variables!$C$18</f>
        <v>171090.144</v>
      </c>
      <c r="AI9" s="73">
        <f t="shared" si="4"/>
        <v>9</v>
      </c>
      <c r="AJ9" s="107">
        <v>1</v>
      </c>
      <c r="AK9" s="73">
        <f t="shared" si="5"/>
        <v>8</v>
      </c>
      <c r="AL9" s="62">
        <f>IF(AK9*Variables!$E$43*Variables!$C$18&lt;0,0,AK9*Variables!$E$43*Variables!$C$18)</f>
        <v>7563051.9359999998</v>
      </c>
      <c r="AM9" s="58">
        <f>AA9*Variables!$E$39*Variables!$C$18</f>
        <v>312615347.08972162</v>
      </c>
      <c r="AN9" s="1"/>
      <c r="AO9" s="75">
        <f>Variables!C10*0.67</f>
        <v>0.68340000000000001</v>
      </c>
      <c r="AP9" s="76">
        <f t="shared" si="6"/>
        <v>123.63354697888582</v>
      </c>
      <c r="AQ9" s="75">
        <f>VLOOKUP(B9,'Household Information'!$B$2:$E$48,4,FALSE)</f>
        <v>55.55</v>
      </c>
      <c r="AR9" s="79">
        <f>IF(12*(AP9-Variables!$C$45*AQ9*F9)*(G9/5)&lt;0,0,12*(AP9-Variables!$C$45*AQ9*F9)*(G9/5))</f>
        <v>70669645.572203994</v>
      </c>
      <c r="AS9" s="1"/>
      <c r="AT9" s="62">
        <f t="shared" si="7"/>
        <v>350000</v>
      </c>
      <c r="AU9" s="1"/>
    </row>
    <row r="10" spans="1:47" ht="14.25" customHeight="1">
      <c r="A10" s="1">
        <v>7</v>
      </c>
      <c r="B10" s="3" t="s">
        <v>107</v>
      </c>
      <c r="C10" s="1">
        <v>2019</v>
      </c>
      <c r="D10" s="13">
        <f>VLOOKUP(B10,Population!$B$1:$O$48,3,FALSE)</f>
        <v>638855.21</v>
      </c>
      <c r="E10" s="13" t="str">
        <f t="shared" si="8"/>
        <v>Medium</v>
      </c>
      <c r="F10" s="54">
        <f>VLOOKUP(B10,'Household Information'!$B$1:$E$48,2,FALSE)</f>
        <v>2.7144187891908675</v>
      </c>
      <c r="G10" s="54">
        <f t="shared" si="0"/>
        <v>235356.16999999998</v>
      </c>
      <c r="H10" s="55">
        <f>VLOOKUP(B10,Area!$B$2:$F$48,5,FALSE)</f>
        <v>92.766498999999996</v>
      </c>
      <c r="I10" s="55"/>
      <c r="J10" s="13">
        <f>H10*Variables!$C$21</f>
        <v>1669.7969819999998</v>
      </c>
      <c r="K10" s="106">
        <v>998</v>
      </c>
      <c r="L10" s="54">
        <f t="shared" si="1"/>
        <v>671.79698199999984</v>
      </c>
      <c r="M10" s="56">
        <f>1-VLOOKUP(B10,'Road Pavement Percentage'!$B$2:$F$48,5,FALSE)</f>
        <v>0.27351687318219853</v>
      </c>
      <c r="N10" s="57">
        <f t="shared" si="9"/>
        <v>272.9698394358341</v>
      </c>
      <c r="O10" s="57">
        <f>Variables!$C$22*'Cost Calculations'!$N10/100</f>
        <v>14.821891734072437</v>
      </c>
      <c r="P10" s="57">
        <f>Variables!$C$23*'Cost Calculations'!$N10/100</f>
        <v>25.938310534626773</v>
      </c>
      <c r="Q10" s="57">
        <f>Variables!$C$24*'Cost Calculations'!$N10/100</f>
        <v>27.173468179132804</v>
      </c>
      <c r="R10" s="57">
        <f>Variables!$C$25*'Cost Calculations'!$N10/100</f>
        <v>197.62522312096587</v>
      </c>
      <c r="S10" s="58">
        <f>O10*Variables!$C$18*Variables!$E$31+P10*Variables!$C$18*Variables!$E$32+('Cost Calculations'!Q10+'Cost Calculations'!R10)*Variables!$C$18*Variables!$E$33</f>
        <v>1974642.799060093</v>
      </c>
      <c r="T10" s="59">
        <f>$L10*Variables!$C$22/100</f>
        <v>36.477664180995461</v>
      </c>
      <c r="U10" s="59">
        <f>$L10*Variables!$C$23/100</f>
        <v>63.835912316742068</v>
      </c>
      <c r="V10" s="59">
        <f>$L10*Variables!$C$24/100</f>
        <v>66.875717665158348</v>
      </c>
      <c r="W10" s="59">
        <f>$L10*Variables!$C$25/100</f>
        <v>486.36885574660619</v>
      </c>
      <c r="X10" s="62">
        <f>T10*Variables!$E$26*Variables!$C$18+'Cost Calculations'!U10*Variables!$E$27*Variables!$C$18+'Cost Calculations'!V10*Variables!$E$28*Variables!$C$18+W10*Variables!$E$29*Variables!$C$18</f>
        <v>763650424.55586898</v>
      </c>
      <c r="Y10" s="58">
        <f>J10*Variables!$E$30</f>
        <v>1093717.0232099998</v>
      </c>
      <c r="Z10" s="1"/>
      <c r="AA10" s="245">
        <f>D10*(IF(D10&lt;Variables!$C$7,Variables!$C$38,IF(D10&gt;Variables!$C$6,Variables!$C$36,Variables!$C$37)))</f>
        <v>766.62625199999991</v>
      </c>
      <c r="AB10" s="97">
        <f>ROUND(116+0.2*(44+1690),0)</f>
        <v>463</v>
      </c>
      <c r="AC10" s="66">
        <f t="shared" si="2"/>
        <v>304</v>
      </c>
      <c r="AD10" s="62">
        <f>AC10*Variables!$E$41</f>
        <v>163430400</v>
      </c>
      <c r="AE10" s="71">
        <f>ROUND((H10/(3.14*Variables!$C$35^2)),0)</f>
        <v>118</v>
      </c>
      <c r="AF10" s="101">
        <v>0</v>
      </c>
      <c r="AG10" s="57">
        <f t="shared" si="3"/>
        <v>118</v>
      </c>
      <c r="AH10" s="58">
        <f>AG10*Variables!$E$42*Variables!$C$18</f>
        <v>135494.20800000001</v>
      </c>
      <c r="AI10" s="73">
        <f t="shared" si="4"/>
        <v>6</v>
      </c>
      <c r="AJ10" s="107">
        <v>0</v>
      </c>
      <c r="AK10" s="73">
        <f t="shared" si="5"/>
        <v>6</v>
      </c>
      <c r="AL10" s="62">
        <f>IF(AK10*Variables!$E$43*Variables!$C$18&lt;0,0,AK10*Variables!$E$43*Variables!$C$18)</f>
        <v>5672288.9520000005</v>
      </c>
      <c r="AM10" s="58">
        <f>AA10*Variables!$E$39*Variables!$C$18</f>
        <v>221595092.57672209</v>
      </c>
      <c r="AN10" s="1"/>
      <c r="AO10" s="75">
        <f>AVERAGE(Variables!$E$48)</f>
        <v>0.67714285714285716</v>
      </c>
      <c r="AP10" s="76">
        <f t="shared" si="6"/>
        <v>110.28295766369753</v>
      </c>
      <c r="AQ10" s="75">
        <f>VLOOKUP(B10,'Household Information'!$B$2:$E$48,4,FALSE)</f>
        <v>59.47</v>
      </c>
      <c r="AR10" s="79">
        <f>IF(12*(AP10-Variables!$C$45*AQ10*F10)*(G10/5)&lt;0,0,12*(AP10-Variables!$C$45*AQ10*F10)*(G10/5))</f>
        <v>48616479.914867997</v>
      </c>
      <c r="AS10" s="1"/>
      <c r="AT10" s="62">
        <f t="shared" si="7"/>
        <v>350000</v>
      </c>
      <c r="AU10" s="1"/>
    </row>
    <row r="11" spans="1:47" ht="14.25" customHeight="1">
      <c r="A11" s="1">
        <v>8</v>
      </c>
      <c r="B11" s="3" t="s">
        <v>108</v>
      </c>
      <c r="C11" s="1">
        <v>2019</v>
      </c>
      <c r="D11" s="13">
        <f>VLOOKUP(B11,Population!$B$1:$O$48,3,FALSE)</f>
        <v>415815.05</v>
      </c>
      <c r="E11" s="13" t="str">
        <f t="shared" si="8"/>
        <v>Medium</v>
      </c>
      <c r="F11" s="54">
        <f>VLOOKUP(B11,'Household Information'!$B$1:$E$48,2,FALSE)</f>
        <v>2.3617684870776379</v>
      </c>
      <c r="G11" s="54">
        <f t="shared" si="0"/>
        <v>176060.88500000001</v>
      </c>
      <c r="H11" s="55">
        <f>VLOOKUP(B11,Area!$B$2:$F$48,5,FALSE)</f>
        <v>39.199250999999997</v>
      </c>
      <c r="I11" s="55"/>
      <c r="J11" s="13">
        <f>H11*Variables!$C$21</f>
        <v>705.58651799999996</v>
      </c>
      <c r="K11" s="13">
        <v>450.2</v>
      </c>
      <c r="L11" s="54">
        <f t="shared" si="1"/>
        <v>255.38651799999997</v>
      </c>
      <c r="M11" s="56">
        <f>1-VLOOKUP(B11,'Road Pavement Percentage'!$B$2:$F$48,5,FALSE)</f>
        <v>0.25862440242904527</v>
      </c>
      <c r="N11" s="57">
        <f t="shared" si="9"/>
        <v>116.43270597355618</v>
      </c>
      <c r="O11" s="57">
        <f>Variables!$C$22*'Cost Calculations'!$N11/100</f>
        <v>6.3221378809170767</v>
      </c>
      <c r="P11" s="57">
        <f>Variables!$C$23*'Cost Calculations'!$N11/100</f>
        <v>11.063741291604886</v>
      </c>
      <c r="Q11" s="57">
        <f>Variables!$C$24*'Cost Calculations'!$N11/100</f>
        <v>11.590586115014643</v>
      </c>
      <c r="R11" s="57">
        <f>Variables!$C$25*'Cost Calculations'!$N11/100</f>
        <v>84.295171745561035</v>
      </c>
      <c r="S11" s="58">
        <f>O11*Variables!$C$18*Variables!$E$31+P11*Variables!$C$18*Variables!$E$32+('Cost Calculations'!Q11+'Cost Calculations'!R11)*Variables!$C$18*Variables!$E$33</f>
        <v>842265.22937823867</v>
      </c>
      <c r="T11" s="59">
        <f>$L11*Variables!$C$22/100</f>
        <v>13.867141248868775</v>
      </c>
      <c r="U11" s="59">
        <f>$L11*Variables!$C$23/100</f>
        <v>24.267497185520359</v>
      </c>
      <c r="V11" s="59">
        <f>$L11*Variables!$C$24/100</f>
        <v>25.423092289592756</v>
      </c>
      <c r="W11" s="59">
        <f>$L11*Variables!$C$25/100</f>
        <v>184.8952166515837</v>
      </c>
      <c r="X11" s="62">
        <f>T11*Variables!$E$26*Variables!$C$18+'Cost Calculations'!U11*Variables!$E$27*Variables!$C$18+'Cost Calculations'!V11*Variables!$E$28*Variables!$C$18+W11*Variables!$E$29*Variables!$C$18</f>
        <v>290305000.05512846</v>
      </c>
      <c r="Y11" s="58">
        <f>J11*Variables!$E$30</f>
        <v>462159.16928999999</v>
      </c>
      <c r="Z11" s="1"/>
      <c r="AA11" s="245">
        <f>D11*(IF(D11&lt;Variables!$C$7,Variables!$C$38,IF(D11&gt;Variables!$C$6,Variables!$C$36,Variables!$C$37)))</f>
        <v>498.97805999999991</v>
      </c>
      <c r="AB11" s="97">
        <f>ROUND(824+0.2*771,0)</f>
        <v>978</v>
      </c>
      <c r="AC11" s="66">
        <f t="shared" si="2"/>
        <v>0</v>
      </c>
      <c r="AD11" s="62">
        <f>AC11*Variables!$E$41</f>
        <v>0</v>
      </c>
      <c r="AE11" s="71">
        <f>ROUND((H11/(3.14*Variables!$C$35^2)),0)</f>
        <v>50</v>
      </c>
      <c r="AF11" s="101">
        <v>0</v>
      </c>
      <c r="AG11" s="57">
        <f t="shared" si="3"/>
        <v>50</v>
      </c>
      <c r="AH11" s="58">
        <f>AG11*Variables!$E$42*Variables!$C$18</f>
        <v>57412.800000000003</v>
      </c>
      <c r="AI11" s="73">
        <f t="shared" si="4"/>
        <v>4</v>
      </c>
      <c r="AJ11" s="107">
        <v>2</v>
      </c>
      <c r="AK11" s="73">
        <f t="shared" si="5"/>
        <v>2</v>
      </c>
      <c r="AL11" s="62">
        <f>IF(AK11*Variables!$E$43*Variables!$C$18&lt;0,0,AK11*Variables!$E$43*Variables!$C$18)</f>
        <v>1890762.9839999999</v>
      </c>
      <c r="AM11" s="58">
        <f>AA11*Variables!$E$39*Variables!$C$18</f>
        <v>144230763.17956978</v>
      </c>
      <c r="AN11" s="1"/>
      <c r="AO11" s="75">
        <f>Variables!C10*0.6</f>
        <v>0.61199999999999999</v>
      </c>
      <c r="AP11" s="76">
        <f t="shared" si="6"/>
        <v>86.724138845490856</v>
      </c>
      <c r="AQ11" s="75">
        <f>VLOOKUP(B11,'Household Information'!$B$2:$E$48,4,FALSE)</f>
        <v>75.66</v>
      </c>
      <c r="AR11" s="79">
        <f>IF(12*(AP11-Variables!$C$45*AQ11*F11)*(G11/5)&lt;0,0,12*(AP11-Variables!$C$45*AQ11*F11)*(G11/5))</f>
        <v>25319144.720520001</v>
      </c>
      <c r="AS11" s="1"/>
      <c r="AT11" s="62">
        <f t="shared" si="7"/>
        <v>350000</v>
      </c>
      <c r="AU11" s="1"/>
    </row>
    <row r="12" spans="1:47" ht="14.25" customHeight="1">
      <c r="A12" s="1">
        <v>9</v>
      </c>
      <c r="B12" s="3" t="s">
        <v>109</v>
      </c>
      <c r="C12" s="1">
        <v>2019</v>
      </c>
      <c r="D12" s="13">
        <f>VLOOKUP(B12,Population!$B$1:$O$48,3,FALSE)</f>
        <v>487050.79499999993</v>
      </c>
      <c r="E12" s="13" t="str">
        <f t="shared" si="8"/>
        <v>Medium</v>
      </c>
      <c r="F12" s="54">
        <f>VLOOKUP(B12,'Household Information'!$B$1:$E$48,2,FALSE)</f>
        <v>2.7429262269780841</v>
      </c>
      <c r="G12" s="54">
        <f t="shared" si="0"/>
        <v>177566.12999999998</v>
      </c>
      <c r="H12" s="55">
        <f>VLOOKUP(B12,Area!$B$2:$F$48,5,FALSE)</f>
        <v>47.234957999999992</v>
      </c>
      <c r="I12" s="55"/>
      <c r="J12" s="13">
        <f>H12*Variables!$C$21</f>
        <v>850.22924399999988</v>
      </c>
      <c r="K12" s="108">
        <v>76</v>
      </c>
      <c r="L12" s="54">
        <f t="shared" si="1"/>
        <v>774.22924399999988</v>
      </c>
      <c r="M12" s="56">
        <f>1-VLOOKUP(B12,'Road Pavement Percentage'!$B$2:$F$48,5,FALSE)</f>
        <v>0.69732360097323598</v>
      </c>
      <c r="N12" s="57">
        <f t="shared" si="9"/>
        <v>52.996593673965933</v>
      </c>
      <c r="O12" s="57">
        <f>Variables!$C$22*'Cost Calculations'!$N12/100</f>
        <v>2.8776430954189642</v>
      </c>
      <c r="P12" s="57">
        <f>Variables!$C$23*'Cost Calculations'!$N12/100</f>
        <v>5.0358754169831883</v>
      </c>
      <c r="Q12" s="57">
        <f>Variables!$C$24*'Cost Calculations'!$N12/100</f>
        <v>5.275679008268102</v>
      </c>
      <c r="R12" s="57">
        <f>Variables!$C$25*'Cost Calculations'!$N12/100</f>
        <v>38.368574605586197</v>
      </c>
      <c r="S12" s="58">
        <f>O12*Variables!$C$18*Variables!$E$31+P12*Variables!$C$18*Variables!$E$32+('Cost Calculations'!Q12+'Cost Calculations'!R12)*Variables!$C$18*Variables!$E$33</f>
        <v>383373.27775587456</v>
      </c>
      <c r="T12" s="59">
        <f>$L12*Variables!$C$22/100</f>
        <v>42.039596959276004</v>
      </c>
      <c r="U12" s="59">
        <f>$L12*Variables!$C$23/100</f>
        <v>73.569294678733016</v>
      </c>
      <c r="V12" s="59">
        <f>$L12*Variables!$C$24/100</f>
        <v>77.072594425339361</v>
      </c>
      <c r="W12" s="59">
        <f>$L12*Variables!$C$25/100</f>
        <v>560.52795945701348</v>
      </c>
      <c r="X12" s="62">
        <f>T12*Variables!$E$26*Variables!$C$18+'Cost Calculations'!U12*Variables!$E$27*Variables!$C$18+'Cost Calculations'!V12*Variables!$E$28*Variables!$C$18+W12*Variables!$E$29*Variables!$C$18</f>
        <v>880088042.55713296</v>
      </c>
      <c r="Y12" s="58">
        <f>J12*Variables!$E$30</f>
        <v>556900.15481999994</v>
      </c>
      <c r="Z12" s="1"/>
      <c r="AA12" s="245">
        <f>D12*(IF(D12&lt;Variables!$C$7,Variables!$C$38,IF(D12&gt;Variables!$C$6,Variables!$C$36,Variables!$C$37)))</f>
        <v>584.4609539999999</v>
      </c>
      <c r="AB12" s="97">
        <f>ROUND(0.2*(119+603),0)</f>
        <v>144</v>
      </c>
      <c r="AC12" s="66">
        <f t="shared" si="2"/>
        <v>440</v>
      </c>
      <c r="AD12" s="62">
        <f>AC12*Variables!$E$41</f>
        <v>236544000</v>
      </c>
      <c r="AE12" s="71">
        <f>ROUND((H12/(3.14*Variables!$C$35^2)),0)</f>
        <v>60</v>
      </c>
      <c r="AF12" s="101">
        <v>0</v>
      </c>
      <c r="AG12" s="57">
        <f t="shared" si="3"/>
        <v>60</v>
      </c>
      <c r="AH12" s="58">
        <f>AG12*Variables!$E$42*Variables!$C$18</f>
        <v>68895.360000000001</v>
      </c>
      <c r="AI12" s="73">
        <f t="shared" si="4"/>
        <v>5</v>
      </c>
      <c r="AJ12" s="107">
        <v>1</v>
      </c>
      <c r="AK12" s="73">
        <f t="shared" si="5"/>
        <v>4</v>
      </c>
      <c r="AL12" s="62">
        <f>IF(AK12*Variables!$E$43*Variables!$C$18&lt;0,0,AK12*Variables!$E$43*Variables!$C$18)</f>
        <v>3781525.9679999999</v>
      </c>
      <c r="AM12" s="58">
        <f>AA12*Variables!$E$39*Variables!$C$18</f>
        <v>168939791.54931065</v>
      </c>
      <c r="AN12" s="1"/>
      <c r="AO12" s="75">
        <f>AVERAGE(Variables!$E$48)</f>
        <v>0.67714285714285716</v>
      </c>
      <c r="AP12" s="76">
        <f t="shared" si="6"/>
        <v>111.44117413608102</v>
      </c>
      <c r="AQ12" s="75">
        <f>VLOOKUP(B12,'Household Information'!$B$2:$E$48,4,FALSE)</f>
        <v>65.935833333333335</v>
      </c>
      <c r="AR12" s="79">
        <f>IF(12*(AP12-Variables!$C$45*AQ12*F12)*(G12/5)&lt;0,0,12*(AP12-Variables!$C$45*AQ12*F12)*(G12/5))</f>
        <v>35930551.217764497</v>
      </c>
      <c r="AS12" s="1"/>
      <c r="AT12" s="62">
        <f t="shared" si="7"/>
        <v>350000</v>
      </c>
      <c r="AU12" s="1"/>
    </row>
    <row r="13" spans="1:47" ht="14.25" customHeight="1">
      <c r="A13" s="1">
        <v>10</v>
      </c>
      <c r="B13" s="3" t="s">
        <v>110</v>
      </c>
      <c r="C13" s="1">
        <v>2019</v>
      </c>
      <c r="D13" s="13">
        <f>VLOOKUP(B13,Population!$B$1:$O$48,3,FALSE)</f>
        <v>508196.29</v>
      </c>
      <c r="E13" s="13" t="str">
        <f t="shared" si="8"/>
        <v>Medium</v>
      </c>
      <c r="F13" s="54">
        <f>VLOOKUP(B13,'Household Information'!$B$1:$E$48,2,FALSE)</f>
        <v>2.5116430728482135</v>
      </c>
      <c r="G13" s="54">
        <f t="shared" si="0"/>
        <v>202336.19</v>
      </c>
      <c r="H13" s="55">
        <f>VLOOKUP(B13,Area!$B$2:$F$48,5,FALSE)</f>
        <v>27.319750999999997</v>
      </c>
      <c r="I13" s="55"/>
      <c r="J13" s="13">
        <f>H13*Variables!$C$21</f>
        <v>491.75551799999994</v>
      </c>
      <c r="K13" s="13">
        <v>175</v>
      </c>
      <c r="L13" s="54">
        <f t="shared" si="1"/>
        <v>316.75551799999994</v>
      </c>
      <c r="M13" s="56">
        <f>1-VLOOKUP(B13,'Road Pavement Percentage'!$B$2:$F$48,5,FALSE)</f>
        <v>0</v>
      </c>
      <c r="N13" s="57">
        <f t="shared" si="9"/>
        <v>0</v>
      </c>
      <c r="O13" s="57">
        <f>Variables!$C$22*'Cost Calculations'!$N13/100</f>
        <v>0</v>
      </c>
      <c r="P13" s="57">
        <f>Variables!$C$23*'Cost Calculations'!$N13/100</f>
        <v>0</v>
      </c>
      <c r="Q13" s="57">
        <f>Variables!$C$24*'Cost Calculations'!$N13/100</f>
        <v>0</v>
      </c>
      <c r="R13" s="57">
        <f>Variables!$C$25*'Cost Calculations'!$N13/100</f>
        <v>0</v>
      </c>
      <c r="S13" s="58">
        <f>O13*Variables!$C$18*Variables!$E$31+P13*Variables!$C$18*Variables!$E$32+('Cost Calculations'!Q13+'Cost Calculations'!R13)*Variables!$C$18*Variables!$E$33</f>
        <v>0</v>
      </c>
      <c r="T13" s="59">
        <f>$L13*Variables!$C$22/100</f>
        <v>17.199394642533932</v>
      </c>
      <c r="U13" s="59">
        <f>$L13*Variables!$C$23/100</f>
        <v>30.098940624434384</v>
      </c>
      <c r="V13" s="59">
        <f>$L13*Variables!$C$24/100</f>
        <v>31.532223511312214</v>
      </c>
      <c r="W13" s="59">
        <f>$L13*Variables!$C$25/100</f>
        <v>229.32526190045243</v>
      </c>
      <c r="X13" s="62">
        <f>T13*Variables!$E$26*Variables!$C$18+'Cost Calculations'!U13*Variables!$E$27*Variables!$C$18+'Cost Calculations'!V13*Variables!$E$28*Variables!$C$18+W13*Variables!$E$29*Variables!$C$18</f>
        <v>360064859.29868948</v>
      </c>
      <c r="Y13" s="58">
        <f>J13*Variables!$E$30</f>
        <v>322099.86428999994</v>
      </c>
      <c r="Z13" s="1"/>
      <c r="AA13" s="245">
        <f>D13*(IF(D13&lt;Variables!$C$7,Variables!$C$38,IF(D13&gt;Variables!$C$6,Variables!$C$36,Variables!$C$37)))</f>
        <v>609.8355479999999</v>
      </c>
      <c r="AB13" s="97">
        <f>ROUND(8+0.2*(943+156),0)</f>
        <v>228</v>
      </c>
      <c r="AC13" s="66">
        <f t="shared" si="2"/>
        <v>382</v>
      </c>
      <c r="AD13" s="62">
        <f>AC13*Variables!$E$41</f>
        <v>205363200</v>
      </c>
      <c r="AE13" s="71">
        <f>ROUND((H13/(3.14*Variables!$C$35^2)),0)</f>
        <v>35</v>
      </c>
      <c r="AF13" s="101">
        <v>0</v>
      </c>
      <c r="AG13" s="57">
        <f t="shared" si="3"/>
        <v>35</v>
      </c>
      <c r="AH13" s="58">
        <f>AG13*Variables!$E$42*Variables!$C$18</f>
        <v>40188.959999999999</v>
      </c>
      <c r="AI13" s="73">
        <f t="shared" si="4"/>
        <v>5</v>
      </c>
      <c r="AJ13" s="107">
        <v>1</v>
      </c>
      <c r="AK13" s="73">
        <f t="shared" si="5"/>
        <v>4</v>
      </c>
      <c r="AL13" s="62">
        <f>IF(AK13*Variables!$E$43*Variables!$C$18&lt;0,0,AK13*Variables!$E$43*Variables!$C$18)</f>
        <v>3781525.9679999999</v>
      </c>
      <c r="AM13" s="58">
        <f>AA13*Variables!$E$39*Variables!$C$18</f>
        <v>176274376.67714518</v>
      </c>
      <c r="AN13" s="1"/>
      <c r="AO13" s="75">
        <f>AVERAGE(Variables!$E$48)</f>
        <v>0.67714285714285716</v>
      </c>
      <c r="AP13" s="76">
        <f t="shared" si="6"/>
        <v>102.04446998829027</v>
      </c>
      <c r="AQ13" s="75">
        <f>VLOOKUP(B13,'Household Information'!$B$2:$E$48,4,FALSE)</f>
        <v>62.81</v>
      </c>
      <c r="AR13" s="79">
        <f>IF(12*(AP13-Variables!$C$45*AQ13*F13)*(G13/5)&lt;0,0,12*(AP13-Variables!$C$45*AQ13*F13)*(G13/5))</f>
        <v>38062363.012235999</v>
      </c>
      <c r="AS13" s="1"/>
      <c r="AT13" s="62">
        <f t="shared" si="7"/>
        <v>350000</v>
      </c>
      <c r="AU13" s="1"/>
    </row>
    <row r="14" spans="1:47" ht="14.25" customHeight="1">
      <c r="A14" s="1">
        <v>11</v>
      </c>
      <c r="B14" s="3" t="s">
        <v>125</v>
      </c>
      <c r="C14" s="1">
        <v>2019</v>
      </c>
      <c r="D14" s="13">
        <f>VLOOKUP(B14,Population!$B$1:$O$48,3,FALSE)</f>
        <v>357610.88999999996</v>
      </c>
      <c r="E14" s="13" t="str">
        <f t="shared" si="8"/>
        <v>Medium</v>
      </c>
      <c r="F14" s="54">
        <f>VLOOKUP(B14,'Household Information'!$B$1:$E$48,2,FALSE)</f>
        <v>2.693850400263019</v>
      </c>
      <c r="G14" s="54">
        <f t="shared" si="0"/>
        <v>132750.83499999999</v>
      </c>
      <c r="H14" s="55">
        <f>VLOOKUP(B14,Area!$B$2:$F$48,5,FALSE)</f>
        <v>28.674206300180991</v>
      </c>
      <c r="I14" s="55"/>
      <c r="J14" s="13">
        <f>H14*Variables!$C$21</f>
        <v>516.1357134032578</v>
      </c>
      <c r="K14" s="13">
        <v>43</v>
      </c>
      <c r="L14" s="54">
        <f t="shared" si="1"/>
        <v>473.1357134032578</v>
      </c>
      <c r="M14" s="56">
        <f>1-VLOOKUP(B14,'Road Pavement Percentage'!$B$2:$F$48,5,FALSE)</f>
        <v>9.6048223000780197E-2</v>
      </c>
      <c r="N14" s="57">
        <f t="shared" si="9"/>
        <v>4.1300735890335485</v>
      </c>
      <c r="O14" s="57">
        <f>Variables!$C$22*'Cost Calculations'!$N14/100</f>
        <v>0.2242573894497854</v>
      </c>
      <c r="P14" s="57">
        <f>Variables!$C$23*'Cost Calculations'!$N14/100</f>
        <v>0.3924504315371245</v>
      </c>
      <c r="Q14" s="57">
        <f>Variables!$C$24*'Cost Calculations'!$N14/100</f>
        <v>0.41113854732460664</v>
      </c>
      <c r="R14" s="57">
        <f>Variables!$C$25*'Cost Calculations'!$N14/100</f>
        <v>2.9900985259971389</v>
      </c>
      <c r="S14" s="58">
        <f>O14*Variables!$C$18*Variables!$E$31+P14*Variables!$C$18*Variables!$E$32+('Cost Calculations'!Q14+'Cost Calculations'!R14)*Variables!$C$18*Variables!$E$33</f>
        <v>29876.634316189466</v>
      </c>
      <c r="T14" s="59">
        <f>$L14*Variables!$C$22/100</f>
        <v>25.69062697212259</v>
      </c>
      <c r="U14" s="59">
        <f>$L14*Variables!$C$23/100</f>
        <v>44.958597201214545</v>
      </c>
      <c r="V14" s="59">
        <f>$L14*Variables!$C$24/100</f>
        <v>47.099482782224761</v>
      </c>
      <c r="W14" s="59">
        <f>$L14*Variables!$C$25/100</f>
        <v>342.54169296163462</v>
      </c>
      <c r="X14" s="62">
        <f>T14*Variables!$E$26*Variables!$C$18+'Cost Calculations'!U14*Variables!$E$27*Variables!$C$18+'Cost Calculations'!V14*Variables!$E$28*Variables!$C$18+W14*Variables!$E$29*Variables!$C$18</f>
        <v>537826602.52103055</v>
      </c>
      <c r="Y14" s="58">
        <f>J14*Variables!$E$30</f>
        <v>338068.89227913384</v>
      </c>
      <c r="Z14" s="1"/>
      <c r="AA14" s="245">
        <f>D14*(IF(D14&lt;Variables!$C$7,Variables!$C$38,IF(D14&gt;Variables!$C$6,Variables!$C$36,Variables!$C$37)))</f>
        <v>429.13306799999992</v>
      </c>
      <c r="AB14" s="97">
        <f>ROUND(152+0.2*315,0)</f>
        <v>215</v>
      </c>
      <c r="AC14" s="66">
        <f t="shared" si="2"/>
        <v>214</v>
      </c>
      <c r="AD14" s="62">
        <f>AC14*Variables!$E$41</f>
        <v>115046400</v>
      </c>
      <c r="AE14" s="71">
        <f>ROUND((H14/(3.14*Variables!$C$35^2)),0)</f>
        <v>37</v>
      </c>
      <c r="AF14" s="101">
        <v>0</v>
      </c>
      <c r="AG14" s="57">
        <f t="shared" si="3"/>
        <v>37</v>
      </c>
      <c r="AH14" s="58">
        <f>AG14*Variables!$E$42*Variables!$C$18</f>
        <v>42485.472000000002</v>
      </c>
      <c r="AI14" s="73">
        <f t="shared" si="4"/>
        <v>4</v>
      </c>
      <c r="AJ14" s="107">
        <v>1</v>
      </c>
      <c r="AK14" s="73">
        <f t="shared" si="5"/>
        <v>3</v>
      </c>
      <c r="AL14" s="62">
        <f>IF(AK14*Variables!$E$43*Variables!$C$18&lt;0,0,AK14*Variables!$E$43*Variables!$C$18)</f>
        <v>2836144.4760000003</v>
      </c>
      <c r="AM14" s="58">
        <f>AA14*Variables!$E$39*Variables!$C$18</f>
        <v>124041906.57847804</v>
      </c>
      <c r="AN14" s="1"/>
      <c r="AO14" s="75">
        <f>AVERAGE(Variables!$E$48)</f>
        <v>0.67714285714285716</v>
      </c>
      <c r="AP14" s="76">
        <f t="shared" si="6"/>
        <v>109.4472934049718</v>
      </c>
      <c r="AQ14" s="75">
        <f>VLOOKUP(B14,'Household Information'!$B$2:$E$48,4,FALSE)</f>
        <v>65.935833333333335</v>
      </c>
      <c r="AR14" s="79">
        <f>IF(12*(AP14-Variables!$C$45*AQ14*F14)*(G14/5)&lt;0,0,12*(AP14-Variables!$C$45*AQ14*F14)*(G14/5))</f>
        <v>26381553.076358996</v>
      </c>
      <c r="AS14" s="1"/>
      <c r="AT14" s="62">
        <f t="shared" si="7"/>
        <v>350000</v>
      </c>
      <c r="AU14" s="1"/>
    </row>
    <row r="15" spans="1:47" ht="14.25" customHeight="1">
      <c r="A15" s="1">
        <v>12</v>
      </c>
      <c r="B15" s="3" t="s">
        <v>152</v>
      </c>
      <c r="C15" s="1">
        <v>2019</v>
      </c>
      <c r="D15" s="13">
        <f>VLOOKUP(B15,Population!$B$1:$O$48,3,FALSE)</f>
        <v>406442.54</v>
      </c>
      <c r="E15" s="13" t="str">
        <f t="shared" si="8"/>
        <v>Medium</v>
      </c>
      <c r="F15" s="54">
        <f>VLOOKUP(B15,'Household Information'!$B$1:$E$48,2,FALSE)</f>
        <v>2.5280688906285511</v>
      </c>
      <c r="G15" s="54">
        <f t="shared" si="0"/>
        <v>160771.94</v>
      </c>
      <c r="H15" s="55">
        <f>VLOOKUP(B15,Area!$B$2:$F$48,5,FALSE)</f>
        <v>17.374026999999998</v>
      </c>
      <c r="I15" s="55"/>
      <c r="J15" s="13">
        <f>H15*Variables!$C$21</f>
        <v>312.73248599999999</v>
      </c>
      <c r="K15" s="13">
        <v>639</v>
      </c>
      <c r="L15" s="54">
        <f t="shared" si="1"/>
        <v>0</v>
      </c>
      <c r="M15" s="56">
        <f>1-VLOOKUP(B15,'Road Pavement Percentage'!$B$2:$F$48,5,FALSE)</f>
        <v>0</v>
      </c>
      <c r="N15" s="57">
        <f t="shared" si="9"/>
        <v>0</v>
      </c>
      <c r="O15" s="57">
        <f>Variables!$C$22*'Cost Calculations'!$N15/100</f>
        <v>0</v>
      </c>
      <c r="P15" s="57">
        <f>Variables!$C$23*'Cost Calculations'!$N15/100</f>
        <v>0</v>
      </c>
      <c r="Q15" s="57">
        <f>Variables!$C$24*'Cost Calculations'!$N15/100</f>
        <v>0</v>
      </c>
      <c r="R15" s="57">
        <f>Variables!$C$25*'Cost Calculations'!$N15/100</f>
        <v>0</v>
      </c>
      <c r="S15" s="58">
        <f>O15*Variables!$C$18*Variables!$E$31+P15*Variables!$C$18*Variables!$E$32+('Cost Calculations'!Q15+'Cost Calculations'!R15)*Variables!$C$18*Variables!$E$33</f>
        <v>0</v>
      </c>
      <c r="T15" s="59">
        <f>$L15*Variables!$C$22/100</f>
        <v>0</v>
      </c>
      <c r="U15" s="59">
        <f>$L15*Variables!$C$23/100</f>
        <v>0</v>
      </c>
      <c r="V15" s="59">
        <f>$L15*Variables!$C$24/100</f>
        <v>0</v>
      </c>
      <c r="W15" s="59">
        <f>$L15*Variables!$C$25/100</f>
        <v>0</v>
      </c>
      <c r="X15" s="62">
        <f>T15*Variables!$E$26*Variables!$C$18+'Cost Calculations'!U15*Variables!$E$27*Variables!$C$18+'Cost Calculations'!V15*Variables!$E$28*Variables!$C$18+W15*Variables!$E$29*Variables!$C$18</f>
        <v>0</v>
      </c>
      <c r="Y15" s="58">
        <f>J15*Variables!$E$30</f>
        <v>204839.77833</v>
      </c>
      <c r="Z15" s="1"/>
      <c r="AA15" s="245">
        <f>D15*(IF(D15&lt;Variables!$C$7,Variables!$C$38,IF(D15&gt;Variables!$C$6,Variables!$C$36,Variables!$C$37)))</f>
        <v>487.73104799999993</v>
      </c>
      <c r="AB15" s="97">
        <f>ROUND(117+0.2*(530+110),0)</f>
        <v>245</v>
      </c>
      <c r="AC15" s="66">
        <f t="shared" si="2"/>
        <v>243</v>
      </c>
      <c r="AD15" s="62">
        <f>AC15*Variables!$E$41</f>
        <v>130636800</v>
      </c>
      <c r="AE15" s="71">
        <f>ROUND((H15/(3.14*Variables!$C$35^2)),0)</f>
        <v>22</v>
      </c>
      <c r="AF15" s="101">
        <v>0</v>
      </c>
      <c r="AG15" s="57">
        <f t="shared" si="3"/>
        <v>22</v>
      </c>
      <c r="AH15" s="58">
        <f>AG15*Variables!$E$42*Variables!$C$18</f>
        <v>25261.632000000001</v>
      </c>
      <c r="AI15" s="73">
        <f t="shared" si="4"/>
        <v>4</v>
      </c>
      <c r="AJ15" s="107">
        <v>1</v>
      </c>
      <c r="AK15" s="73">
        <f t="shared" si="5"/>
        <v>3</v>
      </c>
      <c r="AL15" s="62">
        <f>IF(AK15*Variables!$E$43*Variables!$C$18&lt;0,0,AK15*Variables!$E$43*Variables!$C$18)</f>
        <v>2836144.4760000003</v>
      </c>
      <c r="AM15" s="58">
        <f>AA15*Variables!$E$39*Variables!$C$18</f>
        <v>140979788.32859182</v>
      </c>
      <c r="AN15" s="1"/>
      <c r="AO15" s="75">
        <f>AVERAGE(Variables!$E$48)</f>
        <v>0.67714285714285716</v>
      </c>
      <c r="AP15" s="76">
        <f t="shared" si="6"/>
        <v>102.71182749925141</v>
      </c>
      <c r="AQ15" s="75">
        <f>VLOOKUP(B15,'Household Information'!$B$2:$E$48,4,FALSE)</f>
        <v>89.08</v>
      </c>
      <c r="AR15" s="79">
        <f>IF(12*(AP15-Variables!$C$45*AQ15*F15)*(G15/5)&lt;0,0,12*(AP15-Variables!$C$45*AQ15*F15)*(G15/5))</f>
        <v>26597506.91644799</v>
      </c>
      <c r="AS15" s="1"/>
      <c r="AT15" s="62">
        <f t="shared" si="7"/>
        <v>350000</v>
      </c>
      <c r="AU15" s="1"/>
    </row>
    <row r="16" spans="1:47" ht="14.25" customHeight="1">
      <c r="A16" s="1">
        <v>13</v>
      </c>
      <c r="B16" s="3" t="s">
        <v>181</v>
      </c>
      <c r="C16" s="1">
        <v>2019</v>
      </c>
      <c r="D16" s="13">
        <f>VLOOKUP(B16,Population!$B$1:$O$48,3,FALSE)</f>
        <v>457980.17999999993</v>
      </c>
      <c r="E16" s="13" t="str">
        <f t="shared" si="8"/>
        <v>Medium</v>
      </c>
      <c r="F16" s="54">
        <f>VLOOKUP(B16,'Household Information'!$B$1:$E$48,2,FALSE)</f>
        <v>2.4075040417460345</v>
      </c>
      <c r="G16" s="54">
        <f t="shared" si="0"/>
        <v>190230.28499999995</v>
      </c>
      <c r="H16" s="119">
        <f>VLOOKUP(B16,Area!$B$2:$F$48,5,FALSE)</f>
        <v>82.9</v>
      </c>
      <c r="I16" s="55"/>
      <c r="J16" s="13">
        <f>H16*Variables!$C$21</f>
        <v>1492.2</v>
      </c>
      <c r="K16" s="108">
        <v>4.38</v>
      </c>
      <c r="L16" s="54">
        <f t="shared" si="1"/>
        <v>1487.82</v>
      </c>
      <c r="M16" s="56">
        <f>1-VLOOKUP(B16,'Road Pavement Percentage'!$B$2:$F$48,5,FALSE)</f>
        <v>0.2623597168770353</v>
      </c>
      <c r="N16" s="57">
        <f t="shared" si="9"/>
        <v>1.1491355599214146</v>
      </c>
      <c r="O16" s="57">
        <f>Variables!$C$22*'Cost Calculations'!$N16/100</f>
        <v>6.2396500991208026E-2</v>
      </c>
      <c r="P16" s="57">
        <f>Variables!$C$23*'Cost Calculations'!$N16/100</f>
        <v>0.10919387673461406</v>
      </c>
      <c r="Q16" s="57">
        <f>Variables!$C$24*'Cost Calculations'!$N16/100</f>
        <v>0.11439358515054807</v>
      </c>
      <c r="R16" s="57">
        <f>Variables!$C$25*'Cost Calculations'!$N16/100</f>
        <v>0.83195334654944031</v>
      </c>
      <c r="S16" s="58">
        <f>O16*Variables!$C$18*Variables!$E$31+P16*Variables!$C$18*Variables!$E$32+('Cost Calculations'!Q16+'Cost Calculations'!R16)*Variables!$C$18*Variables!$E$33</f>
        <v>8312.7581539135754</v>
      </c>
      <c r="T16" s="59">
        <f>$L16*Variables!$C$22/100</f>
        <v>80.786606334841622</v>
      </c>
      <c r="U16" s="59">
        <f>$L16*Variables!$C$23/100</f>
        <v>141.37656108597284</v>
      </c>
      <c r="V16" s="59">
        <f>$L16*Variables!$C$24/100</f>
        <v>148.10877828054296</v>
      </c>
      <c r="W16" s="59">
        <f>$L16*Variables!$C$25/100</f>
        <v>1077.1547511312217</v>
      </c>
      <c r="X16" s="62">
        <f>T16*Variables!$E$26*Variables!$C$18+'Cost Calculations'!U16*Variables!$E$27*Variables!$C$18+'Cost Calculations'!V16*Variables!$E$28*Variables!$C$18+W16*Variables!$E$29*Variables!$C$18</f>
        <v>1691246619.298914</v>
      </c>
      <c r="Y16" s="58">
        <f>J16*Variables!$E$30</f>
        <v>977391</v>
      </c>
      <c r="Z16" s="1"/>
      <c r="AA16" s="245">
        <f>D16*(IF(D16&lt;Variables!$C$7,Variables!$C$38,IF(D16&gt;Variables!$C$6,Variables!$C$36,Variables!$C$37)))</f>
        <v>549.57621599999982</v>
      </c>
      <c r="AB16" s="97">
        <f>ROUND(2+0.2*(438+509),0)</f>
        <v>191</v>
      </c>
      <c r="AC16" s="66">
        <f t="shared" si="2"/>
        <v>359</v>
      </c>
      <c r="AD16" s="62">
        <f>AC16*Variables!$E$41</f>
        <v>192998400</v>
      </c>
      <c r="AE16" s="71">
        <f>ROUND((H16/(3.14*Variables!$C$35^2)),0)</f>
        <v>106</v>
      </c>
      <c r="AF16" s="101">
        <v>0</v>
      </c>
      <c r="AG16" s="57">
        <f t="shared" si="3"/>
        <v>106</v>
      </c>
      <c r="AH16" s="58">
        <f>AG16*Variables!$E$42*Variables!$C$18</f>
        <v>121715.136</v>
      </c>
      <c r="AI16" s="73">
        <f t="shared" si="4"/>
        <v>5</v>
      </c>
      <c r="AJ16" s="107">
        <v>1</v>
      </c>
      <c r="AK16" s="73">
        <f t="shared" si="5"/>
        <v>4</v>
      </c>
      <c r="AL16" s="62">
        <f>IF(AK16*Variables!$E$43*Variables!$C$18&lt;0,0,AK16*Variables!$E$43*Variables!$C$18)</f>
        <v>3781525.9679999999</v>
      </c>
      <c r="AM16" s="58">
        <f>AA16*Variables!$E$39*Variables!$C$18</f>
        <v>158856277.28605956</v>
      </c>
      <c r="AN16" s="1"/>
      <c r="AO16" s="75">
        <f>AVERAGE(Variables!$E$48)</f>
        <v>0.67714285714285716</v>
      </c>
      <c r="AP16" s="76">
        <f t="shared" si="6"/>
        <v>97.81344992465317</v>
      </c>
      <c r="AQ16" s="75">
        <f>VLOOKUP(B16,'Household Information'!$B$2:$E$48,4,FALSE)</f>
        <v>71.48</v>
      </c>
      <c r="AR16" s="79">
        <f>IF(12*(AP16-Variables!$C$45*AQ16*F16)*(G16/5)&lt;0,0,12*(AP16-Variables!$C$45*AQ16*F16)*(G16/5))</f>
        <v>32871880.718495995</v>
      </c>
      <c r="AS16" s="1"/>
      <c r="AT16" s="62">
        <f t="shared" si="7"/>
        <v>350000</v>
      </c>
      <c r="AU16" s="1"/>
    </row>
    <row r="17" spans="1:47" ht="14.25" customHeight="1">
      <c r="A17" s="1">
        <v>14</v>
      </c>
      <c r="B17" s="3" t="s">
        <v>206</v>
      </c>
      <c r="C17" s="1">
        <v>2019</v>
      </c>
      <c r="D17" s="13">
        <f>VLOOKUP(B17,Population!$B$1:$O$48,3,FALSE)</f>
        <v>319243.88999999996</v>
      </c>
      <c r="E17" s="13" t="str">
        <f t="shared" si="8"/>
        <v>Medium</v>
      </c>
      <c r="F17" s="54">
        <f>VLOOKUP(B17,'Household Information'!$B$1:$E$48,2,FALSE)</f>
        <v>2.4590017825311943</v>
      </c>
      <c r="G17" s="54">
        <f t="shared" si="0"/>
        <v>129826.61999999998</v>
      </c>
      <c r="H17" s="55">
        <f>VLOOKUP(B17,Area!$B$2:$F$48,5,FALSE)</f>
        <v>25.496505999999997</v>
      </c>
      <c r="I17" s="55"/>
      <c r="J17" s="13">
        <f>H17*Variables!$C$21</f>
        <v>458.93710799999997</v>
      </c>
      <c r="K17" s="108">
        <v>16</v>
      </c>
      <c r="L17" s="54">
        <f t="shared" si="1"/>
        <v>442.93710799999997</v>
      </c>
      <c r="M17" s="56">
        <f>1-VLOOKUP(B17,'Road Pavement Percentage'!$B$2:$F$48,5,FALSE)</f>
        <v>0.2998073635944325</v>
      </c>
      <c r="N17" s="57">
        <f t="shared" si="9"/>
        <v>4.7969178175109199</v>
      </c>
      <c r="O17" s="57">
        <f>Variables!$C$22*'Cost Calculations'!$N17/100</f>
        <v>0.26046612583769696</v>
      </c>
      <c r="P17" s="57">
        <f>Variables!$C$23*'Cost Calculations'!$N17/100</f>
        <v>0.45581572021596978</v>
      </c>
      <c r="Q17" s="57">
        <f>Variables!$C$24*'Cost Calculations'!$N17/100</f>
        <v>0.47752123070244451</v>
      </c>
      <c r="R17" s="57">
        <f>Variables!$C$25*'Cost Calculations'!$N17/100</f>
        <v>3.4728816778359599</v>
      </c>
      <c r="S17" s="58">
        <f>O17*Variables!$C$18*Variables!$E$31+P17*Variables!$C$18*Variables!$E$32+('Cost Calculations'!Q17+'Cost Calculations'!R17)*Variables!$C$18*Variables!$E$33</f>
        <v>34700.534116178744</v>
      </c>
      <c r="T17" s="59">
        <f>$L17*Variables!$C$22/100</f>
        <v>24.050883692307689</v>
      </c>
      <c r="U17" s="59">
        <f>$L17*Variables!$C$23/100</f>
        <v>42.089046461538459</v>
      </c>
      <c r="V17" s="59">
        <f>$L17*Variables!$C$24/100</f>
        <v>44.093286769230765</v>
      </c>
      <c r="W17" s="59">
        <f>$L17*Variables!$C$25/100</f>
        <v>320.67844923076916</v>
      </c>
      <c r="X17" s="62">
        <f>T17*Variables!$E$26*Variables!$C$18+'Cost Calculations'!U17*Variables!$E$27*Variables!$C$18+'Cost Calculations'!V17*Variables!$E$28*Variables!$C$18+W17*Variables!$E$29*Variables!$C$18</f>
        <v>503499002.8814224</v>
      </c>
      <c r="Y17" s="58">
        <f>J17*Variables!$E$30</f>
        <v>300603.80573999998</v>
      </c>
      <c r="Z17" s="1"/>
      <c r="AA17" s="245">
        <f>D17*(IF(D17&lt;Variables!$C$7,Variables!$C$38,IF(D17&gt;Variables!$C$6,Variables!$C$36,Variables!$C$37)))</f>
        <v>383.09266799999989</v>
      </c>
      <c r="AB17" s="97">
        <f>ROUND(0.2*543+0.2*9,0)</f>
        <v>110</v>
      </c>
      <c r="AC17" s="66">
        <f t="shared" si="2"/>
        <v>273</v>
      </c>
      <c r="AD17" s="62">
        <f>AC17*Variables!$E$41</f>
        <v>146764800</v>
      </c>
      <c r="AE17" s="71">
        <f>ROUND((H17/(3.14*Variables!$C$35^2)),0)</f>
        <v>32</v>
      </c>
      <c r="AF17" s="101">
        <v>0</v>
      </c>
      <c r="AG17" s="57">
        <f t="shared" si="3"/>
        <v>32</v>
      </c>
      <c r="AH17" s="58">
        <f>AG17*Variables!$E$42*Variables!$C$18</f>
        <v>36744.192000000003</v>
      </c>
      <c r="AI17" s="73">
        <f t="shared" si="4"/>
        <v>3</v>
      </c>
      <c r="AJ17" s="107">
        <v>1</v>
      </c>
      <c r="AK17" s="73">
        <f t="shared" si="5"/>
        <v>2</v>
      </c>
      <c r="AL17" s="62">
        <f>IF(AK17*Variables!$E$43*Variables!$C$18&lt;0,0,AK17*Variables!$E$43*Variables!$C$18)</f>
        <v>1890762.9839999999</v>
      </c>
      <c r="AM17" s="58">
        <f>AA17*Variables!$E$39*Variables!$C$18</f>
        <v>110733822.39318807</v>
      </c>
      <c r="AN17" s="1"/>
      <c r="AO17" s="75">
        <f>AVERAGE(Variables!$E$48)</f>
        <v>0.67714285714285716</v>
      </c>
      <c r="AP17" s="76">
        <f t="shared" si="6"/>
        <v>99.905729564553084</v>
      </c>
      <c r="AQ17" s="75">
        <f>VLOOKUP(B17,'Household Information'!$B$2:$E$48,4,FALSE)</f>
        <v>65.935833333333335</v>
      </c>
      <c r="AR17" s="79">
        <f>IF(12*(AP17-Variables!$C$45*AQ17*F17)*(G17/5)&lt;0,0,12*(AP17-Variables!$C$45*AQ17*F17)*(G17/5))</f>
        <v>23551155.358658995</v>
      </c>
      <c r="AS17" s="1"/>
      <c r="AT17" s="62">
        <f t="shared" si="7"/>
        <v>350000</v>
      </c>
      <c r="AU17" s="1"/>
    </row>
    <row r="18" spans="1:47" ht="14.25" customHeight="1">
      <c r="A18" s="1">
        <v>15</v>
      </c>
      <c r="B18" s="3" t="s">
        <v>207</v>
      </c>
      <c r="C18" s="1">
        <v>2019</v>
      </c>
      <c r="D18" s="13">
        <f>VLOOKUP(B18,Population!$B$1:$O$48,3,FALSE)</f>
        <v>279775.61499999999</v>
      </c>
      <c r="E18" s="13" t="str">
        <f t="shared" si="8"/>
        <v>Medium</v>
      </c>
      <c r="F18" s="54">
        <f>VLOOKUP(B18,'Household Information'!$B$1:$E$48,2,FALSE)</f>
        <v>2.4536973570595619</v>
      </c>
      <c r="G18" s="54">
        <f t="shared" si="0"/>
        <v>114022.05499999999</v>
      </c>
      <c r="H18" s="55">
        <f>VLOOKUP(B18,Area!$B$2:$F$48,5,FALSE)</f>
        <v>19.38</v>
      </c>
      <c r="I18" s="55"/>
      <c r="J18" s="13">
        <f>H18*Variables!$C$21</f>
        <v>348.84</v>
      </c>
      <c r="K18" s="108">
        <f>(4800+18000)/(7*10^3)</f>
        <v>3.2571428571428571</v>
      </c>
      <c r="L18" s="54">
        <f t="shared" si="1"/>
        <v>345.58285714285711</v>
      </c>
      <c r="M18" s="56">
        <f>1-VLOOKUP(B18,'Road Pavement Percentage'!$B$2:$F$48,5,FALSE)</f>
        <v>0</v>
      </c>
      <c r="N18" s="57">
        <f t="shared" si="9"/>
        <v>0</v>
      </c>
      <c r="O18" s="57">
        <f>Variables!$C$22*'Cost Calculations'!$N18/100</f>
        <v>0</v>
      </c>
      <c r="P18" s="57">
        <f>Variables!$C$23*'Cost Calculations'!$N18/100</f>
        <v>0</v>
      </c>
      <c r="Q18" s="57">
        <f>Variables!$C$24*'Cost Calculations'!$N18/100</f>
        <v>0</v>
      </c>
      <c r="R18" s="57">
        <f>Variables!$C$25*'Cost Calculations'!$N18/100</f>
        <v>0</v>
      </c>
      <c r="S18" s="58">
        <f>O18*Variables!$C$18*Variables!$E$31+P18*Variables!$C$18*Variables!$E$32+('Cost Calculations'!Q18+'Cost Calculations'!R18)*Variables!$C$18*Variables!$E$33</f>
        <v>0</v>
      </c>
      <c r="T18" s="59">
        <f>$L18*Variables!$C$22/100</f>
        <v>18.764680025856492</v>
      </c>
      <c r="U18" s="59">
        <f>$L18*Variables!$C$23/100</f>
        <v>32.838190045248865</v>
      </c>
      <c r="V18" s="59">
        <f>$L18*Variables!$C$24/100</f>
        <v>34.401913380736907</v>
      </c>
      <c r="W18" s="59">
        <f>$L18*Variables!$C$25/100</f>
        <v>250.19573367808658</v>
      </c>
      <c r="X18" s="62">
        <f>T18*Variables!$E$26*Variables!$C$18+'Cost Calculations'!U18*Variables!$E$27*Variables!$C$18+'Cost Calculations'!V18*Variables!$E$28*Variables!$C$18+W18*Variables!$E$29*Variables!$C$18</f>
        <v>392833702.21566898</v>
      </c>
      <c r="Y18" s="58">
        <f>J18*Variables!$E$30</f>
        <v>228490.19999999998</v>
      </c>
      <c r="Z18" s="1"/>
      <c r="AA18" s="245">
        <f>D18*(IF(D18&lt;Variables!$C$7,Variables!$C$38,IF(D18&gt;Variables!$C$6,Variables!$C$36,Variables!$C$37)))</f>
        <v>335.73073799999997</v>
      </c>
      <c r="AB18" s="97">
        <f>ROUND(77+0.2*261,0)</f>
        <v>129</v>
      </c>
      <c r="AC18" s="66">
        <f t="shared" si="2"/>
        <v>207</v>
      </c>
      <c r="AD18" s="62">
        <f>AC18*Variables!$E$41</f>
        <v>111283200</v>
      </c>
      <c r="AE18" s="71">
        <f>ROUND((H18/(3.14*Variables!$C$35^2)),0)</f>
        <v>25</v>
      </c>
      <c r="AF18" s="101">
        <v>0</v>
      </c>
      <c r="AG18" s="57">
        <f t="shared" si="3"/>
        <v>25</v>
      </c>
      <c r="AH18" s="58">
        <f>AG18*Variables!$E$42*Variables!$C$18</f>
        <v>28706.400000000001</v>
      </c>
      <c r="AI18" s="73">
        <f t="shared" si="4"/>
        <v>3</v>
      </c>
      <c r="AJ18" s="107">
        <v>1</v>
      </c>
      <c r="AK18" s="73">
        <f t="shared" si="5"/>
        <v>2</v>
      </c>
      <c r="AL18" s="62">
        <f>IF(AK18*Variables!$E$43*Variables!$C$18&lt;0,0,AK18*Variables!$E$43*Variables!$C$18)</f>
        <v>1890762.9839999999</v>
      </c>
      <c r="AM18" s="58">
        <f>AA18*Variables!$E$39*Variables!$C$18</f>
        <v>97043746.902579635</v>
      </c>
      <c r="AN18" s="1"/>
      <c r="AO18" s="75">
        <f>AVERAGE(Variables!$E$48)</f>
        <v>0.67714285714285716</v>
      </c>
      <c r="AP18" s="76">
        <f t="shared" si="6"/>
        <v>99.690218335391336</v>
      </c>
      <c r="AQ18" s="75">
        <f>VLOOKUP(B18,'Household Information'!$B$2:$E$48,4,FALSE)</f>
        <v>65.935833333333335</v>
      </c>
      <c r="AR18" s="79">
        <f>IF(12*(AP18-Variables!$C$45*AQ18*F18)*(G18/5)&lt;0,0,12*(AP18-Variables!$C$45*AQ18*F18)*(G18/5))</f>
        <v>20639514.743506499</v>
      </c>
      <c r="AS18" s="1"/>
      <c r="AT18" s="62">
        <f t="shared" si="7"/>
        <v>350000</v>
      </c>
      <c r="AU18" s="1"/>
    </row>
    <row r="19" spans="1:47" ht="14.25" customHeight="1">
      <c r="A19" s="1">
        <v>16</v>
      </c>
      <c r="B19" s="3" t="s">
        <v>208</v>
      </c>
      <c r="C19" s="1">
        <v>2019</v>
      </c>
      <c r="D19" s="13">
        <f>VLOOKUP(B19,Population!$B$1:$O$48,3,FALSE)</f>
        <v>466239.23499999993</v>
      </c>
      <c r="E19" s="13" t="str">
        <f t="shared" si="8"/>
        <v>Medium</v>
      </c>
      <c r="F19" s="54">
        <f>VLOOKUP(B19,'Household Information'!$B$1:$E$48,2,FALSE)</f>
        <v>3.2379076029492619</v>
      </c>
      <c r="G19" s="54">
        <f t="shared" si="0"/>
        <v>143993.99</v>
      </c>
      <c r="H19" s="55">
        <f>VLOOKUP(B19,Area!$B$2:$F$48,5,FALSE)</f>
        <v>31.656284999999997</v>
      </c>
      <c r="I19" s="55"/>
      <c r="J19" s="13">
        <f>H19*Variables!$C$21</f>
        <v>569.81313</v>
      </c>
      <c r="K19" s="13">
        <v>582</v>
      </c>
      <c r="L19" s="54">
        <f t="shared" si="1"/>
        <v>0</v>
      </c>
      <c r="M19" s="56">
        <f>1-VLOOKUP(B19,'Road Pavement Percentage'!$B$2:$F$48,5,FALSE)</f>
        <v>0.12113571585178684</v>
      </c>
      <c r="N19" s="57">
        <f t="shared" si="9"/>
        <v>70.500986625739941</v>
      </c>
      <c r="O19" s="57">
        <f>Variables!$C$22*'Cost Calculations'!$N19/100</f>
        <v>3.8281078710809013</v>
      </c>
      <c r="P19" s="57">
        <f>Variables!$C$23*'Cost Calculations'!$N19/100</f>
        <v>6.6991887743915779</v>
      </c>
      <c r="Q19" s="57">
        <f>Variables!$C$24*'Cost Calculations'!$N19/100</f>
        <v>7.0181977636483204</v>
      </c>
      <c r="R19" s="57">
        <f>Variables!$C$25*'Cost Calculations'!$N19/100</f>
        <v>51.04143828107869</v>
      </c>
      <c r="S19" s="58">
        <f>O19*Variables!$C$18*Variables!$E$31+P19*Variables!$C$18*Variables!$E$32+('Cost Calculations'!Q19+'Cost Calculations'!R19)*Variables!$C$18*Variables!$E$33</f>
        <v>509998.70848322718</v>
      </c>
      <c r="T19" s="59">
        <f>$L19*Variables!$C$22/100</f>
        <v>0</v>
      </c>
      <c r="U19" s="59">
        <f>$L19*Variables!$C$23/100</f>
        <v>0</v>
      </c>
      <c r="V19" s="59">
        <f>$L19*Variables!$C$24/100</f>
        <v>0</v>
      </c>
      <c r="W19" s="59">
        <f>$L19*Variables!$C$25/100</f>
        <v>0</v>
      </c>
      <c r="X19" s="62">
        <f>T19*Variables!$E$26*Variables!$C$18+'Cost Calculations'!U19*Variables!$E$27*Variables!$C$18+'Cost Calculations'!V19*Variables!$E$28*Variables!$C$18+W19*Variables!$E$29*Variables!$C$18</f>
        <v>0</v>
      </c>
      <c r="Y19" s="58">
        <f>J19*Variables!$E$30</f>
        <v>373227.60015000001</v>
      </c>
      <c r="Z19" s="1"/>
      <c r="AA19" s="245">
        <f>D19*(IF(D19&lt;Variables!$C$7,Variables!$C$38,IF(D19&gt;Variables!$C$6,Variables!$C$36,Variables!$C$37)))</f>
        <v>559.48708199999987</v>
      </c>
      <c r="AB19" s="97">
        <f>ROUND(1+0.2*(2+138),0)</f>
        <v>29</v>
      </c>
      <c r="AC19" s="66">
        <f t="shared" si="2"/>
        <v>530</v>
      </c>
      <c r="AD19" s="62">
        <f>AC19*Variables!$E$41</f>
        <v>284928000</v>
      </c>
      <c r="AE19" s="71">
        <f>ROUND((H19/(3.14*Variables!$C$35^2)),0)</f>
        <v>40</v>
      </c>
      <c r="AF19" s="101">
        <v>0</v>
      </c>
      <c r="AG19" s="57">
        <f t="shared" si="3"/>
        <v>40</v>
      </c>
      <c r="AH19" s="58">
        <f>AG19*Variables!$E$42*Variables!$C$18</f>
        <v>45930.239999999998</v>
      </c>
      <c r="AI19" s="73">
        <f t="shared" si="4"/>
        <v>5</v>
      </c>
      <c r="AJ19" s="107">
        <v>1</v>
      </c>
      <c r="AK19" s="73">
        <f t="shared" si="5"/>
        <v>4</v>
      </c>
      <c r="AL19" s="62">
        <f>IF(AK19*Variables!$E$43*Variables!$C$18&lt;0,0,AK19*Variables!$E$43*Variables!$C$18)</f>
        <v>3781525.9679999999</v>
      </c>
      <c r="AM19" s="58">
        <f>AA19*Variables!$E$39*Variables!$C$18</f>
        <v>161721036.04308882</v>
      </c>
      <c r="AN19" s="1"/>
      <c r="AO19" s="75">
        <f>AVERAGE(Variables!$E$48)</f>
        <v>0.67714285714285716</v>
      </c>
      <c r="AP19" s="76">
        <f t="shared" si="6"/>
        <v>131.55156032553859</v>
      </c>
      <c r="AQ19" s="75">
        <f>VLOOKUP(B19,'Household Information'!$B$2:$E$48,4,FALSE)</f>
        <v>65.935833333333335</v>
      </c>
      <c r="AR19" s="79">
        <f>IF(12*(AP19-Variables!$C$45*AQ19*F19)*(G19/5)&lt;0,0,12*(AP19-Variables!$C$45*AQ19*F19)*(G19/5))</f>
        <v>34395247.6515285</v>
      </c>
      <c r="AS19" s="1"/>
      <c r="AT19" s="62">
        <f t="shared" si="7"/>
        <v>350000</v>
      </c>
      <c r="AU19" s="1"/>
    </row>
    <row r="20" spans="1:47" ht="14.25" customHeight="1">
      <c r="A20" s="1">
        <v>17</v>
      </c>
      <c r="B20" s="3" t="s">
        <v>209</v>
      </c>
      <c r="C20" s="1">
        <v>2019</v>
      </c>
      <c r="D20" s="13">
        <f>VLOOKUP(B20,Population!$B$1:$O$48,3,FALSE)</f>
        <v>440228.84499999997</v>
      </c>
      <c r="E20" s="13" t="str">
        <f t="shared" si="8"/>
        <v>Medium</v>
      </c>
      <c r="F20" s="54">
        <f>VLOOKUP(B20,'Household Information'!$B$1:$E$48,2,FALSE)</f>
        <v>3.2463324451363733</v>
      </c>
      <c r="G20" s="54">
        <f t="shared" si="0"/>
        <v>135608.06</v>
      </c>
      <c r="H20" s="119">
        <f>VLOOKUP(B20,Area!$B$2:$F$48,5,FALSE)</f>
        <v>25.896000000000001</v>
      </c>
      <c r="I20" s="55"/>
      <c r="J20" s="13">
        <f>H20*Variables!$C$21</f>
        <v>466.12800000000004</v>
      </c>
      <c r="K20" s="108">
        <f>773.7*(1+(1-'Road Pavement Percentage'!F23))</f>
        <v>961.78647000000012</v>
      </c>
      <c r="L20" s="54">
        <f t="shared" si="1"/>
        <v>0</v>
      </c>
      <c r="M20" s="56">
        <f>1-VLOOKUP(B20,'Road Pavement Percentage'!$B$2:$F$48,5,FALSE)</f>
        <v>0.1541042849767682</v>
      </c>
      <c r="N20" s="57">
        <f t="shared" si="9"/>
        <v>148.21541625967993</v>
      </c>
      <c r="O20" s="57">
        <f>Variables!$C$22*'Cost Calculations'!$N20/100</f>
        <v>8.0478959055029815</v>
      </c>
      <c r="P20" s="57">
        <f>Variables!$C$23*'Cost Calculations'!$N20/100</f>
        <v>14.083817834630219</v>
      </c>
      <c r="Q20" s="57">
        <f>Variables!$C$24*'Cost Calculations'!$N20/100</f>
        <v>14.754475826755467</v>
      </c>
      <c r="R20" s="57">
        <f>Variables!$C$25*'Cost Calculations'!$N20/100</f>
        <v>107.30527874003975</v>
      </c>
      <c r="S20" s="58">
        <f>O20*Variables!$C$18*Variables!$E$31+P20*Variables!$C$18*Variables!$E$32+('Cost Calculations'!Q20+'Cost Calculations'!R20)*Variables!$C$18*Variables!$E$33</f>
        <v>1072178.908233078</v>
      </c>
      <c r="T20" s="59">
        <f>$L20*Variables!$C$22/100</f>
        <v>0</v>
      </c>
      <c r="U20" s="59">
        <f>$L20*Variables!$C$23/100</f>
        <v>0</v>
      </c>
      <c r="V20" s="59">
        <f>$L20*Variables!$C$24/100</f>
        <v>0</v>
      </c>
      <c r="W20" s="59">
        <f>$L20*Variables!$C$25/100</f>
        <v>0</v>
      </c>
      <c r="X20" s="62">
        <f>T20*Variables!$E$26*Variables!$C$18+'Cost Calculations'!U20*Variables!$E$27*Variables!$C$18+'Cost Calculations'!V20*Variables!$E$28*Variables!$C$18+W20*Variables!$E$29*Variables!$C$18</f>
        <v>0</v>
      </c>
      <c r="Y20" s="58">
        <f>J20*Variables!$E$30</f>
        <v>305313.84000000003</v>
      </c>
      <c r="Z20" s="1"/>
      <c r="AA20" s="245">
        <f>D20*(IF(D20&lt;Variables!$C$7,Variables!$C$38,IF(D20&gt;Variables!$C$6,Variables!$C$36,Variables!$C$37)))</f>
        <v>528.27461399999993</v>
      </c>
      <c r="AB20" s="97">
        <f>ROUND(44+0.2*75,0)</f>
        <v>59</v>
      </c>
      <c r="AC20" s="66">
        <f t="shared" si="2"/>
        <v>469</v>
      </c>
      <c r="AD20" s="62">
        <f>AC20*Variables!$E$41</f>
        <v>252134400</v>
      </c>
      <c r="AE20" s="71">
        <f>ROUND((H20/(3.14*Variables!$C$35^2)),0)</f>
        <v>33</v>
      </c>
      <c r="AF20" s="101">
        <v>0</v>
      </c>
      <c r="AG20" s="57">
        <f t="shared" si="3"/>
        <v>33</v>
      </c>
      <c r="AH20" s="58">
        <f>AG20*Variables!$E$42*Variables!$C$18</f>
        <v>37892.448000000004</v>
      </c>
      <c r="AI20" s="73">
        <f t="shared" si="4"/>
        <v>4</v>
      </c>
      <c r="AJ20" s="107">
        <v>0</v>
      </c>
      <c r="AK20" s="73">
        <f t="shared" si="5"/>
        <v>4</v>
      </c>
      <c r="AL20" s="62">
        <f>IF(AK20*Variables!$E$43*Variables!$C$18&lt;0,0,AK20*Variables!$E$43*Variables!$C$18)</f>
        <v>3781525.9679999999</v>
      </c>
      <c r="AM20" s="58">
        <f>AA20*Variables!$E$39*Variables!$C$18</f>
        <v>152698999.9231883</v>
      </c>
      <c r="AN20" s="1"/>
      <c r="AO20" s="75">
        <f>AVERAGE(Variables!$E$48)</f>
        <v>0.67714285714285716</v>
      </c>
      <c r="AP20" s="76">
        <f t="shared" si="6"/>
        <v>131.89384962811206</v>
      </c>
      <c r="AQ20" s="75">
        <f>VLOOKUP(B20,'Household Information'!$B$2:$E$48,4,FALSE)</f>
        <v>47.15</v>
      </c>
      <c r="AR20" s="79">
        <f>IF(12*(AP20-Variables!$C$45*AQ20*F20)*(G20/5)&lt;0,0,12*(AP20-Variables!$C$45*AQ20*F20)*(G20/5))</f>
        <v>35453641.362569995</v>
      </c>
      <c r="AS20" s="1"/>
      <c r="AT20" s="62">
        <f t="shared" si="7"/>
        <v>350000</v>
      </c>
      <c r="AU20" s="1"/>
    </row>
    <row r="21" spans="1:47" ht="14.25" customHeight="1">
      <c r="A21" s="1">
        <v>18</v>
      </c>
      <c r="B21" s="3" t="s">
        <v>210</v>
      </c>
      <c r="C21" s="1">
        <v>2019</v>
      </c>
      <c r="D21" s="13">
        <f>VLOOKUP(B21,Population!$B$1:$O$48,3,FALSE)</f>
        <v>278741.32999999996</v>
      </c>
      <c r="E21" s="13" t="str">
        <f t="shared" si="8"/>
        <v>Medium</v>
      </c>
      <c r="F21" s="54">
        <f>VLOOKUP(B21,'Household Information'!$B$1:$E$48,2,FALSE)</f>
        <v>3.2199371541131225</v>
      </c>
      <c r="G21" s="54">
        <f t="shared" si="0"/>
        <v>86567.319999999992</v>
      </c>
      <c r="H21" s="55">
        <f>VLOOKUP(B21,Area!$B$2:$F$48,5,FALSE)</f>
        <v>16.261485999999998</v>
      </c>
      <c r="I21" s="55"/>
      <c r="J21" s="13">
        <f>H21*Variables!$C$21</f>
        <v>292.70674799999995</v>
      </c>
      <c r="K21" s="13">
        <v>512</v>
      </c>
      <c r="L21" s="54">
        <f t="shared" si="1"/>
        <v>0</v>
      </c>
      <c r="M21" s="56">
        <f>1-VLOOKUP(B21,'Road Pavement Percentage'!$B$2:$F$48,5,FALSE)</f>
        <v>0.96085106382978724</v>
      </c>
      <c r="N21" s="57">
        <f t="shared" si="9"/>
        <v>491.95574468085107</v>
      </c>
      <c r="O21" s="57">
        <f>Variables!$C$22*'Cost Calculations'!$N21/100</f>
        <v>26.712529122942136</v>
      </c>
      <c r="P21" s="57">
        <f>Variables!$C$23*'Cost Calculations'!$N21/100</f>
        <v>46.746925965148748</v>
      </c>
      <c r="Q21" s="57">
        <f>Variables!$C$24*'Cost Calculations'!$N21/100</f>
        <v>48.972970058727263</v>
      </c>
      <c r="R21" s="57">
        <f>Variables!$C$25*'Cost Calculations'!$N21/100</f>
        <v>356.1670549725618</v>
      </c>
      <c r="S21" s="58">
        <f>O21*Variables!$C$18*Variables!$E$31+P21*Variables!$C$18*Variables!$E$32+('Cost Calculations'!Q21+'Cost Calculations'!R21)*Variables!$C$18*Variables!$E$33</f>
        <v>3558769.9750933098</v>
      </c>
      <c r="T21" s="59">
        <f>$L21*Variables!$C$22/100</f>
        <v>0</v>
      </c>
      <c r="U21" s="59">
        <f>$L21*Variables!$C$23/100</f>
        <v>0</v>
      </c>
      <c r="V21" s="59">
        <f>$L21*Variables!$C$24/100</f>
        <v>0</v>
      </c>
      <c r="W21" s="59">
        <f>$L21*Variables!$C$25/100</f>
        <v>0</v>
      </c>
      <c r="X21" s="62">
        <f>T21*Variables!$E$26*Variables!$C$18+'Cost Calculations'!U21*Variables!$E$27*Variables!$C$18+'Cost Calculations'!V21*Variables!$E$28*Variables!$C$18+W21*Variables!$E$29*Variables!$C$18</f>
        <v>0</v>
      </c>
      <c r="Y21" s="58">
        <f>J21*Variables!$E$30</f>
        <v>191722.91993999996</v>
      </c>
      <c r="Z21" s="1"/>
      <c r="AA21" s="245">
        <f>D21*(IF(D21&lt;Variables!$C$7,Variables!$C$38,IF(D21&gt;Variables!$C$6,Variables!$C$36,Variables!$C$37)))</f>
        <v>334.48959599999989</v>
      </c>
      <c r="AB21" s="97">
        <f>ROUND(0.2*145,0)</f>
        <v>29</v>
      </c>
      <c r="AC21" s="66">
        <f t="shared" si="2"/>
        <v>305</v>
      </c>
      <c r="AD21" s="62">
        <f>AC21*Variables!$E$41</f>
        <v>163968000</v>
      </c>
      <c r="AE21" s="71">
        <f>ROUND((H21/(3.14*Variables!$C$35^2)),0)</f>
        <v>21</v>
      </c>
      <c r="AF21" s="101">
        <v>0</v>
      </c>
      <c r="AG21" s="57">
        <f t="shared" si="3"/>
        <v>21</v>
      </c>
      <c r="AH21" s="58">
        <f>AG21*Variables!$E$42*Variables!$C$18</f>
        <v>24113.376</v>
      </c>
      <c r="AI21" s="73">
        <f t="shared" si="4"/>
        <v>3</v>
      </c>
      <c r="AJ21" s="107">
        <v>0</v>
      </c>
      <c r="AK21" s="73">
        <f t="shared" si="5"/>
        <v>3</v>
      </c>
      <c r="AL21" s="62">
        <f>IF(AK21*Variables!$E$43*Variables!$C$18&lt;0,0,AK21*Variables!$E$43*Variables!$C$18)</f>
        <v>2836144.4760000003</v>
      </c>
      <c r="AM21" s="58">
        <f>AA21*Variables!$E$39*Variables!$C$18</f>
        <v>96684991.93472749</v>
      </c>
      <c r="AN21" s="1"/>
      <c r="AO21" s="75">
        <f>AVERAGE(Variables!$E$48)</f>
        <v>0.67714285714285716</v>
      </c>
      <c r="AP21" s="76">
        <f t="shared" si="6"/>
        <v>130.82144666139601</v>
      </c>
      <c r="AQ21" s="75">
        <f>VLOOKUP(B21,'Household Information'!$B$2:$E$48,4,FALSE)</f>
        <v>65.935833333333335</v>
      </c>
      <c r="AR21" s="79">
        <f>IF(12*(AP21-Variables!$C$45*AQ21*F21)*(G21/5)&lt;0,0,12*(AP21-Variables!$C$45*AQ21*F21)*(G21/5))</f>
        <v>20563213.810323</v>
      </c>
      <c r="AS21" s="1"/>
      <c r="AT21" s="62">
        <f t="shared" si="7"/>
        <v>350000</v>
      </c>
      <c r="AU21" s="1"/>
    </row>
    <row r="22" spans="1:47" ht="14.25" customHeight="1">
      <c r="A22" s="1">
        <v>19</v>
      </c>
      <c r="B22" s="3" t="s">
        <v>211</v>
      </c>
      <c r="C22" s="1">
        <v>2019</v>
      </c>
      <c r="D22" s="13">
        <f>VLOOKUP(B22,Population!$B$1:$O$48,3,FALSE)</f>
        <v>281429.05</v>
      </c>
      <c r="E22" s="13" t="str">
        <f t="shared" si="8"/>
        <v>Medium</v>
      </c>
      <c r="F22" s="54">
        <f>VLOOKUP(B22,'Household Information'!$B$1:$E$48,2,FALSE)</f>
        <v>2.5344143617118515</v>
      </c>
      <c r="G22" s="54">
        <f t="shared" si="0"/>
        <v>111043.03</v>
      </c>
      <c r="H22" s="55">
        <f>VLOOKUP(B22,Area!$B$2:$F$48,5,FALSE)</f>
        <v>33.110705594037988</v>
      </c>
      <c r="I22" s="55"/>
      <c r="J22" s="13">
        <f>H22*Variables!$C$21</f>
        <v>595.9927006926838</v>
      </c>
      <c r="K22" s="106">
        <v>302</v>
      </c>
      <c r="L22" s="54">
        <f t="shared" si="1"/>
        <v>293.9927006926838</v>
      </c>
      <c r="M22" s="56">
        <f>1-VLOOKUP(B22,'Road Pavement Percentage'!$B$2:$F$48,5,FALSE)</f>
        <v>0.59829682288778718</v>
      </c>
      <c r="N22" s="57">
        <f t="shared" si="9"/>
        <v>180.68564051211172</v>
      </c>
      <c r="O22" s="57">
        <f>Variables!$C$22*'Cost Calculations'!$N22/100</f>
        <v>9.8109850051825358</v>
      </c>
      <c r="P22" s="57">
        <f>Variables!$C$23*'Cost Calculations'!$N22/100</f>
        <v>17.169223759069439</v>
      </c>
      <c r="Q22" s="57">
        <f>Variables!$C$24*'Cost Calculations'!$N22/100</f>
        <v>17.986805842834652</v>
      </c>
      <c r="R22" s="57">
        <f>Variables!$C$25*'Cost Calculations'!$N22/100</f>
        <v>130.81313340243381</v>
      </c>
      <c r="S22" s="58">
        <f>O22*Variables!$C$18*Variables!$E$31+P22*Variables!$C$18*Variables!$E$32+('Cost Calculations'!Q22+'Cost Calculations'!R22)*Variables!$C$18*Variables!$E$33</f>
        <v>1307066.0101797476</v>
      </c>
      <c r="T22" s="59">
        <f>$L22*Variables!$C$22/100</f>
        <v>15.963404562498665</v>
      </c>
      <c r="U22" s="59">
        <f>$L22*Variables!$C$23/100</f>
        <v>27.935957984372667</v>
      </c>
      <c r="V22" s="59">
        <f>$L22*Variables!$C$24/100</f>
        <v>29.266241697914225</v>
      </c>
      <c r="W22" s="59">
        <f>$L22*Variables!$C$25/100</f>
        <v>212.8453941666489</v>
      </c>
      <c r="X22" s="62">
        <f>T22*Variables!$E$26*Variables!$C$18+'Cost Calculations'!U22*Variables!$E$27*Variables!$C$18+'Cost Calculations'!V22*Variables!$E$28*Variables!$C$18+W22*Variables!$E$29*Variables!$C$18</f>
        <v>334189728.0215745</v>
      </c>
      <c r="Y22" s="58">
        <f>J22*Variables!$E$30</f>
        <v>390375.2189537079</v>
      </c>
      <c r="Z22" s="1"/>
      <c r="AA22" s="245">
        <f>D22*(IF(D22&lt;Variables!$C$7,Variables!$C$38,IF(D22&gt;Variables!$C$6,Variables!$C$36,Variables!$C$37)))</f>
        <v>337.71485999999993</v>
      </c>
      <c r="AB22" s="97">
        <f>ROUND(10+0.2*387+0.2*181,0)</f>
        <v>124</v>
      </c>
      <c r="AC22" s="66">
        <f t="shared" si="2"/>
        <v>214</v>
      </c>
      <c r="AD22" s="62">
        <f>AC22*Variables!$E$41</f>
        <v>115046400</v>
      </c>
      <c r="AE22" s="71">
        <f>ROUND((H22/(3.14*Variables!$C$35^2)),0)</f>
        <v>42</v>
      </c>
      <c r="AF22" s="101">
        <v>0</v>
      </c>
      <c r="AG22" s="57">
        <f t="shared" si="3"/>
        <v>42</v>
      </c>
      <c r="AH22" s="58">
        <f>AG22*Variables!$E$42*Variables!$C$18</f>
        <v>48226.752</v>
      </c>
      <c r="AI22" s="73">
        <f t="shared" si="4"/>
        <v>3</v>
      </c>
      <c r="AJ22" s="73">
        <v>1</v>
      </c>
      <c r="AK22" s="73">
        <f t="shared" si="5"/>
        <v>2</v>
      </c>
      <c r="AL22" s="62">
        <f>IF(AK22*Variables!$E$43*Variables!$C$18&lt;0,0,AK22*Variables!$E$43*Variables!$C$18)</f>
        <v>1890762.9839999999</v>
      </c>
      <c r="AM22" s="58">
        <f>AA22*Variables!$E$39*Variables!$C$18</f>
        <v>97617261.959136173</v>
      </c>
      <c r="AN22" s="1"/>
      <c r="AO22" s="75">
        <f>AVERAGE(Variables!$E$48)</f>
        <v>0.67714285714285716</v>
      </c>
      <c r="AP22" s="76">
        <f t="shared" si="6"/>
        <v>102.96963492440722</v>
      </c>
      <c r="AQ22" s="75">
        <f>VLOOKUP(B22,'Household Information'!$B$2:$E$48,4,FALSE)</f>
        <v>65.935833333333335</v>
      </c>
      <c r="AR22" s="79">
        <f>IF(12*(AP22-Variables!$C$45*AQ22*F22)*(G22/5)&lt;0,0,12*(AP22-Variables!$C$45*AQ22*F22)*(G22/5))</f>
        <v>20761491.407054998</v>
      </c>
      <c r="AS22" s="1"/>
      <c r="AT22" s="62">
        <f t="shared" si="7"/>
        <v>350000</v>
      </c>
      <c r="AU22" s="1"/>
    </row>
    <row r="23" spans="1:47" ht="14.25" customHeight="1">
      <c r="A23" s="1">
        <v>20</v>
      </c>
      <c r="B23" s="3" t="s">
        <v>212</v>
      </c>
      <c r="C23" s="1">
        <v>2019</v>
      </c>
      <c r="D23" s="13">
        <f>VLOOKUP(B23,Population!$B$1:$O$48,3,FALSE)</f>
        <v>170510.86499999999</v>
      </c>
      <c r="E23" s="13" t="str">
        <f t="shared" si="8"/>
        <v>Medium</v>
      </c>
      <c r="F23" s="54">
        <f>VLOOKUP(B23,'Household Information'!$B$1:$E$48,2,FALSE)</f>
        <v>2.6024941905499612</v>
      </c>
      <c r="G23" s="54">
        <f t="shared" si="0"/>
        <v>65518.25</v>
      </c>
      <c r="H23" s="55">
        <f>VLOOKUP(B23,Area!$B$2:$F$48,5,FALSE)</f>
        <v>15</v>
      </c>
      <c r="I23" s="55"/>
      <c r="J23" s="13">
        <f>H23*Variables!$C$21</f>
        <v>270</v>
      </c>
      <c r="K23" s="13">
        <v>90</v>
      </c>
      <c r="L23" s="54">
        <f t="shared" si="1"/>
        <v>180</v>
      </c>
      <c r="M23" s="56">
        <f>1-VLOOKUP(B23,'Road Pavement Percentage'!$B$2:$F$48,5,FALSE)</f>
        <v>0.27667969837446593</v>
      </c>
      <c r="N23" s="57">
        <f t="shared" si="9"/>
        <v>24.901172853701933</v>
      </c>
      <c r="O23" s="57">
        <f>Variables!$C$22*'Cost Calculations'!$N23/100</f>
        <v>1.3520998834589284</v>
      </c>
      <c r="P23" s="57">
        <f>Variables!$C$23*'Cost Calculations'!$N23/100</f>
        <v>2.3661747960531248</v>
      </c>
      <c r="Q23" s="57">
        <f>Variables!$C$24*'Cost Calculations'!$N23/100</f>
        <v>2.4788497863413692</v>
      </c>
      <c r="R23" s="57">
        <f>Variables!$C$25*'Cost Calculations'!$N23/100</f>
        <v>18.027998446119046</v>
      </c>
      <c r="S23" s="58">
        <f>O23*Variables!$C$18*Variables!$E$31+P23*Variables!$C$18*Variables!$E$32+('Cost Calculations'!Q23+'Cost Calculations'!R23)*Variables!$C$18*Variables!$E$33</f>
        <v>180133.16696576506</v>
      </c>
      <c r="T23" s="59">
        <f>$L23*Variables!$C$22/100</f>
        <v>9.7737556561085963</v>
      </c>
      <c r="U23" s="59">
        <f>$L23*Variables!$C$23/100</f>
        <v>17.104072398190045</v>
      </c>
      <c r="V23" s="59">
        <f>$L23*Variables!$C$24/100</f>
        <v>17.918552036199095</v>
      </c>
      <c r="W23" s="59">
        <f>$L23*Variables!$C$25/100</f>
        <v>130.31674208144796</v>
      </c>
      <c r="X23" s="62">
        <f>T23*Variables!$E$26*Variables!$C$18+'Cost Calculations'!U23*Variables!$E$27*Variables!$C$18+'Cost Calculations'!V23*Variables!$E$28*Variables!$C$18+W23*Variables!$E$29*Variables!$C$18</f>
        <v>204611035.92760181</v>
      </c>
      <c r="Y23" s="58">
        <f>J23*Variables!$E$30</f>
        <v>176850</v>
      </c>
      <c r="Z23" s="1"/>
      <c r="AA23" s="245">
        <f>D23*(IF(D23&lt;Variables!$C$7,Variables!$C$38,IF(D23&gt;Variables!$C$6,Variables!$C$36,Variables!$C$37)))</f>
        <v>204.61303799999996</v>
      </c>
      <c r="AB23" s="97">
        <f>ROUND(0.2*(96+377),0)</f>
        <v>95</v>
      </c>
      <c r="AC23" s="66">
        <f t="shared" si="2"/>
        <v>110</v>
      </c>
      <c r="AD23" s="62">
        <f>AC23*Variables!$E$41</f>
        <v>59136000</v>
      </c>
      <c r="AE23" s="71">
        <f>ROUND((H23/(3.14*Variables!$C$35^2)),0)</f>
        <v>19</v>
      </c>
      <c r="AF23" s="101">
        <v>0</v>
      </c>
      <c r="AG23" s="57">
        <f t="shared" si="3"/>
        <v>19</v>
      </c>
      <c r="AH23" s="58">
        <f>AG23*Variables!$E$42*Variables!$C$18</f>
        <v>21816.864000000001</v>
      </c>
      <c r="AI23" s="73">
        <f t="shared" si="4"/>
        <v>2</v>
      </c>
      <c r="AJ23" s="107">
        <v>0</v>
      </c>
      <c r="AK23" s="73">
        <f t="shared" si="5"/>
        <v>2</v>
      </c>
      <c r="AL23" s="62">
        <f>IF(AK23*Variables!$E$43*Variables!$C$18&lt;0,0,AK23*Variables!$E$43*Variables!$C$18)</f>
        <v>1890762.9839999999</v>
      </c>
      <c r="AM23" s="58">
        <f>AA23*Variables!$E$39*Variables!$C$18</f>
        <v>59143872.232038237</v>
      </c>
      <c r="AN23" s="1"/>
      <c r="AO23" s="75">
        <f>AVERAGE(Variables!$E$48)</f>
        <v>0.67714285714285716</v>
      </c>
      <c r="AP23" s="76">
        <f t="shared" si="6"/>
        <v>105.73562111320128</v>
      </c>
      <c r="AQ23" s="75">
        <f>VLOOKUP(B23,'Household Information'!$B$2:$E$48,4,FALSE)</f>
        <v>65.935833333333335</v>
      </c>
      <c r="AR23" s="79">
        <f>IF(12*(AP23-Variables!$C$45*AQ23*F23)*(G23/5)&lt;0,0,12*(AP23-Variables!$C$45*AQ23*F23)*(G23/5))</f>
        <v>12578871.507781498</v>
      </c>
      <c r="AS23" s="1"/>
      <c r="AT23" s="62">
        <f>IF(D23&lt;100000,100000,350000)</f>
        <v>350000</v>
      </c>
      <c r="AU23" s="1"/>
    </row>
    <row r="24" spans="1:47" ht="14.25" customHeight="1">
      <c r="A24" s="1">
        <v>21</v>
      </c>
      <c r="B24" s="3" t="s">
        <v>213</v>
      </c>
      <c r="C24" s="1">
        <v>2019</v>
      </c>
      <c r="D24" s="13">
        <f>VLOOKUP(B24,Population!$B$1:$O$48,3,FALSE)</f>
        <v>180236.59499999997</v>
      </c>
      <c r="E24" s="13" t="str">
        <f t="shared" si="8"/>
        <v>Medium</v>
      </c>
      <c r="F24" s="54">
        <f>VLOOKUP(B24,'Household Information'!$B$1:$E$48,2,FALSE)</f>
        <v>3.3084232295567606</v>
      </c>
      <c r="G24" s="54">
        <f t="shared" si="0"/>
        <v>54478.094999999987</v>
      </c>
      <c r="H24" s="55">
        <f>VLOOKUP(B24,Area!$B$2:$F$48,5,FALSE)</f>
        <v>35.084811999999992</v>
      </c>
      <c r="I24" s="55"/>
      <c r="J24" s="13">
        <f>H24*Variables!$C$21</f>
        <v>631.52661599999988</v>
      </c>
      <c r="K24" s="13">
        <v>335.75</v>
      </c>
      <c r="L24" s="54">
        <f t="shared" si="1"/>
        <v>295.77661599999988</v>
      </c>
      <c r="M24" s="56">
        <f>1-VLOOKUP(B24,'Road Pavement Percentage'!$B$2:$F$48,5,FALSE)</f>
        <v>0.24309999999999998</v>
      </c>
      <c r="N24" s="57">
        <f t="shared" si="9"/>
        <v>81.620824999999996</v>
      </c>
      <c r="O24" s="57">
        <f>Variables!$C$22*'Cost Calculations'!$N24/100</f>
        <v>4.4318999999999997</v>
      </c>
      <c r="P24" s="57">
        <f>Variables!$C$23*'Cost Calculations'!$N24/100</f>
        <v>7.7558249999999997</v>
      </c>
      <c r="Q24" s="57">
        <f>Variables!$C$24*'Cost Calculations'!$N24/100</f>
        <v>8.1251499999999997</v>
      </c>
      <c r="R24" s="57">
        <f>Variables!$C$25*'Cost Calculations'!$N24/100</f>
        <v>59.091999999999999</v>
      </c>
      <c r="S24" s="58">
        <f>O24*Variables!$C$18*Variables!$E$31+P24*Variables!$C$18*Variables!$E$32+('Cost Calculations'!Q24+'Cost Calculations'!R24)*Variables!$C$18*Variables!$E$33</f>
        <v>590438.76302488009</v>
      </c>
      <c r="T24" s="59">
        <f>$L24*Variables!$C$22/100</f>
        <v>16.060268742081441</v>
      </c>
      <c r="U24" s="59">
        <f>$L24*Variables!$C$23/100</f>
        <v>28.105470298642523</v>
      </c>
      <c r="V24" s="59">
        <f>$L24*Variables!$C$24/100</f>
        <v>29.443826027149306</v>
      </c>
      <c r="W24" s="59">
        <f>$L24*Variables!$C$25/100</f>
        <v>214.13691656108588</v>
      </c>
      <c r="X24" s="62">
        <f>T24*Variables!$E$26*Variables!$C$18+'Cost Calculations'!U24*Variables!$E$27*Variables!$C$18+'Cost Calculations'!V24*Variables!$E$28*Variables!$C$18+W24*Variables!$E$29*Variables!$C$18</f>
        <v>336217554.46066922</v>
      </c>
      <c r="Y24" s="58">
        <f>J24*Variables!$E$30</f>
        <v>413649.93347999989</v>
      </c>
      <c r="Z24" s="1"/>
      <c r="AA24" s="245">
        <f>D24*(IF(D24&lt;Variables!$C$7,Variables!$C$38,IF(D24&gt;Variables!$C$6,Variables!$C$36,Variables!$C$37)))</f>
        <v>216.28391399999995</v>
      </c>
      <c r="AB24" s="97">
        <f>ROUND(0.2*28,0)</f>
        <v>6</v>
      </c>
      <c r="AC24" s="66">
        <f t="shared" si="2"/>
        <v>210</v>
      </c>
      <c r="AD24" s="62">
        <f>AC24*Variables!$E$41</f>
        <v>112896000</v>
      </c>
      <c r="AE24" s="71">
        <f>ROUND((H24/(3.14*Variables!$C$35^2)),0)</f>
        <v>45</v>
      </c>
      <c r="AF24" s="101">
        <v>0</v>
      </c>
      <c r="AG24" s="57">
        <f t="shared" si="3"/>
        <v>45</v>
      </c>
      <c r="AH24" s="58">
        <f>AG24*Variables!$E$42*Variables!$C$18</f>
        <v>51671.520000000004</v>
      </c>
      <c r="AI24" s="73">
        <f t="shared" si="4"/>
        <v>2</v>
      </c>
      <c r="AJ24" s="120">
        <v>1</v>
      </c>
      <c r="AK24" s="66">
        <f t="shared" si="5"/>
        <v>1</v>
      </c>
      <c r="AL24" s="62">
        <f>IF(AK24*Variables!$E$43*Variables!$C$18&lt;0,0,AK24*Variables!$E$43*Variables!$C$18)</f>
        <v>945381.49199999997</v>
      </c>
      <c r="AM24" s="58">
        <f>AA24*Variables!$E$39*Variables!$C$18</f>
        <v>62517365.953293487</v>
      </c>
      <c r="AN24" s="1"/>
      <c r="AO24" s="75">
        <f>AVERAGE(Variables!$E$48)</f>
        <v>0.67714285714285716</v>
      </c>
      <c r="AP24" s="76">
        <f t="shared" si="6"/>
        <v>134.4165094979918</v>
      </c>
      <c r="AQ24" s="75">
        <f>VLOOKUP(B24,'Household Information'!$B$2:$E$48,4,FALSE)</f>
        <v>65.935833333333335</v>
      </c>
      <c r="AR24" s="79">
        <f>IF(12*(AP24-Variables!$C$45*AQ24*F24)*(G24/5)&lt;0,0,12*(AP24-Variables!$C$45*AQ24*F24)*(G24/5))</f>
        <v>13296354.865744494</v>
      </c>
      <c r="AS24" s="1"/>
      <c r="AT24" s="62">
        <f t="shared" ref="AT24:AT50" si="10">IF(D24&lt;100000,100000,350000)</f>
        <v>350000</v>
      </c>
      <c r="AU24" s="1"/>
    </row>
    <row r="25" spans="1:47" ht="14.25" customHeight="1">
      <c r="A25" s="1">
        <v>22</v>
      </c>
      <c r="B25" s="3" t="s">
        <v>214</v>
      </c>
      <c r="C25" s="1">
        <v>2019</v>
      </c>
      <c r="D25" s="13">
        <f>VLOOKUP(B25,Population!$B$1:$O$48,3,FALSE)</f>
        <v>159140.83499999999</v>
      </c>
      <c r="E25" s="13" t="str">
        <f t="shared" si="8"/>
        <v>Medium</v>
      </c>
      <c r="F25" s="54">
        <f>VLOOKUP(B25,'Household Information'!$B$1:$E$48,2,FALSE)</f>
        <v>2.4748082204754236</v>
      </c>
      <c r="G25" s="54">
        <f t="shared" si="0"/>
        <v>64304.310000000005</v>
      </c>
      <c r="H25" s="119">
        <f>VLOOKUP(B25,Area!$B$2:$F$48,5,FALSE)</f>
        <v>31.3</v>
      </c>
      <c r="I25" s="55"/>
      <c r="J25" s="13">
        <f>H25*Variables!$C$21</f>
        <v>563.4</v>
      </c>
      <c r="K25" s="13">
        <v>283.5</v>
      </c>
      <c r="L25" s="54">
        <f t="shared" si="1"/>
        <v>279.89999999999998</v>
      </c>
      <c r="M25" s="56">
        <f>1-VLOOKUP(B25,'Road Pavement Percentage'!$B$2:$F$48,5,FALSE)</f>
        <v>0.19635816677681817</v>
      </c>
      <c r="N25" s="57">
        <f t="shared" si="9"/>
        <v>55.66754028122795</v>
      </c>
      <c r="O25" s="57">
        <f>Variables!$C$22*'Cost Calculations'!$N25/100</f>
        <v>3.0226718704739155</v>
      </c>
      <c r="P25" s="57">
        <f>Variables!$C$23*'Cost Calculations'!$N25/100</f>
        <v>5.2896757733293533</v>
      </c>
      <c r="Q25" s="57">
        <f>Variables!$C$24*'Cost Calculations'!$N25/100</f>
        <v>5.5415650958688456</v>
      </c>
      <c r="R25" s="57">
        <f>Variables!$C$25*'Cost Calculations'!$N25/100</f>
        <v>40.302291606318875</v>
      </c>
      <c r="S25" s="58">
        <f>O25*Variables!$C$18*Variables!$E$31+P25*Variables!$C$18*Variables!$E$32+('Cost Calculations'!Q25+'Cost Calculations'!R25)*Variables!$C$18*Variables!$E$33</f>
        <v>402694.69984266779</v>
      </c>
      <c r="T25" s="59">
        <f>$L25*Variables!$C$22/100</f>
        <v>15.198190045248866</v>
      </c>
      <c r="U25" s="59">
        <f>$L25*Variables!$C$23/100</f>
        <v>26.59683257918552</v>
      </c>
      <c r="V25" s="59">
        <f>$L25*Variables!$C$24/100</f>
        <v>27.86334841628959</v>
      </c>
      <c r="W25" s="59">
        <f>$L25*Variables!$C$25/100</f>
        <v>202.64253393665157</v>
      </c>
      <c r="X25" s="62">
        <f>T25*Variables!$E$26*Variables!$C$18+'Cost Calculations'!U25*Variables!$E$27*Variables!$C$18+'Cost Calculations'!V25*Variables!$E$28*Variables!$C$18+W25*Variables!$E$29*Variables!$C$18</f>
        <v>318170160.86742079</v>
      </c>
      <c r="Y25" s="58">
        <f>J25*Variables!$E$30</f>
        <v>369027</v>
      </c>
      <c r="Z25" s="1"/>
      <c r="AA25" s="245">
        <f>D25*(IF(D25&lt;Variables!$C$7,Variables!$C$38,IF(D25&gt;Variables!$C$6,Variables!$C$36,Variables!$C$37)))</f>
        <v>190.96900199999996</v>
      </c>
      <c r="AB25" s="97">
        <f>ROUND(0.2*(78+43),0)</f>
        <v>24</v>
      </c>
      <c r="AC25" s="66">
        <f t="shared" si="2"/>
        <v>167</v>
      </c>
      <c r="AD25" s="62">
        <f>AC25*Variables!$E$41</f>
        <v>89779200</v>
      </c>
      <c r="AE25" s="71">
        <f>ROUND((H25/(3.14*Variables!$C$35^2)),0)</f>
        <v>40</v>
      </c>
      <c r="AF25" s="101">
        <v>0</v>
      </c>
      <c r="AG25" s="57">
        <f t="shared" si="3"/>
        <v>40</v>
      </c>
      <c r="AH25" s="58">
        <f>AG25*Variables!$E$42*Variables!$C$18</f>
        <v>45930.239999999998</v>
      </c>
      <c r="AI25" s="73">
        <f t="shared" si="4"/>
        <v>2</v>
      </c>
      <c r="AJ25" s="120">
        <v>1</v>
      </c>
      <c r="AK25" s="66">
        <f t="shared" si="5"/>
        <v>1</v>
      </c>
      <c r="AL25" s="62">
        <f>IF(AK25*Variables!$E$43*Variables!$C$18&lt;0,0,AK25*Variables!$E$43*Variables!$C$18)</f>
        <v>945381.49199999997</v>
      </c>
      <c r="AM25" s="58">
        <f>AA25*Variables!$E$39*Variables!$C$18</f>
        <v>55200032.045699134</v>
      </c>
      <c r="AN25" s="1"/>
      <c r="AO25" s="75">
        <f>AVERAGE(Variables!$E$48)</f>
        <v>0.67714285714285716</v>
      </c>
      <c r="AP25" s="76">
        <f t="shared" si="6"/>
        <v>100.5479225576015</v>
      </c>
      <c r="AQ25" s="75">
        <f>VLOOKUP(B25,'Household Information'!$B$2:$E$48,4,FALSE)</f>
        <v>65.935833333333335</v>
      </c>
      <c r="AR25" s="79">
        <f>IF(12*(AP25-Variables!$C$45*AQ25*F25)*(G25/5)&lt;0,0,12*(AP25-Variables!$C$45*AQ25*F25)*(G25/5))</f>
        <v>11740085.390488498</v>
      </c>
      <c r="AS25" s="1"/>
      <c r="AT25" s="62">
        <f t="shared" si="10"/>
        <v>350000</v>
      </c>
      <c r="AU25" s="1"/>
    </row>
    <row r="26" spans="1:47" ht="14.25" customHeight="1">
      <c r="A26" s="1">
        <v>23</v>
      </c>
      <c r="B26" s="3" t="s">
        <v>215</v>
      </c>
      <c r="C26" s="1">
        <v>2019</v>
      </c>
      <c r="D26" s="13">
        <f>VLOOKUP(B26,Population!$B$1:$O$48,3,FALSE)</f>
        <v>122489.18499999998</v>
      </c>
      <c r="E26" s="13" t="str">
        <f t="shared" si="8"/>
        <v>Medium</v>
      </c>
      <c r="F26" s="54">
        <f>VLOOKUP(B26,'Household Information'!$B$1:$E$48,2,FALSE)</f>
        <v>2.7568018275271275</v>
      </c>
      <c r="G26" s="54">
        <f t="shared" si="0"/>
        <v>44431.624999999993</v>
      </c>
      <c r="H26" s="55">
        <f>VLOOKUP(B26,Area!$B$2:$F$48,5,FALSE)</f>
        <v>14.881089649499996</v>
      </c>
      <c r="I26" s="55"/>
      <c r="J26" s="13">
        <f>H26*Variables!$C$21</f>
        <v>267.85961369099994</v>
      </c>
      <c r="K26" s="13">
        <v>116.06</v>
      </c>
      <c r="L26" s="54">
        <f t="shared" si="1"/>
        <v>151.79961369099993</v>
      </c>
      <c r="M26" s="56">
        <f>1-VLOOKUP(B26,'Road Pavement Percentage'!$B$2:$F$48,5,FALSE)</f>
        <v>0.24309999999999998</v>
      </c>
      <c r="N26" s="57">
        <f t="shared" si="9"/>
        <v>28.214185999999998</v>
      </c>
      <c r="O26" s="57">
        <f>Variables!$C$22*'Cost Calculations'!$N26/100</f>
        <v>1.5319919999999996</v>
      </c>
      <c r="P26" s="57">
        <f>Variables!$C$23*'Cost Calculations'!$N26/100</f>
        <v>2.6809859999999999</v>
      </c>
      <c r="Q26" s="57">
        <f>Variables!$C$24*'Cost Calculations'!$N26/100</f>
        <v>2.8086519999999995</v>
      </c>
      <c r="R26" s="57">
        <f>Variables!$C$25*'Cost Calculations'!$N26/100</f>
        <v>20.426559999999998</v>
      </c>
      <c r="S26" s="58">
        <f>O26*Variables!$C$18*Variables!$E$31+P26*Variables!$C$18*Variables!$E$32+('Cost Calculations'!Q26+'Cost Calculations'!R26)*Variables!$C$18*Variables!$E$33</f>
        <v>204099.24895507842</v>
      </c>
      <c r="T26" s="59">
        <f>$L26*Variables!$C$22/100</f>
        <v>8.2425129605972796</v>
      </c>
      <c r="U26" s="59">
        <f>$L26*Variables!$C$23/100</f>
        <v>14.424397681045242</v>
      </c>
      <c r="V26" s="59">
        <f>$L26*Variables!$C$24/100</f>
        <v>15.111273761095017</v>
      </c>
      <c r="W26" s="59">
        <f>$L26*Variables!$C$25/100</f>
        <v>109.90017280796376</v>
      </c>
      <c r="X26" s="62">
        <f>T26*Variables!$E$26*Variables!$C$18+'Cost Calculations'!U26*Variables!$E$27*Variables!$C$18+'Cost Calculations'!V26*Variables!$E$28*Variables!$C$18+W26*Variables!$E$29*Variables!$C$18</f>
        <v>172554867.83736259</v>
      </c>
      <c r="Y26" s="58">
        <f>J26*Variables!$E$30</f>
        <v>175448.04696760495</v>
      </c>
      <c r="Z26" s="1"/>
      <c r="AA26" s="245">
        <f>D26*(IF(D26&lt;Variables!$C$7,Variables!$C$38,IF(D26&gt;Variables!$C$6,Variables!$C$36,Variables!$C$37)))</f>
        <v>146.98702199999997</v>
      </c>
      <c r="AB26" s="97">
        <f>ROUND(0.2*(3+96),0)</f>
        <v>20</v>
      </c>
      <c r="AC26" s="66">
        <f t="shared" si="2"/>
        <v>127</v>
      </c>
      <c r="AD26" s="62">
        <f>AC26*Variables!$E$41</f>
        <v>68275200</v>
      </c>
      <c r="AE26" s="71">
        <f>ROUND((H26/(3.14*Variables!$C$35^2)),0)</f>
        <v>19</v>
      </c>
      <c r="AF26" s="101">
        <v>0</v>
      </c>
      <c r="AG26" s="57">
        <f t="shared" si="3"/>
        <v>19</v>
      </c>
      <c r="AH26" s="58">
        <f>AG26*Variables!$E$42*Variables!$C$18</f>
        <v>21816.864000000001</v>
      </c>
      <c r="AI26" s="73">
        <f t="shared" si="4"/>
        <v>1</v>
      </c>
      <c r="AJ26" s="120">
        <v>1</v>
      </c>
      <c r="AK26" s="66">
        <f t="shared" si="5"/>
        <v>0</v>
      </c>
      <c r="AL26" s="62">
        <f>IF(AK26*Variables!$E$43*Variables!$C$18&lt;0,0,AK26*Variables!$E$43*Variables!$C$18)</f>
        <v>0</v>
      </c>
      <c r="AM26" s="58">
        <f>AA26*Variables!$E$39*Variables!$C$18</f>
        <v>42486938.925836161</v>
      </c>
      <c r="AN26" s="1"/>
      <c r="AO26" s="75">
        <f>AVERAGE(Variables!$E$48)</f>
        <v>0.67714285714285716</v>
      </c>
      <c r="AP26" s="76">
        <f t="shared" si="6"/>
        <v>112.00491996410214</v>
      </c>
      <c r="AQ26" s="75">
        <f>VLOOKUP(B26,'Household Information'!$B$2:$E$48,4,FALSE)</f>
        <v>65.935833333333335</v>
      </c>
      <c r="AR26" s="79">
        <f>IF(12*(AP26-Variables!$C$45*AQ26*F26)*(G26/5)&lt;0,0,12*(AP26-Variables!$C$45*AQ26*F26)*(G26/5))</f>
        <v>9036231.9093734995</v>
      </c>
      <c r="AS26" s="1"/>
      <c r="AT26" s="62">
        <f t="shared" si="10"/>
        <v>350000</v>
      </c>
      <c r="AU26" s="1"/>
    </row>
    <row r="27" spans="1:47" ht="14.25" customHeight="1">
      <c r="A27" s="1">
        <v>24</v>
      </c>
      <c r="B27" s="3" t="s">
        <v>216</v>
      </c>
      <c r="C27" s="1">
        <v>2019</v>
      </c>
      <c r="D27" s="13">
        <f>VLOOKUP(B27,Population!$B$1:$O$48,3,FALSE)</f>
        <v>76871.024999999994</v>
      </c>
      <c r="E27" s="13" t="str">
        <f t="shared" si="8"/>
        <v>Small</v>
      </c>
      <c r="F27" s="54">
        <f>VLOOKUP(B27,'Household Information'!$B$1:$E$48,2,FALSE)</f>
        <v>2.845682723378673</v>
      </c>
      <c r="G27" s="54">
        <f t="shared" si="0"/>
        <v>27013.209999999995</v>
      </c>
      <c r="H27" s="55">
        <f>VLOOKUP(B27,Area!$B$2:$F$48,5,FALSE)</f>
        <v>8.4987556442699983</v>
      </c>
      <c r="I27" s="55"/>
      <c r="J27" s="13">
        <f>H27*Variables!$C$21</f>
        <v>152.97760159685998</v>
      </c>
      <c r="K27" s="108">
        <v>26.5</v>
      </c>
      <c r="L27" s="54">
        <f t="shared" si="1"/>
        <v>126.47760159685998</v>
      </c>
      <c r="M27" s="56">
        <f>1-VLOOKUP(B27,'Road Pavement Percentage'!$B$2:$F$48,5,FALSE)</f>
        <v>0.24309999999999998</v>
      </c>
      <c r="N27" s="57">
        <f t="shared" si="9"/>
        <v>6.4421499999999998</v>
      </c>
      <c r="O27" s="57">
        <f>Variables!$C$22*'Cost Calculations'!$N27/100</f>
        <v>0.34979999999999994</v>
      </c>
      <c r="P27" s="57">
        <f>Variables!$C$23*'Cost Calculations'!$N27/100</f>
        <v>0.61214999999999997</v>
      </c>
      <c r="Q27" s="57">
        <f>Variables!$C$24*'Cost Calculations'!$N27/100</f>
        <v>0.64129999999999998</v>
      </c>
      <c r="R27" s="57">
        <f>Variables!$C$25*'Cost Calculations'!$N27/100</f>
        <v>4.6639999999999997</v>
      </c>
      <c r="S27" s="58">
        <f>O27*Variables!$C$18*Variables!$E$31+P27*Variables!$C$18*Variables!$E$32+('Cost Calculations'!Q27+'Cost Calculations'!R27)*Variables!$C$18*Variables!$E$33</f>
        <v>46602.017036959995</v>
      </c>
      <c r="T27" s="59">
        <f>$L27*Variables!$C$22/100</f>
        <v>6.8675620776575546</v>
      </c>
      <c r="U27" s="59">
        <f>$L27*Variables!$C$23/100</f>
        <v>12.018233635900721</v>
      </c>
      <c r="V27" s="59">
        <f>$L27*Variables!$C$24/100</f>
        <v>12.590530475705519</v>
      </c>
      <c r="W27" s="59">
        <f>$L27*Variables!$C$25/100</f>
        <v>91.567494368767399</v>
      </c>
      <c r="X27" s="62">
        <f>T27*Variables!$E$26*Variables!$C$18+'Cost Calculations'!U27*Variables!$E$27*Variables!$C$18+'Cost Calculations'!V27*Variables!$E$28*Variables!$C$18+W27*Variables!$E$29*Variables!$C$18</f>
        <v>143770628.24651125</v>
      </c>
      <c r="Y27" s="58">
        <f>J27*Variables!$E$30</f>
        <v>100200.32904594329</v>
      </c>
      <c r="Z27" s="1"/>
      <c r="AA27" s="245">
        <f>D27*(IF(D27&lt;Variables!$C$7,Variables!$C$38,IF(D27&gt;Variables!$C$6,Variables!$C$36,Variables!$C$37)))</f>
        <v>61.49682</v>
      </c>
      <c r="AB27" s="121">
        <v>0</v>
      </c>
      <c r="AC27" s="66">
        <f t="shared" si="2"/>
        <v>61</v>
      </c>
      <c r="AD27" s="62">
        <f>AC27*Variables!$E$41</f>
        <v>32793600</v>
      </c>
      <c r="AE27" s="71">
        <f>ROUND((H27/(3.14*Variables!$C$35^2)),0)</f>
        <v>11</v>
      </c>
      <c r="AF27" s="101">
        <v>0</v>
      </c>
      <c r="AG27" s="57">
        <f t="shared" si="3"/>
        <v>11</v>
      </c>
      <c r="AH27" s="58">
        <f>AG27*Variables!$E$42*Variables!$C$18</f>
        <v>12630.816000000001</v>
      </c>
      <c r="AI27" s="73">
        <f t="shared" si="4"/>
        <v>1</v>
      </c>
      <c r="AJ27" s="120">
        <v>1</v>
      </c>
      <c r="AK27" s="66">
        <f t="shared" si="5"/>
        <v>0</v>
      </c>
      <c r="AL27" s="62">
        <f>IF(AK27*Variables!$E$43*Variables!$C$18&lt;0,0,AK27*Variables!$E$43*Variables!$C$18)</f>
        <v>0</v>
      </c>
      <c r="AM27" s="58">
        <f>AA27*Variables!$E$39*Variables!$C$18</f>
        <v>17775798.161780164</v>
      </c>
      <c r="AN27" s="1"/>
      <c r="AO27" s="75">
        <f>AVERAGE(Variables!$E$48)</f>
        <v>0.67714285714285716</v>
      </c>
      <c r="AP27" s="76">
        <f t="shared" si="6"/>
        <v>115.61602378984207</v>
      </c>
      <c r="AQ27" s="75">
        <f>VLOOKUP(B27,'Household Information'!$B$2:$E$48,4,FALSE)</f>
        <v>65.935833333333335</v>
      </c>
      <c r="AR27" s="79">
        <f>IF(12*(AP27-Variables!$C$45*AQ27*F27)*(G27/5)&lt;0,0,12*(AP27-Variables!$C$45*AQ27*F27)*(G27/5))</f>
        <v>5670903.9986774996</v>
      </c>
      <c r="AS27" s="1"/>
      <c r="AT27" s="62">
        <f t="shared" si="10"/>
        <v>100000</v>
      </c>
      <c r="AU27" s="1"/>
    </row>
    <row r="28" spans="1:47" ht="14.25" customHeight="1">
      <c r="A28" s="1">
        <v>25</v>
      </c>
      <c r="B28" s="3" t="s">
        <v>217</v>
      </c>
      <c r="C28" s="1">
        <v>2019</v>
      </c>
      <c r="D28" s="13">
        <f>VLOOKUP(B28,Population!$B$1:$O$48,3,FALSE)</f>
        <v>159296.12999999998</v>
      </c>
      <c r="E28" s="13" t="str">
        <f t="shared" si="8"/>
        <v>Medium</v>
      </c>
      <c r="F28" s="54">
        <f>VLOOKUP(B28,'Household Information'!$B$1:$E$48,2,FALSE)</f>
        <v>2.502264030612245</v>
      </c>
      <c r="G28" s="54">
        <f t="shared" si="0"/>
        <v>63660.799999999988</v>
      </c>
      <c r="H28" s="55">
        <f>VLOOKUP(B28,Area!$B$2:$F$48,5,FALSE)</f>
        <v>22.498002944169993</v>
      </c>
      <c r="I28" s="55"/>
      <c r="J28" s="13">
        <f>H28*Variables!$C$21</f>
        <v>404.96405299505989</v>
      </c>
      <c r="K28" s="13">
        <f>104+235</f>
        <v>339</v>
      </c>
      <c r="L28" s="54">
        <f t="shared" si="1"/>
        <v>65.964052995059888</v>
      </c>
      <c r="M28" s="56">
        <f>1-VLOOKUP(B28,'Road Pavement Percentage'!$B$2:$F$48,5,FALSE)</f>
        <v>0.16412495956375062</v>
      </c>
      <c r="N28" s="57">
        <f t="shared" si="9"/>
        <v>55.638361292111462</v>
      </c>
      <c r="O28" s="57">
        <f>Variables!$C$22*'Cost Calculations'!$N28/100</f>
        <v>3.0210874909743781</v>
      </c>
      <c r="P28" s="57">
        <f>Variables!$C$23*'Cost Calculations'!$N28/100</f>
        <v>5.286903109205161</v>
      </c>
      <c r="Q28" s="57">
        <f>Variables!$C$24*'Cost Calculations'!$N28/100</f>
        <v>5.5386604001196931</v>
      </c>
      <c r="R28" s="57">
        <f>Variables!$C$25*'Cost Calculations'!$N28/100</f>
        <v>40.281166546325039</v>
      </c>
      <c r="S28" s="58">
        <f>O28*Variables!$C$18*Variables!$E$31+P28*Variables!$C$18*Variables!$E$32+('Cost Calculations'!Q28+'Cost Calculations'!R28)*Variables!$C$18*Variables!$E$33</f>
        <v>402483.62128226046</v>
      </c>
      <c r="T28" s="59">
        <f>$L28*Variables!$C$22/100</f>
        <v>3.5817585336684097</v>
      </c>
      <c r="U28" s="59">
        <f>$L28*Variables!$C$23/100</f>
        <v>6.2680774339197178</v>
      </c>
      <c r="V28" s="59">
        <f>$L28*Variables!$C$24/100</f>
        <v>6.5665573117254192</v>
      </c>
      <c r="W28" s="59">
        <f>$L28*Variables!$C$25/100</f>
        <v>47.756780448912131</v>
      </c>
      <c r="X28" s="62">
        <f>T28*Variables!$E$26*Variables!$C$18+'Cost Calculations'!U28*Variables!$E$27*Variables!$C$18+'Cost Calculations'!V28*Variables!$E$28*Variables!$C$18+W28*Variables!$E$29*Variables!$C$18</f>
        <v>74983184.540569037</v>
      </c>
      <c r="Y28" s="58">
        <f>J28*Variables!$E$30</f>
        <v>265251.45471176424</v>
      </c>
      <c r="Z28" s="1"/>
      <c r="AA28" s="245">
        <f>D28*(IF(D28&lt;Variables!$C$7,Variables!$C$38,IF(D28&gt;Variables!$C$6,Variables!$C$36,Variables!$C$37)))</f>
        <v>191.15535599999995</v>
      </c>
      <c r="AB28" s="121">
        <v>0</v>
      </c>
      <c r="AC28" s="66">
        <f t="shared" si="2"/>
        <v>191</v>
      </c>
      <c r="AD28" s="62">
        <f>AC28*Variables!$E$41</f>
        <v>102681600</v>
      </c>
      <c r="AE28" s="71">
        <f>ROUND((H28/(3.14*Variables!$C$35^2)),0)</f>
        <v>29</v>
      </c>
      <c r="AF28" s="101">
        <v>0</v>
      </c>
      <c r="AG28" s="57">
        <f t="shared" si="3"/>
        <v>29</v>
      </c>
      <c r="AH28" s="58">
        <f>AG28*Variables!$E$42*Variables!$C$18</f>
        <v>33299.423999999999</v>
      </c>
      <c r="AI28" s="73">
        <f t="shared" si="4"/>
        <v>2</v>
      </c>
      <c r="AJ28" s="120">
        <v>1</v>
      </c>
      <c r="AK28" s="66">
        <f t="shared" si="5"/>
        <v>1</v>
      </c>
      <c r="AL28" s="62">
        <f>IF(AK28*Variables!$E$43*Variables!$C$18&lt;0,0,AK28*Variables!$E$43*Variables!$C$18)</f>
        <v>945381.49199999997</v>
      </c>
      <c r="AM28" s="58">
        <f>AA28*Variables!$E$39*Variables!$C$18</f>
        <v>55253898.10073483</v>
      </c>
      <c r="AN28" s="1"/>
      <c r="AO28" s="75">
        <f>AVERAGE(Variables!$E$48)</f>
        <v>0.67714285714285716</v>
      </c>
      <c r="AP28" s="76">
        <f t="shared" si="6"/>
        <v>101.66341290087463</v>
      </c>
      <c r="AQ28" s="75">
        <f>VLOOKUP(B28,'Household Information'!$B$2:$E$48,4,FALSE)</f>
        <v>65.935833333333335</v>
      </c>
      <c r="AR28" s="79">
        <f>IF(12*(AP28-Variables!$C$45*AQ28*F28)*(G28/5)&lt;0,0,12*(AP28-Variables!$C$45*AQ28*F28)*(G28/5))</f>
        <v>11751541.762202999</v>
      </c>
      <c r="AS28" s="1"/>
      <c r="AT28" s="62">
        <f t="shared" si="10"/>
        <v>350000</v>
      </c>
      <c r="AU28" s="1"/>
    </row>
    <row r="29" spans="1:47" ht="14.25" customHeight="1">
      <c r="A29" s="1">
        <v>26</v>
      </c>
      <c r="B29" s="3" t="s">
        <v>219</v>
      </c>
      <c r="C29" s="1">
        <v>2019</v>
      </c>
      <c r="D29" s="13">
        <f>VLOOKUP(B29,Population!$B$1:$O$48,3,FALSE)</f>
        <v>43486.659999999996</v>
      </c>
      <c r="E29" s="13" t="str">
        <f t="shared" si="8"/>
        <v>Small</v>
      </c>
      <c r="F29" s="54">
        <f>VLOOKUP(B29,'Household Information'!$B$1:$E$48,2,FALSE)</f>
        <v>3.6899491861166136</v>
      </c>
      <c r="G29" s="54">
        <f t="shared" si="0"/>
        <v>11785.164999999999</v>
      </c>
      <c r="H29" s="119">
        <f>VLOOKUP(B29,Area!$B$2:$F$48,5,FALSE)</f>
        <v>3.7</v>
      </c>
      <c r="I29" s="55"/>
      <c r="J29" s="13">
        <f>H29*Variables!$C$21</f>
        <v>66.600000000000009</v>
      </c>
      <c r="K29" s="13">
        <v>40.826000000000001</v>
      </c>
      <c r="L29" s="54">
        <f t="shared" si="1"/>
        <v>25.774000000000008</v>
      </c>
      <c r="M29" s="56">
        <f>1-VLOOKUP(B29,'Road Pavement Percentage'!$B$2:$F$48,5,FALSE)</f>
        <v>0.24309999999999998</v>
      </c>
      <c r="N29" s="57">
        <f t="shared" si="9"/>
        <v>9.9248005999999993</v>
      </c>
      <c r="O29" s="57">
        <f>Variables!$C$22*'Cost Calculations'!$N29/100</f>
        <v>0.53890319999999992</v>
      </c>
      <c r="P29" s="57">
        <f>Variables!$C$23*'Cost Calculations'!$N29/100</f>
        <v>0.94308059999999994</v>
      </c>
      <c r="Q29" s="57">
        <f>Variables!$C$24*'Cost Calculations'!$N29/100</f>
        <v>0.9879891999999999</v>
      </c>
      <c r="R29" s="57">
        <f>Variables!$C$25*'Cost Calculations'!$N29/100</f>
        <v>7.1853759999999989</v>
      </c>
      <c r="S29" s="58">
        <f>O29*Variables!$C$18*Variables!$E$31+P29*Variables!$C$18*Variables!$E$32+('Cost Calculations'!Q29+'Cost Calculations'!R29)*Variables!$C$18*Variables!$E$33</f>
        <v>71795.243303808646</v>
      </c>
      <c r="T29" s="59">
        <f>$L29*Variables!$C$22/100</f>
        <v>1.3994932126696835</v>
      </c>
      <c r="U29" s="59">
        <f>$L29*Variables!$C$23/100</f>
        <v>2.4491131221719464</v>
      </c>
      <c r="V29" s="59">
        <f>$L29*Variables!$C$24/100</f>
        <v>2.5657375565610869</v>
      </c>
      <c r="W29" s="59">
        <f>$L29*Variables!$C$25/100</f>
        <v>18.659909502262447</v>
      </c>
      <c r="X29" s="62">
        <f>T29*Variables!$E$26*Variables!$C$18+'Cost Calculations'!U29*Variables!$E$27*Variables!$C$18+'Cost Calculations'!V29*Variables!$E$28*Variables!$C$18+W29*Variables!$E$29*Variables!$C$18</f>
        <v>29298026.888877835</v>
      </c>
      <c r="Y29" s="58">
        <f>J29*Variables!$E$30</f>
        <v>43623.000000000007</v>
      </c>
      <c r="Z29" s="1"/>
      <c r="AA29" s="245">
        <f>D29*(IF(D29&lt;Variables!$C$7,Variables!$C$38,IF(D29&gt;Variables!$C$6,Variables!$C$36,Variables!$C$37)))</f>
        <v>21.74333</v>
      </c>
      <c r="AB29" s="121">
        <v>0</v>
      </c>
      <c r="AC29" s="66">
        <f t="shared" si="2"/>
        <v>22</v>
      </c>
      <c r="AD29" s="62">
        <f>AC29*Variables!$E$41</f>
        <v>11827200</v>
      </c>
      <c r="AE29" s="71">
        <f>ROUND((H29/(3.14*Variables!$C$35^2)),0)</f>
        <v>5</v>
      </c>
      <c r="AF29" s="101">
        <v>0</v>
      </c>
      <c r="AG29" s="57">
        <f t="shared" si="3"/>
        <v>5</v>
      </c>
      <c r="AH29" s="58">
        <f>AG29*Variables!$E$42*Variables!$C$18</f>
        <v>5741.28</v>
      </c>
      <c r="AI29" s="73">
        <f t="shared" si="4"/>
        <v>0</v>
      </c>
      <c r="AJ29" s="120">
        <v>0</v>
      </c>
      <c r="AK29" s="66">
        <f t="shared" si="5"/>
        <v>0</v>
      </c>
      <c r="AL29" s="62">
        <f>IF(AK29*Variables!$E$43*Variables!$C$18&lt;0,0,AK29*Variables!$E$43*Variables!$C$18)</f>
        <v>0</v>
      </c>
      <c r="AM29" s="58">
        <f>AA29*Variables!$E$39*Variables!$C$18</f>
        <v>6284959.8636966832</v>
      </c>
      <c r="AN29" s="1"/>
      <c r="AO29" s="75">
        <f>AVERAGE(Variables!$E$48)</f>
        <v>0.67714285714285716</v>
      </c>
      <c r="AP29" s="76">
        <f t="shared" si="6"/>
        <v>149.91736407593783</v>
      </c>
      <c r="AQ29" s="75">
        <f>VLOOKUP(B29,'Household Information'!$B$2:$E$48,4,FALSE)</f>
        <v>65.935833333333335</v>
      </c>
      <c r="AR29" s="79">
        <f>IF(12*(AP29-Variables!$C$45*AQ29*F29)*(G29/5)&lt;0,0,12*(AP29-Variables!$C$45*AQ29*F29)*(G29/5))</f>
        <v>3208083.5930459988</v>
      </c>
      <c r="AS29" s="1"/>
      <c r="AT29" s="62">
        <f t="shared" si="10"/>
        <v>100000</v>
      </c>
      <c r="AU29" s="1"/>
    </row>
    <row r="30" spans="1:47" ht="14.25" customHeight="1">
      <c r="A30" s="1">
        <v>27</v>
      </c>
      <c r="B30" s="3" t="s">
        <v>220</v>
      </c>
      <c r="C30" s="1">
        <v>2019</v>
      </c>
      <c r="D30" s="13">
        <f>VLOOKUP(B30,Population!$B$1:$O$48,3,FALSE)</f>
        <v>8155.5249999999996</v>
      </c>
      <c r="E30" s="13" t="str">
        <f t="shared" si="8"/>
        <v>Small</v>
      </c>
      <c r="F30" s="54">
        <f>VLOOKUP(B30,'Household Information'!$B$1:$E$48,2,FALSE)</f>
        <v>2.667113684852179</v>
      </c>
      <c r="G30" s="54">
        <f t="shared" si="0"/>
        <v>3057.8092888650181</v>
      </c>
      <c r="H30" s="55">
        <f>VLOOKUP(B30,Area!$B$2:$F$48,5,FALSE)</f>
        <v>0.60295970653899977</v>
      </c>
      <c r="I30" s="55"/>
      <c r="J30" s="13">
        <f>H30*Variables!$C$21</f>
        <v>10.853274717701996</v>
      </c>
      <c r="K30" s="108">
        <v>0</v>
      </c>
      <c r="L30" s="54">
        <f t="shared" si="1"/>
        <v>10.853274717701996</v>
      </c>
      <c r="M30" s="56">
        <f>1-VLOOKUP(B30,'Road Pavement Percentage'!$B$2:$F$48,5,FALSE)</f>
        <v>0.24309999999999998</v>
      </c>
      <c r="N30" s="57">
        <f t="shared" si="9"/>
        <v>0</v>
      </c>
      <c r="O30" s="57">
        <f>Variables!$C$22*'Cost Calculations'!$N30/100</f>
        <v>0</v>
      </c>
      <c r="P30" s="57">
        <f>Variables!$C$23*'Cost Calculations'!$N30/100</f>
        <v>0</v>
      </c>
      <c r="Q30" s="57">
        <f>Variables!$C$24*'Cost Calculations'!$N30/100</f>
        <v>0</v>
      </c>
      <c r="R30" s="57">
        <f>Variables!$C$25*'Cost Calculations'!$N30/100</f>
        <v>0</v>
      </c>
      <c r="S30" s="58">
        <f>O30*Variables!$C$18*Variables!$E$31+P30*Variables!$C$18*Variables!$E$32+('Cost Calculations'!Q30+'Cost Calculations'!R30)*Variables!$C$18*Variables!$E$33</f>
        <v>0</v>
      </c>
      <c r="T30" s="59">
        <f>$L30*Variables!$C$22/100</f>
        <v>0.5893180842191128</v>
      </c>
      <c r="U30" s="59">
        <f>$L30*Variables!$C$23/100</f>
        <v>1.0313066473834476</v>
      </c>
      <c r="V30" s="59">
        <f>$L30*Variables!$C$24/100</f>
        <v>1.0804164877350404</v>
      </c>
      <c r="W30" s="59">
        <f>$L30*Variables!$C$25/100</f>
        <v>7.8575744562548389</v>
      </c>
      <c r="X30" s="62">
        <f>T30*Variables!$E$26*Variables!$C$18+'Cost Calculations'!U30*Variables!$E$27*Variables!$C$18+'Cost Calculations'!V30*Variables!$E$28*Variables!$C$18+W30*Variables!$E$29*Variables!$C$18</f>
        <v>12337221.017754752</v>
      </c>
      <c r="Y30" s="58">
        <f>J30*Variables!$E$30</f>
        <v>7108.8949400948077</v>
      </c>
      <c r="Z30" s="1"/>
      <c r="AA30" s="245">
        <f>D30*(IF(D30&lt;Variables!$C$7,Variables!$C$38,IF(D30&gt;Variables!$C$6,Variables!$C$36,Variables!$C$37)))</f>
        <v>4.0777624999999995</v>
      </c>
      <c r="AB30" s="131">
        <f>78</f>
        <v>78</v>
      </c>
      <c r="AC30" s="66">
        <f t="shared" si="2"/>
        <v>0</v>
      </c>
      <c r="AD30" s="62">
        <f>AC30*Variables!$E$41</f>
        <v>0</v>
      </c>
      <c r="AE30" s="71">
        <f>ROUND((H30/(3.14*Variables!$C$35^2)),0)</f>
        <v>1</v>
      </c>
      <c r="AF30" s="101">
        <v>0</v>
      </c>
      <c r="AG30" s="57">
        <f t="shared" si="3"/>
        <v>1</v>
      </c>
      <c r="AH30" s="58">
        <f>AG30*Variables!$E$42*Variables!$C$18</f>
        <v>1148.2560000000001</v>
      </c>
      <c r="AI30" s="73">
        <f t="shared" si="4"/>
        <v>0</v>
      </c>
      <c r="AJ30" s="120">
        <v>0</v>
      </c>
      <c r="AK30" s="66">
        <f t="shared" si="5"/>
        <v>0</v>
      </c>
      <c r="AL30" s="62">
        <f>IF(AK30*Variables!$E$43*Variables!$C$18&lt;0,0,AK30*Variables!$E$43*Variables!$C$18)</f>
        <v>0</v>
      </c>
      <c r="AM30" s="58">
        <f>AA30*Variables!$E$39*Variables!$C$18</f>
        <v>1178686.6890300356</v>
      </c>
      <c r="AN30" s="1"/>
      <c r="AO30" s="75">
        <f>AVERAGE(Variables!$E$48)</f>
        <v>0.67714285714285716</v>
      </c>
      <c r="AP30" s="76">
        <f t="shared" si="6"/>
        <v>108.3610188531371</v>
      </c>
      <c r="AQ30" s="75">
        <f>VLOOKUP(B30,'Household Information'!$B$2:$E$48,4,FALSE)</f>
        <v>65.935833333333335</v>
      </c>
      <c r="AR30" s="79">
        <f>IF(12*(AP30-Variables!$C$45*AQ30*F30)*(G30/5)&lt;0,0,12*(AP30-Variables!$C$45*AQ30*F30)*(G30/5))</f>
        <v>601646.71062749985</v>
      </c>
      <c r="AS30" s="1"/>
      <c r="AT30" s="62">
        <f t="shared" si="10"/>
        <v>100000</v>
      </c>
      <c r="AU30" s="1"/>
    </row>
    <row r="31" spans="1:47" ht="14.25" customHeight="1">
      <c r="A31" s="1">
        <v>28</v>
      </c>
      <c r="B31" s="3" t="s">
        <v>221</v>
      </c>
      <c r="C31" s="1">
        <v>2019</v>
      </c>
      <c r="D31" s="13">
        <f>VLOOKUP(B31,Population!$B$1:$O$48,3,FALSE)</f>
        <v>48807.289999999994</v>
      </c>
      <c r="E31" s="13" t="str">
        <f t="shared" si="8"/>
        <v>Small</v>
      </c>
      <c r="F31" s="54">
        <f>VLOOKUP(B31,'Household Information'!$B$1:$E$48,2,FALSE)</f>
        <v>2.5363152064982328</v>
      </c>
      <c r="G31" s="54">
        <f t="shared" si="0"/>
        <v>19243.384999999998</v>
      </c>
      <c r="H31" s="119">
        <f>VLOOKUP(B31,Area!$B$2:$F$48,5,FALSE)</f>
        <v>5.2</v>
      </c>
      <c r="I31" s="55"/>
      <c r="J31" s="13">
        <f>H31*Variables!$C$21</f>
        <v>93.600000000000009</v>
      </c>
      <c r="K31" s="13">
        <v>124.62</v>
      </c>
      <c r="L31" s="54">
        <f t="shared" si="1"/>
        <v>0</v>
      </c>
      <c r="M31" s="56">
        <f>1-VLOOKUP(B31,'Road Pavement Percentage'!$B$2:$F$48,5,FALSE)</f>
        <v>0.24309999999999998</v>
      </c>
      <c r="N31" s="57">
        <f t="shared" si="9"/>
        <v>30.295121999999999</v>
      </c>
      <c r="O31" s="57">
        <f>Variables!$C$22*'Cost Calculations'!$N31/100</f>
        <v>1.6449839999999998</v>
      </c>
      <c r="P31" s="57">
        <f>Variables!$C$23*'Cost Calculations'!$N31/100</f>
        <v>2.8787220000000002</v>
      </c>
      <c r="Q31" s="57">
        <f>Variables!$C$24*'Cost Calculations'!$N31/100</f>
        <v>3.0158040000000002</v>
      </c>
      <c r="R31" s="57">
        <f>Variables!$C$25*'Cost Calculations'!$N31/100</f>
        <v>21.933119999999999</v>
      </c>
      <c r="S31" s="58">
        <f>O31*Variables!$C$18*Variables!$E$31+P31*Variables!$C$18*Variables!$E$32+('Cost Calculations'!Q31+'Cost Calculations'!R31)*Variables!$C$18*Variables!$E$33</f>
        <v>219152.57974135681</v>
      </c>
      <c r="T31" s="59">
        <f>$L31*Variables!$C$22/100</f>
        <v>0</v>
      </c>
      <c r="U31" s="59">
        <f>$L31*Variables!$C$23/100</f>
        <v>0</v>
      </c>
      <c r="V31" s="59">
        <f>$L31*Variables!$C$24/100</f>
        <v>0</v>
      </c>
      <c r="W31" s="59">
        <f>$L31*Variables!$C$25/100</f>
        <v>0</v>
      </c>
      <c r="X31" s="62">
        <f>T31*Variables!$E$26*Variables!$C$18+'Cost Calculations'!U31*Variables!$E$27*Variables!$C$18+'Cost Calculations'!V31*Variables!$E$28*Variables!$C$18+W31*Variables!$E$29*Variables!$C$18</f>
        <v>0</v>
      </c>
      <c r="Y31" s="58">
        <f>J31*Variables!$E$30</f>
        <v>61308.000000000007</v>
      </c>
      <c r="Z31" s="1"/>
      <c r="AA31" s="245">
        <f>D31*(IF(D31&lt;Variables!$C$7,Variables!$C$38,IF(D31&gt;Variables!$C$6,Variables!$C$36,Variables!$C$37)))</f>
        <v>24.403644999999997</v>
      </c>
      <c r="AB31" s="131">
        <v>0</v>
      </c>
      <c r="AC31" s="66">
        <f t="shared" si="2"/>
        <v>24</v>
      </c>
      <c r="AD31" s="62">
        <f>AC31*Variables!$E$41</f>
        <v>12902400</v>
      </c>
      <c r="AE31" s="71">
        <f>ROUND((H31/(3.14*Variables!$C$35^2)),0)</f>
        <v>7</v>
      </c>
      <c r="AF31" s="17">
        <v>0</v>
      </c>
      <c r="AG31" s="57">
        <f t="shared" si="3"/>
        <v>7</v>
      </c>
      <c r="AH31" s="58">
        <f>AG31*Variables!$E$42*Variables!$C$18</f>
        <v>8037.7920000000004</v>
      </c>
      <c r="AI31" s="73">
        <f t="shared" si="4"/>
        <v>0</v>
      </c>
      <c r="AJ31" s="132">
        <v>0</v>
      </c>
      <c r="AK31" s="66">
        <f t="shared" si="5"/>
        <v>0</v>
      </c>
      <c r="AL31" s="62">
        <f>IF(AK31*Variables!$E$43*Variables!$C$18&lt;0,0,AK31*Variables!$E$43*Variables!$C$18)</f>
        <v>0</v>
      </c>
      <c r="AM31" s="58">
        <f>AA31*Variables!$E$39*Variables!$C$18</f>
        <v>7053930.0720221894</v>
      </c>
      <c r="AN31" s="1"/>
      <c r="AO31" s="75">
        <f>AVERAGE(Variables!$E$48)</f>
        <v>0.67714285714285716</v>
      </c>
      <c r="AP31" s="76">
        <f t="shared" si="6"/>
        <v>103.04686353258533</v>
      </c>
      <c r="AQ31" s="75">
        <f>VLOOKUP(B31,'Household Information'!$B$2:$E$48,4,FALSE)</f>
        <v>65.935833333333335</v>
      </c>
      <c r="AR31" s="79">
        <f>IF(12*(AP31-Variables!$C$45*AQ31*F31)*(G31/5)&lt;0,0,12*(AP31-Variables!$C$45*AQ31*F31)*(G31/5))</f>
        <v>3600595.3611989985</v>
      </c>
      <c r="AS31" s="1"/>
      <c r="AT31" s="62">
        <f t="shared" si="10"/>
        <v>100000</v>
      </c>
      <c r="AU31" s="1"/>
    </row>
    <row r="32" spans="1:47" ht="14.25" customHeight="1">
      <c r="A32" s="1">
        <v>29</v>
      </c>
      <c r="B32" s="3" t="s">
        <v>222</v>
      </c>
      <c r="C32" s="1">
        <v>2019</v>
      </c>
      <c r="D32" s="13">
        <f>VLOOKUP(B32,Population!$B$1:$O$48,3,FALSE)</f>
        <v>49148.329999999994</v>
      </c>
      <c r="E32" s="13" t="str">
        <f t="shared" si="8"/>
        <v>Small</v>
      </c>
      <c r="F32" s="54">
        <f>VLOOKUP(B32,'Household Information'!$B$1:$E$48,2,FALSE)</f>
        <v>2.6066968130921619</v>
      </c>
      <c r="G32" s="54">
        <f t="shared" si="0"/>
        <v>18854.64</v>
      </c>
      <c r="H32" s="119">
        <f>VLOOKUP(B32,Area!$B$2:$F$48,5,FALSE)</f>
        <v>3.28</v>
      </c>
      <c r="I32" s="55"/>
      <c r="J32" s="13">
        <f>H32*Variables!$C$21</f>
        <v>59.04</v>
      </c>
      <c r="K32" s="13">
        <v>69.7</v>
      </c>
      <c r="L32" s="54">
        <f t="shared" si="1"/>
        <v>0</v>
      </c>
      <c r="M32" s="56">
        <f>1-VLOOKUP(B32,'Road Pavement Percentage'!$B$2:$F$48,5,FALSE)</f>
        <v>0.3519319562575941</v>
      </c>
      <c r="N32" s="57">
        <f t="shared" si="9"/>
        <v>24.529657351154309</v>
      </c>
      <c r="O32" s="57">
        <f>Variables!$C$22*'Cost Calculations'!$N32/100</f>
        <v>1.3319270959902791</v>
      </c>
      <c r="P32" s="57">
        <f>Variables!$C$23*'Cost Calculations'!$N32/100</f>
        <v>2.3308724179829885</v>
      </c>
      <c r="Q32" s="57">
        <f>Variables!$C$24*'Cost Calculations'!$N32/100</f>
        <v>2.4418663426488454</v>
      </c>
      <c r="R32" s="57">
        <f>Variables!$C$25*'Cost Calculations'!$N32/100</f>
        <v>17.759027946537056</v>
      </c>
      <c r="S32" s="58">
        <f>O32*Variables!$C$18*Variables!$E$31+P32*Variables!$C$18*Variables!$E$32+('Cost Calculations'!Q32+'Cost Calculations'!R32)*Variables!$C$18*Variables!$E$33</f>
        <v>177445.65242803789</v>
      </c>
      <c r="T32" s="59">
        <f>$L32*Variables!$C$22/100</f>
        <v>0</v>
      </c>
      <c r="U32" s="59">
        <f>$L32*Variables!$C$23/100</f>
        <v>0</v>
      </c>
      <c r="V32" s="59">
        <f>$L32*Variables!$C$24/100</f>
        <v>0</v>
      </c>
      <c r="W32" s="59">
        <f>$L32*Variables!$C$25/100</f>
        <v>0</v>
      </c>
      <c r="X32" s="62">
        <f>T32*Variables!$E$26*Variables!$C$18+'Cost Calculations'!U32*Variables!$E$27*Variables!$C$18+'Cost Calculations'!V32*Variables!$E$28*Variables!$C$18+W32*Variables!$E$29*Variables!$C$18</f>
        <v>0</v>
      </c>
      <c r="Y32" s="58">
        <f>J32*Variables!$E$30</f>
        <v>38671.199999999997</v>
      </c>
      <c r="Z32" s="1"/>
      <c r="AA32" s="245">
        <f>D32*(IF(D32&lt;Variables!$C$7,Variables!$C$38,IF(D32&gt;Variables!$C$6,Variables!$C$36,Variables!$C$37)))</f>
        <v>24.574164999999997</v>
      </c>
      <c r="AB32" s="121">
        <v>0</v>
      </c>
      <c r="AC32" s="66">
        <f t="shared" si="2"/>
        <v>25</v>
      </c>
      <c r="AD32" s="62">
        <f>AC32*Variables!$E$41</f>
        <v>13440000</v>
      </c>
      <c r="AE32" s="71">
        <f>ROUND((H32/(3.14*Variables!$C$35^2)),0)</f>
        <v>4</v>
      </c>
      <c r="AF32" s="101">
        <v>0</v>
      </c>
      <c r="AG32" s="57">
        <f t="shared" si="3"/>
        <v>4</v>
      </c>
      <c r="AH32" s="58">
        <f>AG32*Variables!$E$42*Variables!$C$18</f>
        <v>4593.0240000000003</v>
      </c>
      <c r="AI32" s="73">
        <f t="shared" si="4"/>
        <v>0</v>
      </c>
      <c r="AJ32" s="120">
        <v>0</v>
      </c>
      <c r="AK32" s="66">
        <f t="shared" si="5"/>
        <v>0</v>
      </c>
      <c r="AL32" s="62">
        <f>IF(AK32*Variables!$E$43*Variables!$C$18&lt;0,0,AK32*Variables!$E$43*Variables!$C$18)</f>
        <v>0</v>
      </c>
      <c r="AM32" s="58">
        <f>AA32*Variables!$E$39*Variables!$C$18</f>
        <v>7103219.2727084486</v>
      </c>
      <c r="AN32" s="1"/>
      <c r="AO32" s="75">
        <f>AVERAGE(Variables!$E$48)</f>
        <v>0.67714285714285716</v>
      </c>
      <c r="AP32" s="76">
        <f t="shared" si="6"/>
        <v>105.9063676633444</v>
      </c>
      <c r="AQ32" s="75">
        <f>VLOOKUP(B32,'Household Information'!$B$2:$E$48,4,FALSE)</f>
        <v>65.935833333333335</v>
      </c>
      <c r="AR32" s="79">
        <f>IF(12*(AP32-Variables!$C$45*AQ32*F32)*(G32/5)&lt;0,0,12*(AP32-Variables!$C$45*AQ32*F32)*(G32/5))</f>
        <v>3625754.4520229995</v>
      </c>
      <c r="AS32" s="1"/>
      <c r="AT32" s="62">
        <f t="shared" si="10"/>
        <v>100000</v>
      </c>
      <c r="AU32" s="1"/>
    </row>
    <row r="33" spans="1:47" ht="14.25" customHeight="1">
      <c r="A33" s="1">
        <v>30</v>
      </c>
      <c r="B33" s="3" t="s">
        <v>223</v>
      </c>
      <c r="C33" s="1">
        <v>2019</v>
      </c>
      <c r="D33" s="13">
        <f>VLOOKUP(B33,Population!$B$1:$O$48,3,FALSE)</f>
        <v>20084.82</v>
      </c>
      <c r="E33" s="13" t="str">
        <f t="shared" si="8"/>
        <v>Small</v>
      </c>
      <c r="F33" s="54">
        <f>VLOOKUP(B33,'Household Information'!$B$1:$E$48,2,FALSE)</f>
        <v>2.8820273812991553</v>
      </c>
      <c r="G33" s="54">
        <f t="shared" si="0"/>
        <v>6968.99</v>
      </c>
      <c r="H33" s="119">
        <f>VLOOKUP(B33,Area!$B$2:$F$48,5,FALSE)</f>
        <v>3.4</v>
      </c>
      <c r="I33" s="55"/>
      <c r="J33" s="13">
        <f>H33*Variables!$C$21</f>
        <v>61.199999999999996</v>
      </c>
      <c r="K33" s="13">
        <v>76.2</v>
      </c>
      <c r="L33" s="54">
        <f t="shared" si="1"/>
        <v>0</v>
      </c>
      <c r="M33" s="56">
        <f>1-VLOOKUP(B33,'Road Pavement Percentage'!$B$2:$F$48,5,FALSE)</f>
        <v>0.24309999999999998</v>
      </c>
      <c r="N33" s="57">
        <f t="shared" si="9"/>
        <v>18.52422</v>
      </c>
      <c r="O33" s="57">
        <f>Variables!$C$22*'Cost Calculations'!$N33/100</f>
        <v>1.0058399999999998</v>
      </c>
      <c r="P33" s="57">
        <f>Variables!$C$23*'Cost Calculations'!$N33/100</f>
        <v>1.7602199999999999</v>
      </c>
      <c r="Q33" s="57">
        <f>Variables!$C$24*'Cost Calculations'!$N33/100</f>
        <v>1.8440399999999999</v>
      </c>
      <c r="R33" s="57">
        <f>Variables!$C$25*'Cost Calculations'!$N33/100</f>
        <v>13.411199999999999</v>
      </c>
      <c r="S33" s="58">
        <f>O33*Variables!$C$18*Variables!$E$31+P33*Variables!$C$18*Variables!$E$32+('Cost Calculations'!Q33+'Cost Calculations'!R33)*Variables!$C$18*Variables!$E$33</f>
        <v>134002.781064768</v>
      </c>
      <c r="T33" s="59">
        <f>$L33*Variables!$C$22/100</f>
        <v>0</v>
      </c>
      <c r="U33" s="59">
        <f>$L33*Variables!$C$23/100</f>
        <v>0</v>
      </c>
      <c r="V33" s="59">
        <f>$L33*Variables!$C$24/100</f>
        <v>0</v>
      </c>
      <c r="W33" s="59">
        <f>$L33*Variables!$C$25/100</f>
        <v>0</v>
      </c>
      <c r="X33" s="62">
        <f>T33*Variables!$E$26*Variables!$C$18+'Cost Calculations'!U33*Variables!$E$27*Variables!$C$18+'Cost Calculations'!V33*Variables!$E$28*Variables!$C$18+W33*Variables!$E$29*Variables!$C$18</f>
        <v>0</v>
      </c>
      <c r="Y33" s="58">
        <f>J33*Variables!$E$30</f>
        <v>40086</v>
      </c>
      <c r="Z33" s="1"/>
      <c r="AA33" s="245">
        <f>D33*(IF(D33&lt;Variables!$C$7,Variables!$C$38,IF(D33&gt;Variables!$C$6,Variables!$C$36,Variables!$C$37)))</f>
        <v>10.04241</v>
      </c>
      <c r="AB33" s="131">
        <v>0</v>
      </c>
      <c r="AC33" s="66">
        <f t="shared" si="2"/>
        <v>10</v>
      </c>
      <c r="AD33" s="62">
        <f>AC33*Variables!$E$41</f>
        <v>5376000</v>
      </c>
      <c r="AE33" s="71">
        <f>ROUND((H33/(3.14*Variables!$C$35^2)),0)</f>
        <v>4</v>
      </c>
      <c r="AF33" s="17">
        <v>0</v>
      </c>
      <c r="AG33" s="57">
        <f t="shared" si="3"/>
        <v>4</v>
      </c>
      <c r="AH33" s="58">
        <f>AG33*Variables!$E$42*Variables!$C$18</f>
        <v>4593.0240000000003</v>
      </c>
      <c r="AI33" s="73">
        <f t="shared" si="4"/>
        <v>0</v>
      </c>
      <c r="AJ33" s="132">
        <v>0</v>
      </c>
      <c r="AK33" s="66">
        <f t="shared" si="5"/>
        <v>0</v>
      </c>
      <c r="AL33" s="62">
        <f>IF(AK33*Variables!$E$43*Variables!$C$18&lt;0,0,AK33*Variables!$E$43*Variables!$C$18)</f>
        <v>0</v>
      </c>
      <c r="AM33" s="58">
        <f>AA33*Variables!$E$39*Variables!$C$18</f>
        <v>2902781.8547014743</v>
      </c>
      <c r="AN33" s="1"/>
      <c r="AO33" s="75">
        <f>AVERAGE(Variables!$E$48)</f>
        <v>0.67714285714285716</v>
      </c>
      <c r="AP33" s="76">
        <f t="shared" si="6"/>
        <v>117.09265532021139</v>
      </c>
      <c r="AQ33" s="75">
        <f>VLOOKUP(B33,'Household Information'!$B$2:$E$48,4,FALSE)</f>
        <v>65.935833333333335</v>
      </c>
      <c r="AR33" s="79">
        <f>IF(12*(AP33-Variables!$C$45*AQ33*F33)*(G33/5)&lt;0,0,12*(AP33-Variables!$C$45*AQ33*F33)*(G33/5))</f>
        <v>1481690.741742</v>
      </c>
      <c r="AS33" s="1"/>
      <c r="AT33" s="62">
        <f t="shared" si="10"/>
        <v>100000</v>
      </c>
      <c r="AU33" s="1"/>
    </row>
    <row r="34" spans="1:47" ht="14.25" customHeight="1">
      <c r="A34" s="1">
        <v>31</v>
      </c>
      <c r="B34" s="3" t="s">
        <v>224</v>
      </c>
      <c r="C34" s="1">
        <v>2019</v>
      </c>
      <c r="D34" s="13">
        <f>VLOOKUP(B34,Population!$B$1:$O$48,3,FALSE)</f>
        <v>30555.559999999998</v>
      </c>
      <c r="E34" s="13" t="str">
        <f t="shared" si="8"/>
        <v>Small</v>
      </c>
      <c r="F34" s="54">
        <f>VLOOKUP(B34,'Household Information'!$B$1:$E$48,2,FALSE)</f>
        <v>3.407</v>
      </c>
      <c r="G34" s="54">
        <f t="shared" si="0"/>
        <v>8968.4649251540941</v>
      </c>
      <c r="H34" s="119">
        <f>VLOOKUP(B34,Area!$B$2:$F$48,5,FALSE)</f>
        <v>3.63</v>
      </c>
      <c r="I34" s="55"/>
      <c r="J34" s="13">
        <f>H34*Variables!$C$21</f>
        <v>65.34</v>
      </c>
      <c r="K34" s="13">
        <v>83</v>
      </c>
      <c r="L34" s="54">
        <f t="shared" si="1"/>
        <v>0</v>
      </c>
      <c r="M34" s="56">
        <f>1-VLOOKUP(B34,'Road Pavement Percentage'!$B$2:$F$48,5,FALSE)</f>
        <v>0.24309999999999998</v>
      </c>
      <c r="N34" s="57">
        <f t="shared" si="9"/>
        <v>20.177299999999999</v>
      </c>
      <c r="O34" s="57">
        <f>Variables!$C$22*'Cost Calculations'!$N34/100</f>
        <v>1.0955999999999999</v>
      </c>
      <c r="P34" s="57">
        <f>Variables!$C$23*'Cost Calculations'!$N34/100</f>
        <v>1.9173</v>
      </c>
      <c r="Q34" s="57">
        <f>Variables!$C$24*'Cost Calculations'!$N34/100</f>
        <v>2.0085999999999999</v>
      </c>
      <c r="R34" s="57">
        <f>Variables!$C$25*'Cost Calculations'!$N34/100</f>
        <v>14.607999999999999</v>
      </c>
      <c r="S34" s="58">
        <f>O34*Variables!$C$18*Variables!$E$31+P34*Variables!$C$18*Variables!$E$32+('Cost Calculations'!Q34+'Cost Calculations'!R34)*Variables!$C$18*Variables!$E$33</f>
        <v>145961.03449312001</v>
      </c>
      <c r="T34" s="59">
        <f>$L34*Variables!$C$22/100</f>
        <v>0</v>
      </c>
      <c r="U34" s="59">
        <f>$L34*Variables!$C$23/100</f>
        <v>0</v>
      </c>
      <c r="V34" s="59">
        <f>$L34*Variables!$C$24/100</f>
        <v>0</v>
      </c>
      <c r="W34" s="59">
        <f>$L34*Variables!$C$25/100</f>
        <v>0</v>
      </c>
      <c r="X34" s="62">
        <f>T34*Variables!$E$26*Variables!$C$18+'Cost Calculations'!U34*Variables!$E$27*Variables!$C$18+'Cost Calculations'!V34*Variables!$E$28*Variables!$C$18+W34*Variables!$E$29*Variables!$C$18</f>
        <v>0</v>
      </c>
      <c r="Y34" s="58">
        <f>J34*Variables!$E$30</f>
        <v>42797.700000000004</v>
      </c>
      <c r="Z34" s="1"/>
      <c r="AA34" s="245">
        <f>D34*(IF(D34&lt;Variables!$C$7,Variables!$C$38,IF(D34&gt;Variables!$C$6,Variables!$C$36,Variables!$C$37)))</f>
        <v>15.27778</v>
      </c>
      <c r="AB34" s="131">
        <v>0</v>
      </c>
      <c r="AC34" s="66">
        <f t="shared" si="2"/>
        <v>15</v>
      </c>
      <c r="AD34" s="62">
        <f>AC34*Variables!$E$41</f>
        <v>8064000</v>
      </c>
      <c r="AE34" s="71">
        <f>ROUND((H34/(3.14*Variables!$C$35^2)),0)</f>
        <v>5</v>
      </c>
      <c r="AF34" s="17">
        <v>0</v>
      </c>
      <c r="AG34" s="57">
        <f t="shared" si="3"/>
        <v>5</v>
      </c>
      <c r="AH34" s="58">
        <f>AG34*Variables!$E$42*Variables!$C$18</f>
        <v>5741.28</v>
      </c>
      <c r="AI34" s="73">
        <f t="shared" si="4"/>
        <v>0</v>
      </c>
      <c r="AJ34" s="132">
        <v>0</v>
      </c>
      <c r="AK34" s="66">
        <f t="shared" si="5"/>
        <v>0</v>
      </c>
      <c r="AL34" s="62">
        <f>IF(AK34*Variables!$E$43*Variables!$C$18&lt;0,0,AK34*Variables!$E$43*Variables!$C$18)</f>
        <v>0</v>
      </c>
      <c r="AM34" s="58">
        <f>AA34*Variables!$E$39*Variables!$C$18</f>
        <v>4416077.671009358</v>
      </c>
      <c r="AN34" s="1"/>
      <c r="AO34" s="75">
        <f>AVERAGE(Variables!$E$48)</f>
        <v>0.67714285714285716</v>
      </c>
      <c r="AP34" s="76">
        <f t="shared" si="6"/>
        <v>138.42154285714284</v>
      </c>
      <c r="AQ34" s="75">
        <f>VLOOKUP(B34,'Household Information'!$B$2:$E$48,4,FALSE)</f>
        <v>65.935833333333335</v>
      </c>
      <c r="AR34" s="79">
        <f>IF(12*(AP34-Variables!$C$45*AQ34*F34)*(G34/5)&lt;0,0,12*(AP34-Variables!$C$45*AQ34*F34)*(G34/5))</f>
        <v>2254134.7326359991</v>
      </c>
      <c r="AS34" s="1"/>
      <c r="AT34" s="62">
        <f t="shared" si="10"/>
        <v>100000</v>
      </c>
      <c r="AU34" s="1"/>
    </row>
    <row r="35" spans="1:47" ht="14.25" customHeight="1">
      <c r="A35" s="1">
        <v>32</v>
      </c>
      <c r="B35" s="3" t="s">
        <v>225</v>
      </c>
      <c r="C35" s="1">
        <v>2019</v>
      </c>
      <c r="D35" s="13">
        <f>VLOOKUP(B35,Population!$B$1:$O$48,3,FALSE)</f>
        <v>28124.634999999998</v>
      </c>
      <c r="E35" s="13" t="str">
        <f t="shared" si="8"/>
        <v>Small</v>
      </c>
      <c r="F35" s="54">
        <f>VLOOKUP(B35,'Household Information'!$B$1:$E$48,2,FALSE)</f>
        <v>4.9791554357592096</v>
      </c>
      <c r="G35" s="54">
        <f t="shared" si="0"/>
        <v>5648.4749999999995</v>
      </c>
      <c r="H35" s="119">
        <f>VLOOKUP(B35,Area!$B$2:$F$48,5,FALSE)</f>
        <v>3.1</v>
      </c>
      <c r="I35" s="55"/>
      <c r="J35" s="13">
        <f>H35*Variables!$C$21</f>
        <v>55.800000000000004</v>
      </c>
      <c r="K35" s="108">
        <v>0</v>
      </c>
      <c r="L35" s="54">
        <f t="shared" si="1"/>
        <v>55.800000000000004</v>
      </c>
      <c r="M35" s="56">
        <f>1-VLOOKUP(B35,'Road Pavement Percentage'!$B$2:$F$48,5,FALSE)</f>
        <v>0.24309999999999998</v>
      </c>
      <c r="N35" s="57">
        <f t="shared" si="9"/>
        <v>0</v>
      </c>
      <c r="O35" s="57">
        <f>Variables!$C$22*'Cost Calculations'!$N35/100</f>
        <v>0</v>
      </c>
      <c r="P35" s="57">
        <f>Variables!$C$23*'Cost Calculations'!$N35/100</f>
        <v>0</v>
      </c>
      <c r="Q35" s="57">
        <f>Variables!$C$24*'Cost Calculations'!$N35/100</f>
        <v>0</v>
      </c>
      <c r="R35" s="57">
        <f>Variables!$C$25*'Cost Calculations'!$N35/100</f>
        <v>0</v>
      </c>
      <c r="S35" s="58">
        <f>O35*Variables!$C$18*Variables!$E$31+P35*Variables!$C$18*Variables!$E$32+('Cost Calculations'!Q35+'Cost Calculations'!R35)*Variables!$C$18*Variables!$E$33</f>
        <v>0</v>
      </c>
      <c r="T35" s="59">
        <f>$L35*Variables!$C$22/100</f>
        <v>3.0298642533936651</v>
      </c>
      <c r="U35" s="59">
        <f>$L35*Variables!$C$23/100</f>
        <v>5.3022624434389147</v>
      </c>
      <c r="V35" s="59">
        <f>$L35*Variables!$C$24/100</f>
        <v>5.5547511312217202</v>
      </c>
      <c r="W35" s="59">
        <f>$L35*Variables!$C$25/100</f>
        <v>40.398190045248867</v>
      </c>
      <c r="X35" s="62">
        <f>T35*Variables!$E$26*Variables!$C$18+'Cost Calculations'!U35*Variables!$E$27*Variables!$C$18+'Cost Calculations'!V35*Variables!$E$28*Variables!$C$18+W35*Variables!$E$29*Variables!$C$18</f>
        <v>63429421.137556568</v>
      </c>
      <c r="Y35" s="58">
        <f>J35*Variables!$E$30</f>
        <v>36549</v>
      </c>
      <c r="Z35" s="1"/>
      <c r="AA35" s="245">
        <f>D35*(IF(D35&lt;Variables!$C$7,Variables!$C$38,IF(D35&gt;Variables!$C$6,Variables!$C$36,Variables!$C$37)))</f>
        <v>14.062317499999999</v>
      </c>
      <c r="AB35" s="121">
        <v>0</v>
      </c>
      <c r="AC35" s="66">
        <f t="shared" si="2"/>
        <v>14</v>
      </c>
      <c r="AD35" s="62">
        <f>AC35*Variables!$E$41</f>
        <v>7526400</v>
      </c>
      <c r="AE35" s="71">
        <f>ROUND((H35/(3.14*Variables!$C$35^2)),0)</f>
        <v>4</v>
      </c>
      <c r="AF35" s="101">
        <v>0</v>
      </c>
      <c r="AG35" s="57">
        <f t="shared" si="3"/>
        <v>4</v>
      </c>
      <c r="AH35" s="58">
        <f>AG35*Variables!$E$42*Variables!$C$18</f>
        <v>4593.0240000000003</v>
      </c>
      <c r="AI35" s="73">
        <f t="shared" si="4"/>
        <v>0</v>
      </c>
      <c r="AJ35" s="120">
        <v>1</v>
      </c>
      <c r="AK35" s="66">
        <f t="shared" si="5"/>
        <v>0</v>
      </c>
      <c r="AL35" s="62">
        <f>IF(AK35*Variables!$E$43*Variables!$C$18&lt;0,0,AK35*Variables!$E$43*Variables!$C$18)</f>
        <v>0</v>
      </c>
      <c r="AM35" s="58">
        <f>AA35*Variables!$E$39*Variables!$C$18</f>
        <v>4064745.4220701004</v>
      </c>
      <c r="AN35" s="1"/>
      <c r="AO35" s="75">
        <f>AVERAGE(Variables!$E$48)</f>
        <v>0.67714285714285716</v>
      </c>
      <c r="AP35" s="76">
        <f t="shared" si="6"/>
        <v>202.29597227570272</v>
      </c>
      <c r="AQ35" s="75">
        <f>VLOOKUP(B35,'Household Information'!$B$2:$E$48,4,FALSE)</f>
        <v>65.935833333333335</v>
      </c>
      <c r="AR35" s="79">
        <f>IF(12*(AP35-Variables!$C$45*AQ35*F35)*(G35/5)&lt;0,0,12*(AP35-Variables!$C$45*AQ35*F35)*(G35/5))</f>
        <v>2074801.3322684998</v>
      </c>
      <c r="AS35" s="1"/>
      <c r="AT35" s="62">
        <f t="shared" si="10"/>
        <v>100000</v>
      </c>
      <c r="AU35" s="1"/>
    </row>
    <row r="36" spans="1:47" ht="14.25" customHeight="1">
      <c r="A36" s="1">
        <v>33</v>
      </c>
      <c r="B36" s="3" t="s">
        <v>226</v>
      </c>
      <c r="C36" s="1">
        <v>2019</v>
      </c>
      <c r="D36" s="13">
        <f>VLOOKUP(B36,Population!$B$1:$O$48,3,FALSE)</f>
        <v>120585.04499999998</v>
      </c>
      <c r="E36" s="13" t="str">
        <f t="shared" si="8"/>
        <v>Medium</v>
      </c>
      <c r="F36" s="54">
        <f>VLOOKUP(B36,'Household Information'!$B$1:$E$48,2,FALSE)</f>
        <v>2.6362587373793409</v>
      </c>
      <c r="G36" s="54">
        <f t="shared" si="0"/>
        <v>45740.974999999991</v>
      </c>
      <c r="H36" s="119">
        <f>VLOOKUP(B36,Area!$B$2:$F$48,5,FALSE)</f>
        <v>12.015102013299996</v>
      </c>
      <c r="I36" s="55"/>
      <c r="J36" s="13">
        <f>H36*Variables!$C$21</f>
        <v>216.27183623939993</v>
      </c>
      <c r="K36" s="13">
        <v>180</v>
      </c>
      <c r="L36" s="54">
        <f t="shared" si="1"/>
        <v>36.271836239399931</v>
      </c>
      <c r="M36" s="56">
        <f>1-VLOOKUP(B36,'Road Pavement Percentage'!$B$2:$F$48,5,FALSE)</f>
        <v>0</v>
      </c>
      <c r="N36" s="57">
        <f t="shared" si="9"/>
        <v>0</v>
      </c>
      <c r="O36" s="57">
        <f>Variables!$C$22*'Cost Calculations'!$N36/100</f>
        <v>0</v>
      </c>
      <c r="P36" s="57">
        <f>Variables!$C$23*'Cost Calculations'!$N36/100</f>
        <v>0</v>
      </c>
      <c r="Q36" s="57">
        <f>Variables!$C$24*'Cost Calculations'!$N36/100</f>
        <v>0</v>
      </c>
      <c r="R36" s="57">
        <f>Variables!$C$25*'Cost Calculations'!$N36/100</f>
        <v>0</v>
      </c>
      <c r="S36" s="58">
        <f>O36*Variables!$C$18*Variables!$E$31+P36*Variables!$C$18*Variables!$E$32+('Cost Calculations'!Q36+'Cost Calculations'!R36)*Variables!$C$18*Variables!$E$33</f>
        <v>0</v>
      </c>
      <c r="T36" s="59">
        <f>$L36*Variables!$C$22/100</f>
        <v>1.9695114700126657</v>
      </c>
      <c r="U36" s="59">
        <f>$L36*Variables!$C$23/100</f>
        <v>3.4466450725221653</v>
      </c>
      <c r="V36" s="59">
        <f>$L36*Variables!$C$24/100</f>
        <v>3.6107710283565542</v>
      </c>
      <c r="W36" s="59">
        <f>$L36*Variables!$C$25/100</f>
        <v>26.260152933502212</v>
      </c>
      <c r="X36" s="62">
        <f>T36*Variables!$E$26*Variables!$C$18+'Cost Calculations'!U36*Variables!$E$27*Variables!$C$18+'Cost Calculations'!V36*Variables!$E$28*Variables!$C$18+W36*Variables!$E$29*Variables!$C$18</f>
        <v>41231211.044110827</v>
      </c>
      <c r="Y36" s="58">
        <f>J36*Variables!$E$30</f>
        <v>141658.05273680695</v>
      </c>
      <c r="Z36" s="1"/>
      <c r="AA36" s="245">
        <f>D36*(IF(D36&lt;Variables!$C$7,Variables!$C$38,IF(D36&gt;Variables!$C$6,Variables!$C$36,Variables!$C$37)))</f>
        <v>144.70205399999998</v>
      </c>
      <c r="AB36" s="121">
        <v>0</v>
      </c>
      <c r="AC36" s="66">
        <f t="shared" si="2"/>
        <v>145</v>
      </c>
      <c r="AD36" s="62">
        <f>AC36*Variables!$E$41</f>
        <v>77952000</v>
      </c>
      <c r="AE36" s="71">
        <f>ROUND((H36/(3.14*Variables!$C$35^2)),0)</f>
        <v>15</v>
      </c>
      <c r="AF36" s="101">
        <v>0</v>
      </c>
      <c r="AG36" s="57">
        <f t="shared" si="3"/>
        <v>15</v>
      </c>
      <c r="AH36" s="58">
        <f>AG36*Variables!$E$42*Variables!$C$18</f>
        <v>17223.84</v>
      </c>
      <c r="AI36" s="73">
        <f t="shared" si="4"/>
        <v>1</v>
      </c>
      <c r="AJ36" s="132">
        <v>1</v>
      </c>
      <c r="AK36" s="66">
        <f t="shared" si="5"/>
        <v>0</v>
      </c>
      <c r="AL36" s="62">
        <f>IF(AK36*Variables!$E$43*Variables!$C$18&lt;0,0,AK36*Variables!$E$43*Variables!$C$18)</f>
        <v>0</v>
      </c>
      <c r="AM36" s="58">
        <f>AA36*Variables!$E$39*Variables!$C$18</f>
        <v>41826463.636640295</v>
      </c>
      <c r="AN36" s="1"/>
      <c r="AO36" s="75">
        <f>AVERAGE(Variables!$E$48)</f>
        <v>0.67714285714285716</v>
      </c>
      <c r="AP36" s="76">
        <f t="shared" si="6"/>
        <v>107.10742641581207</v>
      </c>
      <c r="AQ36" s="75">
        <f>VLOOKUP(B36,'Household Information'!$B$2:$E$48,4,FALSE)</f>
        <v>40.760000000000005</v>
      </c>
      <c r="AR36" s="79">
        <f>IF(12*(AP36-Variables!$C$45*AQ36*F36)*(G36/5)&lt;0,0,12*(AP36-Variables!$C$45*AQ36*F36)*(G36/5))</f>
        <v>9988658.7572879959</v>
      </c>
      <c r="AS36" s="1"/>
      <c r="AT36" s="62">
        <f t="shared" si="10"/>
        <v>350000</v>
      </c>
      <c r="AU36" s="1"/>
    </row>
    <row r="37" spans="1:47" ht="14.25" customHeight="1">
      <c r="A37" s="1">
        <v>34</v>
      </c>
      <c r="B37" s="3" t="s">
        <v>227</v>
      </c>
      <c r="C37" s="1">
        <v>2019</v>
      </c>
      <c r="D37" s="13">
        <f>VLOOKUP(B37,Population!$B$1:$O$48,3,FALSE)</f>
        <v>107099.75499999999</v>
      </c>
      <c r="E37" s="13" t="str">
        <f t="shared" si="8"/>
        <v>Medium</v>
      </c>
      <c r="F37" s="54">
        <f>VLOOKUP(B37,'Household Information'!$B$1:$E$48,2,FALSE)</f>
        <v>2.8808529227072923</v>
      </c>
      <c r="G37" s="54">
        <f t="shared" si="0"/>
        <v>37176.404999999999</v>
      </c>
      <c r="H37" s="119">
        <f>VLOOKUP(B37,Area!$B$2:$F$48,5,FALSE)</f>
        <v>8.2342029393899967</v>
      </c>
      <c r="I37" s="55"/>
      <c r="J37" s="13">
        <f>H37*Variables!$C$21</f>
        <v>148.21565290901995</v>
      </c>
      <c r="K37" s="13">
        <v>115.86</v>
      </c>
      <c r="L37" s="54">
        <f t="shared" si="1"/>
        <v>32.355652909019952</v>
      </c>
      <c r="M37" s="56">
        <f>1-VLOOKUP(B37,'Road Pavement Percentage'!$B$2:$F$48,5,FALSE)</f>
        <v>0.45299999999999996</v>
      </c>
      <c r="N37" s="57">
        <f t="shared" si="9"/>
        <v>52.484579999999994</v>
      </c>
      <c r="O37" s="57">
        <f>Variables!$C$22*'Cost Calculations'!$N37/100</f>
        <v>2.8498414479637999</v>
      </c>
      <c r="P37" s="57">
        <f>Variables!$C$23*'Cost Calculations'!$N37/100</f>
        <v>4.9872225339366505</v>
      </c>
      <c r="Q37" s="57">
        <f>Variables!$C$24*'Cost Calculations'!$N37/100</f>
        <v>5.2247093212669675</v>
      </c>
      <c r="R37" s="57">
        <f>Variables!$C$25*'Cost Calculations'!$N37/100</f>
        <v>37.997885972850675</v>
      </c>
      <c r="S37" s="58">
        <f>O37*Variables!$C$18*Variables!$E$31+P37*Variables!$C$18*Variables!$E$32+('Cost Calculations'!Q37+'Cost Calculations'!R37)*Variables!$C$18*Variables!$E$33</f>
        <v>379669.41026484792</v>
      </c>
      <c r="T37" s="59">
        <f>$L37*Variables!$C$22/100</f>
        <v>1.7568680312590019</v>
      </c>
      <c r="U37" s="59">
        <f>$L37*Variables!$C$23/100</f>
        <v>3.0745190547032535</v>
      </c>
      <c r="V37" s="59">
        <f>$L37*Variables!$C$24/100</f>
        <v>3.2209247239748366</v>
      </c>
      <c r="W37" s="59">
        <f>$L37*Variables!$C$25/100</f>
        <v>23.424907083453359</v>
      </c>
      <c r="X37" s="62">
        <f>T37*Variables!$E$26*Variables!$C$18+'Cost Calculations'!U37*Variables!$E$27*Variables!$C$18+'Cost Calculations'!V37*Variables!$E$28*Variables!$C$18+W37*Variables!$E$29*Variables!$C$18</f>
        <v>36779575.887936085</v>
      </c>
      <c r="Y37" s="58">
        <f>J37*Variables!$E$30</f>
        <v>97081.252655408069</v>
      </c>
      <c r="Z37" s="1"/>
      <c r="AA37" s="245">
        <f>D37*(IF(D37&lt;Variables!$C$7,Variables!$C$38,IF(D37&gt;Variables!$C$6,Variables!$C$36,Variables!$C$37)))</f>
        <v>128.51970599999999</v>
      </c>
      <c r="AB37" s="121">
        <v>0</v>
      </c>
      <c r="AC37" s="66">
        <f t="shared" si="2"/>
        <v>129</v>
      </c>
      <c r="AD37" s="62">
        <f>AC37*Variables!$E$41</f>
        <v>69350400</v>
      </c>
      <c r="AE37" s="71">
        <f>ROUND((H37/(3.14*Variables!$C$35^2)),0)</f>
        <v>10</v>
      </c>
      <c r="AF37" s="101">
        <v>0</v>
      </c>
      <c r="AG37" s="57">
        <f t="shared" si="3"/>
        <v>10</v>
      </c>
      <c r="AH37" s="58">
        <f>AG37*Variables!$E$42*Variables!$C$18</f>
        <v>11482.56</v>
      </c>
      <c r="AI37" s="73">
        <f t="shared" si="4"/>
        <v>1</v>
      </c>
      <c r="AJ37" s="120">
        <v>1</v>
      </c>
      <c r="AK37" s="66">
        <f t="shared" si="5"/>
        <v>0</v>
      </c>
      <c r="AL37" s="62">
        <f>IF(AK37*Variables!$E$43*Variables!$C$18&lt;0,0,AK37*Variables!$E$43*Variables!$C$18)</f>
        <v>0</v>
      </c>
      <c r="AM37" s="58">
        <f>AA37*Variables!$E$39*Variables!$C$18</f>
        <v>37148918.491514303</v>
      </c>
      <c r="AN37" s="1"/>
      <c r="AO37" s="75">
        <f>AVERAGE(Variables!$E$48)</f>
        <v>0.67714285714285716</v>
      </c>
      <c r="AP37" s="76">
        <f t="shared" si="6"/>
        <v>117.04493874542199</v>
      </c>
      <c r="AQ37" s="75">
        <f>VLOOKUP(B37,'Household Information'!$B$2:$E$48,4,FALSE)</f>
        <v>40.760000000000005</v>
      </c>
      <c r="AR37" s="79">
        <f>IF(12*(AP37-Variables!$C$45*AQ37*F37)*(G37/5)&lt;0,0,12*(AP37-Variables!$C$45*AQ37*F37)*(G37/5))</f>
        <v>8871605.1454319991</v>
      </c>
      <c r="AS37" s="1"/>
      <c r="AT37" s="62">
        <f t="shared" si="10"/>
        <v>350000</v>
      </c>
      <c r="AU37" s="1"/>
    </row>
    <row r="38" spans="1:47" ht="14.25" customHeight="1">
      <c r="A38" s="1">
        <v>35</v>
      </c>
      <c r="B38" s="3" t="s">
        <v>228</v>
      </c>
      <c r="C38" s="1">
        <v>2019</v>
      </c>
      <c r="D38" s="13">
        <f>VLOOKUP(B38,Population!$B$1:$O$48,3,FALSE)</f>
        <v>489129.51499999996</v>
      </c>
      <c r="E38" s="13" t="str">
        <f t="shared" si="8"/>
        <v>Medium</v>
      </c>
      <c r="F38" s="54">
        <f>VLOOKUP(B38,'Household Information'!$B$1:$E$48,2,FALSE)</f>
        <v>2.7382605632202197</v>
      </c>
      <c r="G38" s="54">
        <f t="shared" si="0"/>
        <v>178627.81999999998</v>
      </c>
      <c r="H38" s="119">
        <f>VLOOKUP(B38,Area!$B$2:$F$48,5,FALSE)</f>
        <v>24.726831923274581</v>
      </c>
      <c r="I38" s="55"/>
      <c r="J38" s="13">
        <f>H38*Variables!$C$21</f>
        <v>445.08297461894244</v>
      </c>
      <c r="K38" s="13">
        <v>280</v>
      </c>
      <c r="L38" s="54">
        <f t="shared" si="1"/>
        <v>165.08297461894244</v>
      </c>
      <c r="M38" s="56">
        <f>1-VLOOKUP(B38,'Road Pavement Percentage'!$B$2:$F$48,5,FALSE)</f>
        <v>1.2716665078407074E-2</v>
      </c>
      <c r="N38" s="57">
        <f t="shared" si="9"/>
        <v>3.5606662219539809</v>
      </c>
      <c r="O38" s="57">
        <f>Variables!$C$22*'Cost Calculations'!$N38/100</f>
        <v>0.19333934236854192</v>
      </c>
      <c r="P38" s="57">
        <f>Variables!$C$23*'Cost Calculations'!$N38/100</f>
        <v>0.33834384914494842</v>
      </c>
      <c r="Q38" s="57">
        <f>Variables!$C$24*'Cost Calculations'!$N38/100</f>
        <v>0.35445546100899356</v>
      </c>
      <c r="R38" s="57">
        <f>Variables!$C$25*'Cost Calculations'!$N38/100</f>
        <v>2.5778578982472258</v>
      </c>
      <c r="S38" s="58">
        <f>O38*Variables!$C$18*Variables!$E$31+P38*Variables!$C$18*Variables!$E$32+('Cost Calculations'!Q38+'Cost Calculations'!R38)*Variables!$C$18*Variables!$E$33</f>
        <v>25757.58526864904</v>
      </c>
      <c r="T38" s="59">
        <f>$L38*Variables!$C$22/100</f>
        <v>8.9637814272728917</v>
      </c>
      <c r="U38" s="59">
        <f>$L38*Variables!$C$23/100</f>
        <v>15.686617497727564</v>
      </c>
      <c r="V38" s="59">
        <f>$L38*Variables!$C$24/100</f>
        <v>16.433599283333638</v>
      </c>
      <c r="W38" s="59">
        <f>$L38*Variables!$C$25/100</f>
        <v>119.5170856969719</v>
      </c>
      <c r="X38" s="62">
        <f>T38*Variables!$E$26*Variables!$C$18+'Cost Calculations'!U38*Variables!$E$27*Variables!$C$18+'Cost Calculations'!V38*Variables!$E$28*Variables!$C$18+W38*Variables!$E$29*Variables!$C$18</f>
        <v>187654435.83773226</v>
      </c>
      <c r="Y38" s="58">
        <f>J38*Variables!$E$30</f>
        <v>291529.34837540728</v>
      </c>
      <c r="Z38" s="1"/>
      <c r="AA38" s="245">
        <f>D38*(IF(D38&lt;Variables!$C$7,Variables!$C$38,IF(D38&gt;Variables!$C$6,Variables!$C$36,Variables!$C$37)))</f>
        <v>586.9554179999999</v>
      </c>
      <c r="AB38" s="121">
        <v>0</v>
      </c>
      <c r="AC38" s="66">
        <f t="shared" si="2"/>
        <v>587</v>
      </c>
      <c r="AD38" s="62">
        <f>AC38*Variables!$E$41</f>
        <v>315571200</v>
      </c>
      <c r="AE38" s="71">
        <f>ROUND((H38/(3.14*Variables!$C$35^2)),0)</f>
        <v>31</v>
      </c>
      <c r="AF38" s="101">
        <v>0</v>
      </c>
      <c r="AG38" s="57">
        <f t="shared" si="3"/>
        <v>31</v>
      </c>
      <c r="AH38" s="58">
        <f>AG38*Variables!$E$42*Variables!$C$18</f>
        <v>35595.936000000002</v>
      </c>
      <c r="AI38" s="73">
        <f t="shared" si="4"/>
        <v>5</v>
      </c>
      <c r="AJ38" s="120">
        <f>AI18</f>
        <v>3</v>
      </c>
      <c r="AK38" s="66">
        <f t="shared" si="5"/>
        <v>2</v>
      </c>
      <c r="AL38" s="62">
        <f>IF(AK38*Variables!$E$43*Variables!$C$18&lt;0,0,AK38*Variables!$E$43*Variables!$C$18)</f>
        <v>1890762.9839999999</v>
      </c>
      <c r="AM38" s="58">
        <f>AA38*Variables!$E$39*Variables!$C$18</f>
        <v>169660822.14220679</v>
      </c>
      <c r="AN38" s="1"/>
      <c r="AO38" s="75">
        <f>AVERAGE(Variables!$E$48)</f>
        <v>0.67714285714285716</v>
      </c>
      <c r="AP38" s="76">
        <f t="shared" si="6"/>
        <v>111.25161488283292</v>
      </c>
      <c r="AQ38" s="75">
        <f>VLOOKUP(B38,'Household Information'!$B$2:$E$48,4,FALSE)</f>
        <v>40.760000000000005</v>
      </c>
      <c r="AR38" s="79">
        <f>IF(12*(AP38-Variables!$C$45*AQ38*F38)*(G38/5)&lt;0,0,12*(AP38-Variables!$C$45*AQ38*F38)*(G38/5))</f>
        <v>40517029.399895996</v>
      </c>
      <c r="AS38" s="1"/>
      <c r="AT38" s="62">
        <f>IF(D38&lt;100000,100000,350000)</f>
        <v>350000</v>
      </c>
      <c r="AU38" s="1"/>
    </row>
    <row r="39" spans="1:47" ht="14.25" customHeight="1">
      <c r="A39" s="1">
        <v>36</v>
      </c>
      <c r="B39" s="3" t="s">
        <v>229</v>
      </c>
      <c r="C39" s="1">
        <v>2019</v>
      </c>
      <c r="D39" s="13">
        <f>VLOOKUP(B39,Population!$B$1:$O$48,3,FALSE)</f>
        <v>262321.67499999999</v>
      </c>
      <c r="E39" s="13" t="str">
        <f t="shared" si="8"/>
        <v>Medium</v>
      </c>
      <c r="F39" s="54">
        <f>VLOOKUP(B39,'Household Information'!$B$1:$E$48,2,FALSE)</f>
        <v>2.7303604631507774</v>
      </c>
      <c r="G39" s="54">
        <f t="shared" si="0"/>
        <v>96075.839999999997</v>
      </c>
      <c r="H39" s="55">
        <f>VLOOKUP(B39,Area!$B$2:$F$48,5,FALSE)</f>
        <v>25.407115316792478</v>
      </c>
      <c r="I39" s="55"/>
      <c r="J39" s="13">
        <f>H39*Variables!$C$21</f>
        <v>457.32807570226458</v>
      </c>
      <c r="K39" s="13">
        <v>316.39999999999998</v>
      </c>
      <c r="L39" s="54">
        <f t="shared" si="1"/>
        <v>140.92807570226461</v>
      </c>
      <c r="M39" s="56">
        <f>1-VLOOKUP(B39,'Road Pavement Percentage'!$B$2:$F$48,5,FALSE)</f>
        <v>0</v>
      </c>
      <c r="N39" s="57">
        <f t="shared" si="9"/>
        <v>0</v>
      </c>
      <c r="O39" s="57">
        <f>Variables!$C$22*'Cost Calculations'!$N39/100</f>
        <v>0</v>
      </c>
      <c r="P39" s="57">
        <f>Variables!$C$23*'Cost Calculations'!$N39/100</f>
        <v>0</v>
      </c>
      <c r="Q39" s="57">
        <f>Variables!$C$24*'Cost Calculations'!$N39/100</f>
        <v>0</v>
      </c>
      <c r="R39" s="57">
        <f>Variables!$C$25*'Cost Calculations'!$N39/100</f>
        <v>0</v>
      </c>
      <c r="S39" s="58">
        <f>O39*Variables!$C$18*Variables!$E$31+P39*Variables!$C$18*Variables!$E$32+('Cost Calculations'!Q39+'Cost Calculations'!R39)*Variables!$C$18*Variables!$E$33</f>
        <v>0</v>
      </c>
      <c r="T39" s="59">
        <f>$L39*Variables!$C$22/100</f>
        <v>7.6522032055528282</v>
      </c>
      <c r="U39" s="59">
        <f>$L39*Variables!$C$23/100</f>
        <v>13.391355609717452</v>
      </c>
      <c r="V39" s="59">
        <f>$L39*Variables!$C$24/100</f>
        <v>14.029039210180187</v>
      </c>
      <c r="W39" s="59">
        <f>$L39*Variables!$C$25/100</f>
        <v>102.02937607403771</v>
      </c>
      <c r="X39" s="62">
        <f>T39*Variables!$E$26*Variables!$C$18+'Cost Calculations'!U39*Variables!$E$27*Variables!$C$18+'Cost Calculations'!V39*Variables!$E$28*Variables!$C$18+W39*Variables!$E$29*Variables!$C$18</f>
        <v>160196886.44846582</v>
      </c>
      <c r="Y39" s="58">
        <f>J39*Variables!$E$30</f>
        <v>299549.88958498329</v>
      </c>
      <c r="Z39" s="1"/>
      <c r="AA39" s="245">
        <f>D39*(IF(D39&lt;Variables!$C$7,Variables!$C$38,IF(D39&gt;Variables!$C$6,Variables!$C$36,Variables!$C$37)))</f>
        <v>314.78600999999998</v>
      </c>
      <c r="AB39" s="121">
        <v>0</v>
      </c>
      <c r="AC39" s="66">
        <f t="shared" si="2"/>
        <v>315</v>
      </c>
      <c r="AD39" s="62">
        <f>AC39*Variables!$E$41</f>
        <v>169344000</v>
      </c>
      <c r="AE39" s="71">
        <f>ROUND((H39/(3.14*Variables!$C$35^2)),0)</f>
        <v>32</v>
      </c>
      <c r="AF39" s="101">
        <v>0</v>
      </c>
      <c r="AG39" s="57">
        <f t="shared" si="3"/>
        <v>32</v>
      </c>
      <c r="AH39" s="58">
        <f>AG39*Variables!$E$42*Variables!$C$18</f>
        <v>36744.192000000003</v>
      </c>
      <c r="AI39" s="73">
        <f t="shared" si="4"/>
        <v>3</v>
      </c>
      <c r="AJ39" s="120">
        <v>1</v>
      </c>
      <c r="AK39" s="66">
        <f t="shared" si="5"/>
        <v>2</v>
      </c>
      <c r="AL39" s="62">
        <f>IF(AK39*Variables!$E$43*Variables!$C$18&lt;0,0,AK39*Variables!$E$43*Variables!$C$18)</f>
        <v>1890762.9839999999</v>
      </c>
      <c r="AM39" s="58">
        <f>AA39*Variables!$E$39*Variables!$C$18</f>
        <v>90989624.795430258</v>
      </c>
      <c r="AN39" s="1"/>
      <c r="AO39" s="75">
        <f>AVERAGE(Variables!$E$48)</f>
        <v>0.67714285714285716</v>
      </c>
      <c r="AP39" s="76">
        <f t="shared" si="6"/>
        <v>110.93064510286872</v>
      </c>
      <c r="AQ39" s="75">
        <f>VLOOKUP(B39,'Household Information'!$B$2:$E$48,4,FALSE)</f>
        <v>27.28</v>
      </c>
      <c r="AR39" s="79">
        <f>IF(12*(AP39-Variables!$C$45*AQ39*F39)*(G39/5)&lt;0,0,12*(AP39-Variables!$C$45*AQ39*F39)*(G39/5))</f>
        <v>23002403.078159995</v>
      </c>
      <c r="AS39" s="1"/>
      <c r="AT39" s="62">
        <f t="shared" si="10"/>
        <v>350000</v>
      </c>
      <c r="AU39" s="1"/>
    </row>
    <row r="40" spans="1:47" ht="14.25" customHeight="1">
      <c r="A40" s="1">
        <v>37</v>
      </c>
      <c r="B40" s="3" t="s">
        <v>230</v>
      </c>
      <c r="C40" s="1">
        <v>2019</v>
      </c>
      <c r="D40" s="13">
        <f>VLOOKUP(B40,Population!$B$1:$O$48,3,FALSE)</f>
        <v>122268.93</v>
      </c>
      <c r="E40" s="13" t="str">
        <f t="shared" si="8"/>
        <v>Medium</v>
      </c>
      <c r="F40" s="54">
        <f>VLOOKUP(B40,'Household Information'!$B$1:$E$48,2,FALSE)</f>
        <v>2.4882673717260184</v>
      </c>
      <c r="G40" s="54">
        <f t="shared" si="0"/>
        <v>49138.179999999993</v>
      </c>
      <c r="H40" s="55">
        <f>VLOOKUP(B40,Area!$B$2:$F$48,5,FALSE)</f>
        <v>33.664331695979989</v>
      </c>
      <c r="I40" s="55"/>
      <c r="J40" s="13">
        <f>H40*Variables!$C$21</f>
        <v>605.95797052763976</v>
      </c>
      <c r="K40" s="13">
        <v>214.19</v>
      </c>
      <c r="L40" s="54">
        <f t="shared" si="1"/>
        <v>391.76797052763976</v>
      </c>
      <c r="M40" s="56">
        <f>1-VLOOKUP(B40,'Road Pavement Percentage'!$B$2:$F$48,5,FALSE)</f>
        <v>0.27667969837446593</v>
      </c>
      <c r="N40" s="57">
        <f t="shared" si="9"/>
        <v>59.262024594826855</v>
      </c>
      <c r="O40" s="57">
        <f>Variables!$C$22*'Cost Calculations'!$N40/100</f>
        <v>3.2178474893118652</v>
      </c>
      <c r="P40" s="57">
        <f>Variables!$C$23*'Cost Calculations'!$N40/100</f>
        <v>5.6312331062957641</v>
      </c>
      <c r="Q40" s="57">
        <f>Variables!$C$24*'Cost Calculations'!$N40/100</f>
        <v>5.8993870637384198</v>
      </c>
      <c r="R40" s="57">
        <f>Variables!$C$25*'Cost Calculations'!$N40/100</f>
        <v>42.904633190824867</v>
      </c>
      <c r="S40" s="58">
        <f>O40*Variables!$C$18*Variables!$E$31+P40*Variables!$C$18*Variables!$E$32+('Cost Calculations'!Q40+'Cost Calculations'!R40)*Variables!$C$18*Variables!$E$33</f>
        <v>428696.9225821913</v>
      </c>
      <c r="T40" s="59">
        <f>$L40*Variables!$C$22/100</f>
        <v>21.272468987926139</v>
      </c>
      <c r="U40" s="59">
        <f>$L40*Variables!$C$23/100</f>
        <v>37.226820728870749</v>
      </c>
      <c r="V40" s="59">
        <f>$L40*Variables!$C$24/100</f>
        <v>38.999526477864592</v>
      </c>
      <c r="W40" s="59">
        <f>$L40*Variables!$C$25/100</f>
        <v>283.63291983901519</v>
      </c>
      <c r="X40" s="62">
        <f>T40*Variables!$E$26*Variables!$C$18+'Cost Calculations'!U40*Variables!$E$27*Variables!$C$18+'Cost Calculations'!V40*Variables!$E$28*Variables!$C$18+W40*Variables!$E$29*Variables!$C$18</f>
        <v>445333612.73841417</v>
      </c>
      <c r="Y40" s="58">
        <f>J40*Variables!$E$30</f>
        <v>396902.47069560405</v>
      </c>
      <c r="Z40" s="1"/>
      <c r="AA40" s="245">
        <f>D40*(IF(D40&lt;Variables!$C$7,Variables!$C$38,IF(D40&gt;Variables!$C$6,Variables!$C$36,Variables!$C$37)))</f>
        <v>146.72271599999999</v>
      </c>
      <c r="AB40" s="121">
        <v>0</v>
      </c>
      <c r="AC40" s="66">
        <f t="shared" si="2"/>
        <v>147</v>
      </c>
      <c r="AD40" s="62">
        <f>AC40*Variables!$E$41</f>
        <v>79027200</v>
      </c>
      <c r="AE40" s="71">
        <f>ROUND((H40/(3.14*Variables!$C$35^2)),0)</f>
        <v>43</v>
      </c>
      <c r="AF40" s="101">
        <v>0</v>
      </c>
      <c r="AG40" s="57">
        <f t="shared" si="3"/>
        <v>43</v>
      </c>
      <c r="AH40" s="58">
        <f>AG40*Variables!$E$42*Variables!$C$18</f>
        <v>49375.008000000002</v>
      </c>
      <c r="AI40" s="73">
        <f t="shared" si="4"/>
        <v>1</v>
      </c>
      <c r="AJ40" s="132">
        <v>1</v>
      </c>
      <c r="AK40" s="66">
        <f t="shared" si="5"/>
        <v>0</v>
      </c>
      <c r="AL40" s="62">
        <f>IF(AK40*Variables!$E$43*Variables!$C$18&lt;0,0,AK40*Variables!$E$43*Variables!$C$18)</f>
        <v>0</v>
      </c>
      <c r="AM40" s="58">
        <f>AA40*Variables!$E$39*Variables!$C$18</f>
        <v>42410540.664772466</v>
      </c>
      <c r="AN40" s="1"/>
      <c r="AO40" s="75">
        <f>AVERAGE(Variables!$E$48)</f>
        <v>0.67714285714285716</v>
      </c>
      <c r="AP40" s="76">
        <f t="shared" si="6"/>
        <v>101.09474864555423</v>
      </c>
      <c r="AQ40" s="75">
        <f>VLOOKUP(B40,'Household Information'!$B$2:$E$48,4,FALSE)</f>
        <v>40.760000000000005</v>
      </c>
      <c r="AR40" s="79">
        <f>IF(12*(AP40-Variables!$C$45*AQ40*F40)*(G40/5)&lt;0,0,12*(AP40-Variables!$C$45*AQ40*F40)*(G40/5))</f>
        <v>10128143.323151998</v>
      </c>
      <c r="AS40" s="1"/>
      <c r="AT40" s="62">
        <f t="shared" si="10"/>
        <v>350000</v>
      </c>
      <c r="AU40" s="1"/>
    </row>
    <row r="41" spans="1:47" ht="14.25" customHeight="1">
      <c r="A41" s="1">
        <v>38</v>
      </c>
      <c r="B41" s="3" t="s">
        <v>231</v>
      </c>
      <c r="C41" s="1">
        <v>2019</v>
      </c>
      <c r="D41" s="13">
        <f>VLOOKUP(B41,Population!$B$1:$O$48,3,FALSE)</f>
        <v>37180.140301499989</v>
      </c>
      <c r="E41" s="13" t="str">
        <f t="shared" si="8"/>
        <v>Small</v>
      </c>
      <c r="F41" s="54">
        <f>VLOOKUP(B41,'Household Information'!$B$1:$E$48,2,FALSE)</f>
        <v>3.5815854318168161</v>
      </c>
      <c r="G41" s="54">
        <f t="shared" si="0"/>
        <v>10380.916778143073</v>
      </c>
      <c r="H41" s="119">
        <f>VLOOKUP(B41,Area!$B$2:$F$48,5,FALSE)</f>
        <v>3.6</v>
      </c>
      <c r="I41" s="55"/>
      <c r="J41" s="13">
        <f>H41*Variables!$C$21</f>
        <v>64.8</v>
      </c>
      <c r="K41" s="13">
        <v>66.8</v>
      </c>
      <c r="L41" s="54">
        <f t="shared" si="1"/>
        <v>0</v>
      </c>
      <c r="M41" s="56">
        <f>1-VLOOKUP(B41,'Road Pavement Percentage'!$B$2:$F$48,5,FALSE)</f>
        <v>0.69732360097323598</v>
      </c>
      <c r="N41" s="57">
        <f t="shared" si="9"/>
        <v>46.581216545012161</v>
      </c>
      <c r="O41" s="57">
        <f>Variables!$C$22*'Cost Calculations'!$N41/100</f>
        <v>2.5292968259735109</v>
      </c>
      <c r="P41" s="57">
        <f>Variables!$C$23*'Cost Calculations'!$N41/100</f>
        <v>4.4262694454536442</v>
      </c>
      <c r="Q41" s="57">
        <f>Variables!$C$24*'Cost Calculations'!$N41/100</f>
        <v>4.6370441809514373</v>
      </c>
      <c r="R41" s="57">
        <f>Variables!$C$25*'Cost Calculations'!$N41/100</f>
        <v>33.723957679646816</v>
      </c>
      <c r="S41" s="58">
        <f>O41*Variables!$C$18*Variables!$E$31+P41*Variables!$C$18*Variables!$E$32+('Cost Calculations'!Q41+'Cost Calculations'!R41)*Variables!$C$18*Variables!$E$33</f>
        <v>336964.9336064792</v>
      </c>
      <c r="T41" s="59">
        <f>$L41*Variables!$C$22/100</f>
        <v>0</v>
      </c>
      <c r="U41" s="59">
        <f>$L41*Variables!$C$23/100</f>
        <v>0</v>
      </c>
      <c r="V41" s="59">
        <f>$L41*Variables!$C$24/100</f>
        <v>0</v>
      </c>
      <c r="W41" s="59">
        <f>$L41*Variables!$C$25/100</f>
        <v>0</v>
      </c>
      <c r="X41" s="62">
        <f>T41*Variables!$E$26*Variables!$C$18+'Cost Calculations'!U41*Variables!$E$27*Variables!$C$18+'Cost Calculations'!V41*Variables!$E$28*Variables!$C$18+W41*Variables!$E$29*Variables!$C$18</f>
        <v>0</v>
      </c>
      <c r="Y41" s="58">
        <f>J41*Variables!$E$30</f>
        <v>42444</v>
      </c>
      <c r="Z41" s="1"/>
      <c r="AA41" s="245">
        <f>D41*(IF(D41&lt;Variables!$C$7,Variables!$C$38,IF(D41&gt;Variables!$C$6,Variables!$C$36,Variables!$C$37)))</f>
        <v>18.590070150749995</v>
      </c>
      <c r="AB41" s="121">
        <v>0</v>
      </c>
      <c r="AC41" s="66">
        <f t="shared" si="2"/>
        <v>19</v>
      </c>
      <c r="AD41" s="62">
        <f>AC41*Variables!$E$41</f>
        <v>10214400</v>
      </c>
      <c r="AE41" s="71">
        <f>ROUND((H41/(3.14*Variables!$C$35^2)),0)</f>
        <v>5</v>
      </c>
      <c r="AF41" s="17">
        <v>0</v>
      </c>
      <c r="AG41" s="57">
        <f t="shared" si="3"/>
        <v>5</v>
      </c>
      <c r="AH41" s="58">
        <f>AG41*Variables!$E$42*Variables!$C$18</f>
        <v>5741.28</v>
      </c>
      <c r="AI41" s="73">
        <f t="shared" si="4"/>
        <v>0</v>
      </c>
      <c r="AJ41" s="132">
        <v>0</v>
      </c>
      <c r="AK41" s="66">
        <f t="shared" si="5"/>
        <v>0</v>
      </c>
      <c r="AL41" s="62">
        <f>IF(AK41*Variables!$E$43*Variables!$C$18&lt;0,0,AK41*Variables!$E$43*Variables!$C$18)</f>
        <v>0</v>
      </c>
      <c r="AM41" s="58">
        <f>AA41*Variables!$E$39*Variables!$C$18</f>
        <v>5373502.8057233859</v>
      </c>
      <c r="AN41" s="1"/>
      <c r="AO41" s="75">
        <f>AVERAGE(Variables!$E$48)</f>
        <v>0.67714285714285716</v>
      </c>
      <c r="AP41" s="76">
        <f t="shared" si="6"/>
        <v>145.51469954410035</v>
      </c>
      <c r="AQ41" s="75">
        <f>VLOOKUP(B41,'Household Information'!$B$2:$E$48,4,FALSE)</f>
        <v>40.760000000000005</v>
      </c>
      <c r="AR41" s="79">
        <f>IF(12*(AP41-Variables!$C$45*AQ41*F41)*(G41/5)&lt;0,0,12*(AP41-Variables!$C$45*AQ41*F41)*(G41/5))</f>
        <v>3079815.8595850286</v>
      </c>
      <c r="AS41" s="1"/>
      <c r="AT41" s="62">
        <f t="shared" si="10"/>
        <v>100000</v>
      </c>
      <c r="AU41" s="1"/>
    </row>
    <row r="42" spans="1:47" ht="14.25" customHeight="1">
      <c r="A42" s="1">
        <v>39</v>
      </c>
      <c r="B42" s="3" t="s">
        <v>232</v>
      </c>
      <c r="C42" s="1">
        <v>2019</v>
      </c>
      <c r="D42" s="13">
        <f>VLOOKUP(B42,Population!$B$1:$O$48,3,FALSE)</f>
        <v>68124.76999999999</v>
      </c>
      <c r="E42" s="13" t="str">
        <f t="shared" si="8"/>
        <v>Small</v>
      </c>
      <c r="F42" s="54">
        <f>VLOOKUP(B42,'Household Information'!$B$1:$E$48,2,FALSE)</f>
        <v>3.4614749871067563</v>
      </c>
      <c r="G42" s="54">
        <f t="shared" si="0"/>
        <v>19680.849999999995</v>
      </c>
      <c r="H42" s="119">
        <f>VLOOKUP(B42,Area!$B$2:$F$48,5,FALSE)</f>
        <v>5.87</v>
      </c>
      <c r="I42" s="55"/>
      <c r="J42" s="13">
        <f>H42*Variables!$C$21</f>
        <v>105.66</v>
      </c>
      <c r="K42" s="13">
        <v>87.5</v>
      </c>
      <c r="L42" s="54">
        <f t="shared" si="1"/>
        <v>18.159999999999997</v>
      </c>
      <c r="M42" s="56">
        <f>1-VLOOKUP(B42,'Road Pavement Percentage'!$B$2:$F$48,5,FALSE)</f>
        <v>0.8</v>
      </c>
      <c r="N42" s="57">
        <f t="shared" si="9"/>
        <v>70</v>
      </c>
      <c r="O42" s="57">
        <f>Variables!$C$22*'Cost Calculations'!$N42/100</f>
        <v>3.800904977375565</v>
      </c>
      <c r="P42" s="57">
        <f>Variables!$C$23*'Cost Calculations'!$N42/100</f>
        <v>6.6515837104072402</v>
      </c>
      <c r="Q42" s="57">
        <f>Variables!$C$24*'Cost Calculations'!$N42/100</f>
        <v>6.9683257918552037</v>
      </c>
      <c r="R42" s="57">
        <f>Variables!$C$25*'Cost Calculations'!$N42/100</f>
        <v>50.678733031674213</v>
      </c>
      <c r="S42" s="58">
        <f>O42*Variables!$C$18*Variables!$E$31+P42*Variables!$C$18*Variables!$E$32+('Cost Calculations'!Q42+'Cost Calculations'!R42)*Variables!$C$18*Variables!$E$33</f>
        <v>506374.60980995483</v>
      </c>
      <c r="T42" s="59">
        <f>$L42*Variables!$C$22/100</f>
        <v>0.9860633484162894</v>
      </c>
      <c r="U42" s="59">
        <f>$L42*Variables!$C$23/100</f>
        <v>1.7256108597285063</v>
      </c>
      <c r="V42" s="59">
        <f>$L42*Variables!$C$24/100</f>
        <v>1.8077828054298641</v>
      </c>
      <c r="W42" s="59">
        <f>$L42*Variables!$C$25/100</f>
        <v>13.14751131221719</v>
      </c>
      <c r="X42" s="62">
        <f>T42*Variables!$E$26*Variables!$C$18+'Cost Calculations'!U42*Variables!$E$27*Variables!$C$18+'Cost Calculations'!V42*Variables!$E$28*Variables!$C$18+W42*Variables!$E$29*Variables!$C$18</f>
        <v>20642980.069140267</v>
      </c>
      <c r="Y42" s="58">
        <f>J42*Variables!$E$30</f>
        <v>69207.3</v>
      </c>
      <c r="Z42" s="1"/>
      <c r="AA42" s="245">
        <f>D42*(IF(D42&lt;Variables!$C$7,Variables!$C$38,IF(D42&gt;Variables!$C$6,Variables!$C$36,Variables!$C$37)))</f>
        <v>54.499815999999996</v>
      </c>
      <c r="AB42" s="121">
        <v>0</v>
      </c>
      <c r="AC42" s="66">
        <f t="shared" si="2"/>
        <v>54</v>
      </c>
      <c r="AD42" s="62">
        <f>AC42*Variables!$E$41</f>
        <v>29030400</v>
      </c>
      <c r="AE42" s="71">
        <f>ROUND((H42/(3.14*Variables!$C$35^2)),0)</f>
        <v>7</v>
      </c>
      <c r="AF42" s="101">
        <v>0</v>
      </c>
      <c r="AG42" s="57">
        <f t="shared" si="3"/>
        <v>7</v>
      </c>
      <c r="AH42" s="58">
        <f>AG42*Variables!$E$42*Variables!$C$18</f>
        <v>8037.7920000000004</v>
      </c>
      <c r="AI42" s="73">
        <f t="shared" si="4"/>
        <v>0</v>
      </c>
      <c r="AJ42" s="132">
        <f>AI22</f>
        <v>3</v>
      </c>
      <c r="AK42" s="66">
        <f t="shared" si="5"/>
        <v>0</v>
      </c>
      <c r="AL42" s="62">
        <f>IF(AK42*Variables!$E$43*Variables!$C$18&lt;0,0,AK42*Variables!$E$43*Variables!$C$18)</f>
        <v>0</v>
      </c>
      <c r="AM42" s="58">
        <f>AA42*Variables!$E$39*Variables!$C$18</f>
        <v>15753297.960287331</v>
      </c>
      <c r="AN42" s="1"/>
      <c r="AO42" s="75">
        <f>AVERAGE(Variables!$E$48)</f>
        <v>0.67714285714285716</v>
      </c>
      <c r="AP42" s="76">
        <f t="shared" si="6"/>
        <v>140.63478376188021</v>
      </c>
      <c r="AQ42" s="75">
        <f>VLOOKUP(B42,'Household Information'!$B$2:$E$48,4,FALSE)</f>
        <v>40.760000000000005</v>
      </c>
      <c r="AR42" s="79">
        <f>IF(12*(AP42-Variables!$C$45*AQ42*F42)*(G42/5)&lt;0,0,12*(AP42-Variables!$C$45*AQ42*F42)*(G42/5))</f>
        <v>5643113.3765279995</v>
      </c>
      <c r="AS42" s="1"/>
      <c r="AT42" s="62">
        <f t="shared" si="10"/>
        <v>100000</v>
      </c>
      <c r="AU42" s="1"/>
    </row>
    <row r="43" spans="1:47" ht="14.25" customHeight="1">
      <c r="A43" s="1">
        <v>40</v>
      </c>
      <c r="B43" s="3" t="s">
        <v>233</v>
      </c>
      <c r="C43" s="1">
        <v>2019</v>
      </c>
      <c r="D43" s="13">
        <f>VLOOKUP(B43,Population!$B$1:$O$48,3,FALSE)</f>
        <v>3174.6795464999987</v>
      </c>
      <c r="E43" s="13" t="str">
        <f t="shared" si="8"/>
        <v>Small</v>
      </c>
      <c r="F43" s="54">
        <f>VLOOKUP(B43,'Household Information'!$B$1:$E$48,2,FALSE)</f>
        <v>3.9153259949195598</v>
      </c>
      <c r="G43" s="54">
        <f t="shared" si="0"/>
        <v>810.8340277717341</v>
      </c>
      <c r="H43" s="119">
        <f>VLOOKUP(B43,Area!$B$2:$F$48,5,FALSE)</f>
        <v>0.2</v>
      </c>
      <c r="I43" s="55"/>
      <c r="J43" s="13">
        <f>H43*Variables!$C$21</f>
        <v>3.6</v>
      </c>
      <c r="K43" s="13">
        <v>21.97</v>
      </c>
      <c r="L43" s="54">
        <f t="shared" si="1"/>
        <v>0</v>
      </c>
      <c r="M43" s="56">
        <f>1-VLOOKUP(B43,'Road Pavement Percentage'!$B$2:$F$48,5,FALSE)</f>
        <v>0.16412495956375062</v>
      </c>
      <c r="N43" s="57">
        <f t="shared" si="9"/>
        <v>3.6058253616156009</v>
      </c>
      <c r="O43" s="57">
        <f>Variables!$C$22*'Cost Calculations'!$N43/100</f>
        <v>0.19579142235016836</v>
      </c>
      <c r="P43" s="57">
        <f>Variables!$C$23*'Cost Calculations'!$N43/100</f>
        <v>0.34263498911279461</v>
      </c>
      <c r="Q43" s="57">
        <f>Variables!$C$24*'Cost Calculations'!$N43/100</f>
        <v>0.35895094097530866</v>
      </c>
      <c r="R43" s="57">
        <f>Variables!$C$25*'Cost Calculations'!$N43/100</f>
        <v>2.6105522980022449</v>
      </c>
      <c r="S43" s="58">
        <f>O43*Variables!$C$18*Variables!$E$31+P43*Variables!$C$18*Variables!$E$32+('Cost Calculations'!Q43+'Cost Calculations'!R43)*Variables!$C$18*Variables!$E$33</f>
        <v>26084.263007584843</v>
      </c>
      <c r="T43" s="59">
        <f>$L43*Variables!$C$22/100</f>
        <v>0</v>
      </c>
      <c r="U43" s="59">
        <f>$L43*Variables!$C$23/100</f>
        <v>0</v>
      </c>
      <c r="V43" s="59">
        <f>$L43*Variables!$C$24/100</f>
        <v>0</v>
      </c>
      <c r="W43" s="59">
        <f>$L43*Variables!$C$25/100</f>
        <v>0</v>
      </c>
      <c r="X43" s="62">
        <f>T43*Variables!$E$26*Variables!$C$18+'Cost Calculations'!U43*Variables!$E$27*Variables!$C$18+'Cost Calculations'!V43*Variables!$E$28*Variables!$C$18+W43*Variables!$E$29*Variables!$C$18</f>
        <v>0</v>
      </c>
      <c r="Y43" s="58">
        <f>J43*Variables!$E$30</f>
        <v>2358</v>
      </c>
      <c r="Z43" s="1"/>
      <c r="AA43" s="245">
        <f>D43*(IF(D43&lt;Variables!$C$7,Variables!$C$38,IF(D43&gt;Variables!$C$6,Variables!$C$36,Variables!$C$37)))</f>
        <v>1.5873397732499994</v>
      </c>
      <c r="AB43" s="121">
        <v>0</v>
      </c>
      <c r="AC43" s="66">
        <f t="shared" si="2"/>
        <v>2</v>
      </c>
      <c r="AD43" s="62">
        <f>AC43*Variables!$E$41</f>
        <v>1075200</v>
      </c>
      <c r="AE43" s="71">
        <f>ROUND((H43/(3.14*Variables!$C$35^2)),0)</f>
        <v>0</v>
      </c>
      <c r="AF43" s="17">
        <v>0</v>
      </c>
      <c r="AG43" s="57">
        <f t="shared" si="3"/>
        <v>0</v>
      </c>
      <c r="AH43" s="58">
        <f>AG43*Variables!$E$42*Variables!$C$18</f>
        <v>0</v>
      </c>
      <c r="AI43" s="73">
        <f t="shared" si="4"/>
        <v>0</v>
      </c>
      <c r="AJ43" s="132">
        <v>0</v>
      </c>
      <c r="AK43" s="66">
        <f t="shared" si="5"/>
        <v>0</v>
      </c>
      <c r="AL43" s="62">
        <f>IF(AK43*Variables!$E$43*Variables!$C$18&lt;0,0,AK43*Variables!$E$43*Variables!$C$18)</f>
        <v>0</v>
      </c>
      <c r="AM43" s="58">
        <f>AA43*Variables!$E$39*Variables!$C$18</f>
        <v>458824.23552076158</v>
      </c>
      <c r="AN43" s="1"/>
      <c r="AO43" s="75">
        <f>AVERAGE(Variables!$E$48)</f>
        <v>0.67714285714285716</v>
      </c>
      <c r="AP43" s="76">
        <f t="shared" si="6"/>
        <v>159.07410185073181</v>
      </c>
      <c r="AQ43" s="75">
        <f>VLOOKUP(B43,'Household Information'!$B$2:$E$48,4,FALSE)</f>
        <v>40.760000000000005</v>
      </c>
      <c r="AR43" s="79">
        <f>IF(12*(AP43-Variables!$C$45*AQ43*F43)*(G43/5)&lt;0,0,12*(AP43-Variables!$C$45*AQ43*F43)*(G43/5))</f>
        <v>262974.48952919745</v>
      </c>
      <c r="AS43" s="1"/>
      <c r="AT43" s="62">
        <f t="shared" si="10"/>
        <v>100000</v>
      </c>
      <c r="AU43" s="1"/>
    </row>
    <row r="44" spans="1:47" ht="14.25" customHeight="1">
      <c r="A44" s="1">
        <v>41</v>
      </c>
      <c r="B44" s="3" t="s">
        <v>234</v>
      </c>
      <c r="C44" s="1">
        <v>2019</v>
      </c>
      <c r="D44" s="13">
        <f>VLOOKUP(B44,Population!$B$1:$O$48,3,FALSE)</f>
        <v>53105.814999999995</v>
      </c>
      <c r="E44" s="13" t="str">
        <f t="shared" si="8"/>
        <v>Small</v>
      </c>
      <c r="F44" s="54">
        <f>VLOOKUP(B44,'Household Information'!$B$1:$E$48,2,FALSE)</f>
        <v>2.524</v>
      </c>
      <c r="G44" s="54">
        <f t="shared" si="0"/>
        <v>21040.338748019014</v>
      </c>
      <c r="H44" s="119">
        <f>VLOOKUP(B44,Area!$B$2:$F$48,5,FALSE)</f>
        <v>4</v>
      </c>
      <c r="I44" s="55"/>
      <c r="J44" s="13">
        <f>H44*Variables!$C$21</f>
        <v>72</v>
      </c>
      <c r="K44" s="13">
        <v>105</v>
      </c>
      <c r="L44" s="54">
        <f t="shared" si="1"/>
        <v>0</v>
      </c>
      <c r="M44" s="56">
        <f>1-VLOOKUP(B44,'Road Pavement Percentage'!$B$2:$F$48,5,FALSE)</f>
        <v>0.27667969837446593</v>
      </c>
      <c r="N44" s="57">
        <f t="shared" si="9"/>
        <v>29.051368329318922</v>
      </c>
      <c r="O44" s="57">
        <f>Variables!$C$22*'Cost Calculations'!$N44/100</f>
        <v>1.5774498640354164</v>
      </c>
      <c r="P44" s="57">
        <f>Variables!$C$23*'Cost Calculations'!$N44/100</f>
        <v>2.760537262061979</v>
      </c>
      <c r="Q44" s="57">
        <f>Variables!$C$24*'Cost Calculations'!$N44/100</f>
        <v>2.8919914173982635</v>
      </c>
      <c r="R44" s="57">
        <f>Variables!$C$25*'Cost Calculations'!$N44/100</f>
        <v>21.032664853805553</v>
      </c>
      <c r="S44" s="58">
        <f>O44*Variables!$C$18*Variables!$E$31+P44*Variables!$C$18*Variables!$E$32+('Cost Calculations'!Q44+'Cost Calculations'!R44)*Variables!$C$18*Variables!$E$33</f>
        <v>210155.36146005924</v>
      </c>
      <c r="T44" s="59">
        <f>$L44*Variables!$C$22/100</f>
        <v>0</v>
      </c>
      <c r="U44" s="59">
        <f>$L44*Variables!$C$23/100</f>
        <v>0</v>
      </c>
      <c r="V44" s="59">
        <f>$L44*Variables!$C$24/100</f>
        <v>0</v>
      </c>
      <c r="W44" s="59">
        <f>$L44*Variables!$C$25/100</f>
        <v>0</v>
      </c>
      <c r="X44" s="62">
        <f>T44*Variables!$E$26*Variables!$C$18+'Cost Calculations'!U44*Variables!$E$27*Variables!$C$18+'Cost Calculations'!V44*Variables!$E$28*Variables!$C$18+W44*Variables!$E$29*Variables!$C$18</f>
        <v>0</v>
      </c>
      <c r="Y44" s="58">
        <f>J44*Variables!$E$30</f>
        <v>47160</v>
      </c>
      <c r="Z44" s="1"/>
      <c r="AA44" s="245">
        <f>D44*(IF(D44&lt;Variables!$C$7,Variables!$C$38,IF(D44&gt;Variables!$C$6,Variables!$C$36,Variables!$C$37)))</f>
        <v>42.484651999999997</v>
      </c>
      <c r="AB44" s="121">
        <v>0</v>
      </c>
      <c r="AC44" s="66">
        <f t="shared" si="2"/>
        <v>42</v>
      </c>
      <c r="AD44" s="62">
        <f>AC44*Variables!$E$41</f>
        <v>22579200</v>
      </c>
      <c r="AE44" s="71">
        <f>ROUND((H44/(3.14*Variables!$C$35^2)),0)</f>
        <v>5</v>
      </c>
      <c r="AF44" s="101">
        <v>0</v>
      </c>
      <c r="AG44" s="57">
        <f t="shared" si="3"/>
        <v>5</v>
      </c>
      <c r="AH44" s="58">
        <f>AG44*Variables!$E$42*Variables!$C$18</f>
        <v>5741.28</v>
      </c>
      <c r="AI44" s="73">
        <f t="shared" si="4"/>
        <v>0</v>
      </c>
      <c r="AJ44" s="120">
        <f>AI24</f>
        <v>2</v>
      </c>
      <c r="AK44" s="66">
        <f t="shared" si="5"/>
        <v>0</v>
      </c>
      <c r="AL44" s="62">
        <f>IF(AK44*Variables!$E$43*Variables!$C$18&lt;0,0,AK44*Variables!$E$43*Variables!$C$18)</f>
        <v>0</v>
      </c>
      <c r="AM44" s="58">
        <f>AA44*Variables!$E$39*Variables!$C$18</f>
        <v>12280286.995741729</v>
      </c>
      <c r="AN44" s="1"/>
      <c r="AO44" s="75">
        <f>AVERAGE(Variables!$E$48)</f>
        <v>0.67714285714285716</v>
      </c>
      <c r="AP44" s="76">
        <f t="shared" si="6"/>
        <v>102.54651428571428</v>
      </c>
      <c r="AQ44" s="75">
        <f>VLOOKUP(B44,'Household Information'!$B$2:$E$48,4,FALSE)</f>
        <v>40.760000000000005</v>
      </c>
      <c r="AR44" s="79">
        <f>IF(12*(AP44-Variables!$C$45*AQ44*F44)*(G44/5)&lt;0,0,12*(AP44-Variables!$C$45*AQ44*F44)*(G44/5))</f>
        <v>4399018.6682159984</v>
      </c>
      <c r="AS44" s="1"/>
      <c r="AT44" s="62">
        <f t="shared" si="10"/>
        <v>100000</v>
      </c>
      <c r="AU44" s="1"/>
    </row>
    <row r="45" spans="1:47" ht="14.25" customHeight="1">
      <c r="A45" s="1">
        <v>42</v>
      </c>
      <c r="B45" s="3" t="s">
        <v>235</v>
      </c>
      <c r="C45" s="1">
        <v>2019</v>
      </c>
      <c r="D45" s="13">
        <f>VLOOKUP(B45,Population!$B$1:$O$48,3,FALSE)</f>
        <v>46203.814999999995</v>
      </c>
      <c r="E45" s="13" t="str">
        <f t="shared" si="8"/>
        <v>Small</v>
      </c>
      <c r="F45" s="54">
        <f>VLOOKUP(B45,'Household Information'!$B$1:$E$48,2,FALSE)</f>
        <v>2.7236881469514751</v>
      </c>
      <c r="G45" s="54">
        <f t="shared" si="0"/>
        <v>16963.694999999996</v>
      </c>
      <c r="H45" s="119">
        <f>VLOOKUP(B45,Area!$B$2:$F$48,5,FALSE)</f>
        <v>5.0999999999999996</v>
      </c>
      <c r="I45" s="55"/>
      <c r="J45" s="13">
        <f>H45*Variables!$C$21</f>
        <v>91.8</v>
      </c>
      <c r="K45" s="13">
        <v>6.4969999999999999</v>
      </c>
      <c r="L45" s="54">
        <f t="shared" si="1"/>
        <v>85.302999999999997</v>
      </c>
      <c r="M45" s="56">
        <f>1-VLOOKUP(B45,'Road Pavement Percentage'!$B$2:$F$48,5,FALSE)</f>
        <v>0.27351687318219853</v>
      </c>
      <c r="N45" s="57">
        <f t="shared" si="9"/>
        <v>1.7770391250647437</v>
      </c>
      <c r="O45" s="57">
        <f>Variables!$C$22*'Cost Calculations'!$N45/100</f>
        <v>9.6490812220710057E-2</v>
      </c>
      <c r="P45" s="57">
        <f>Variables!$C$23*'Cost Calculations'!$N45/100</f>
        <v>0.16885892138624262</v>
      </c>
      <c r="Q45" s="57">
        <f>Variables!$C$24*'Cost Calculations'!$N45/100</f>
        <v>0.17689982240463512</v>
      </c>
      <c r="R45" s="57">
        <f>Variables!$C$25*'Cost Calculations'!$N45/100</f>
        <v>1.2865441629428007</v>
      </c>
      <c r="S45" s="58">
        <f>O45*Variables!$C$18*Variables!$E$31+P45*Variables!$C$18*Variables!$E$32+('Cost Calculations'!Q45+'Cost Calculations'!R45)*Variables!$C$18*Variables!$E$33</f>
        <v>12854.964193881187</v>
      </c>
      <c r="T45" s="59">
        <f>$L45*Variables!$C$22/100</f>
        <v>4.6318371040723978</v>
      </c>
      <c r="U45" s="59">
        <f>$L45*Variables!$C$23/100</f>
        <v>8.1057149321266966</v>
      </c>
      <c r="V45" s="59">
        <f>$L45*Variables!$C$24/100</f>
        <v>8.4917013574660629</v>
      </c>
      <c r="W45" s="59">
        <f>$L45*Variables!$C$25/100</f>
        <v>61.757828054298642</v>
      </c>
      <c r="X45" s="62">
        <f>T45*Variables!$E$26*Variables!$C$18+'Cost Calculations'!U45*Variables!$E$27*Variables!$C$18+'Cost Calculations'!V45*Variables!$E$28*Variables!$C$18+W45*Variables!$E$29*Variables!$C$18</f>
        <v>96966306.654067874</v>
      </c>
      <c r="Y45" s="58">
        <f>J45*Variables!$E$30</f>
        <v>60129</v>
      </c>
      <c r="Z45" s="1"/>
      <c r="AA45" s="245">
        <f>D45*(IF(D45&lt;Variables!$C$7,Variables!$C$38,IF(D45&gt;Variables!$C$6,Variables!$C$36,Variables!$C$37)))</f>
        <v>23.101907499999999</v>
      </c>
      <c r="AB45" s="121">
        <v>0</v>
      </c>
      <c r="AC45" s="66">
        <f t="shared" si="2"/>
        <v>23</v>
      </c>
      <c r="AD45" s="62">
        <f>AC45*Variables!$E$41</f>
        <v>12364800</v>
      </c>
      <c r="AE45" s="71">
        <f>ROUND((H45/(3.14*Variables!$C$35^2)),0)</f>
        <v>6</v>
      </c>
      <c r="AF45" s="101">
        <v>0</v>
      </c>
      <c r="AG45" s="57">
        <f t="shared" si="3"/>
        <v>6</v>
      </c>
      <c r="AH45" s="58">
        <f>AG45*Variables!$E$42*Variables!$C$18</f>
        <v>6889.5360000000001</v>
      </c>
      <c r="AI45" s="73">
        <f t="shared" si="4"/>
        <v>0</v>
      </c>
      <c r="AJ45" s="132">
        <v>0</v>
      </c>
      <c r="AK45" s="66">
        <f t="shared" si="5"/>
        <v>0</v>
      </c>
      <c r="AL45" s="62">
        <f>IF(AK45*Variables!$E$43*Variables!$C$18&lt;0,0,AK45*Variables!$E$43*Variables!$C$18)</f>
        <v>0</v>
      </c>
      <c r="AM45" s="58">
        <f>AA45*Variables!$E$39*Variables!$C$18</f>
        <v>6677659.8346404796</v>
      </c>
      <c r="AN45" s="1"/>
      <c r="AO45" s="75">
        <f>AVERAGE(Variables!$E$48)</f>
        <v>0.67714285714285716</v>
      </c>
      <c r="AP45" s="76">
        <f t="shared" si="6"/>
        <v>110.65955842757135</v>
      </c>
      <c r="AQ45" s="75">
        <f>VLOOKUP(B45,'Household Information'!$B$2:$E$48,4,FALSE)</f>
        <v>40.760000000000005</v>
      </c>
      <c r="AR45" s="79">
        <f>IF(12*(AP45-Variables!$C$45*AQ45*F45)*(G45/5)&lt;0,0,12*(AP45-Variables!$C$45*AQ45*F45)*(G45/5))</f>
        <v>3827291.6954159983</v>
      </c>
      <c r="AS45" s="1"/>
      <c r="AT45" s="62">
        <f t="shared" si="10"/>
        <v>100000</v>
      </c>
      <c r="AU45" s="1"/>
    </row>
    <row r="46" spans="1:47" ht="14.25" customHeight="1">
      <c r="A46" s="1">
        <v>43</v>
      </c>
      <c r="B46" s="3" t="s">
        <v>236</v>
      </c>
      <c r="C46" s="1">
        <v>2019</v>
      </c>
      <c r="D46" s="13">
        <f>VLOOKUP(B46,Population!$B$1:$O$48,3,FALSE)</f>
        <v>24397.554999999997</v>
      </c>
      <c r="E46" s="13" t="str">
        <f t="shared" si="8"/>
        <v>Small</v>
      </c>
      <c r="F46" s="54">
        <f>VLOOKUP(B46,'Household Information'!$B$1:$E$48,2,FALSE)</f>
        <v>3.4114391143911438</v>
      </c>
      <c r="G46" s="54">
        <f t="shared" si="0"/>
        <v>7151.69</v>
      </c>
      <c r="H46" s="55">
        <f>VLOOKUP(B46,Area!$B$2:$F$48,5,FALSE)</f>
        <v>4.3615375600657629</v>
      </c>
      <c r="I46" s="55"/>
      <c r="J46" s="13">
        <f>H46*Variables!$C$21</f>
        <v>78.507676081183732</v>
      </c>
      <c r="K46" s="108">
        <v>0</v>
      </c>
      <c r="L46" s="54">
        <f t="shared" si="1"/>
        <v>78.507676081183732</v>
      </c>
      <c r="M46" s="56">
        <f>1-VLOOKUP(B46,'Road Pavement Percentage'!$B$2:$F$48,5,FALSE)</f>
        <v>0.59829682288778718</v>
      </c>
      <c r="N46" s="57">
        <f t="shared" si="9"/>
        <v>0</v>
      </c>
      <c r="O46" s="57">
        <f>Variables!$C$22*'Cost Calculations'!$N46/100</f>
        <v>0</v>
      </c>
      <c r="P46" s="57">
        <f>Variables!$C$23*'Cost Calculations'!$N46/100</f>
        <v>0</v>
      </c>
      <c r="Q46" s="57">
        <f>Variables!$C$24*'Cost Calculations'!$N46/100</f>
        <v>0</v>
      </c>
      <c r="R46" s="57">
        <f>Variables!$C$25*'Cost Calculations'!$N46/100</f>
        <v>0</v>
      </c>
      <c r="S46" s="58">
        <f>O46*Variables!$C$18*Variables!$E$31+P46*Variables!$C$18*Variables!$E$32+('Cost Calculations'!Q46+'Cost Calculations'!R46)*Variables!$C$18*Variables!$E$33</f>
        <v>0</v>
      </c>
      <c r="T46" s="59">
        <f>$L46*Variables!$C$22/100</f>
        <v>4.2628602397022837</v>
      </c>
      <c r="U46" s="59">
        <f>$L46*Variables!$C$23/100</f>
        <v>7.4600054194789971</v>
      </c>
      <c r="V46" s="59">
        <f>$L46*Variables!$C$24/100</f>
        <v>7.8152437727875217</v>
      </c>
      <c r="W46" s="59">
        <f>$L46*Variables!$C$25/100</f>
        <v>56.83813652936378</v>
      </c>
      <c r="X46" s="62">
        <f>T46*Variables!$E$26*Variables!$C$18+'Cost Calculations'!U46*Variables!$E$27*Variables!$C$18+'Cost Calculations'!V46*Variables!$E$28*Variables!$C$18+W46*Variables!$E$29*Variables!$C$18</f>
        <v>89241871.840220049</v>
      </c>
      <c r="Y46" s="58">
        <f>J46*Variables!$E$30</f>
        <v>51422.527833175343</v>
      </c>
      <c r="Z46" s="1"/>
      <c r="AA46" s="245">
        <f>D46*(IF(D46&lt;Variables!$C$7,Variables!$C$38,IF(D46&gt;Variables!$C$6,Variables!$C$36,Variables!$C$37)))</f>
        <v>12.198777499999998</v>
      </c>
      <c r="AB46" s="121">
        <v>0</v>
      </c>
      <c r="AC46" s="66">
        <f t="shared" si="2"/>
        <v>12</v>
      </c>
      <c r="AD46" s="62">
        <f>AC46*Variables!$E$41</f>
        <v>6451200</v>
      </c>
      <c r="AE46" s="71">
        <f>ROUND((H46/(3.14*Variables!$C$35^2)),0)</f>
        <v>6</v>
      </c>
      <c r="AF46" s="101">
        <v>0</v>
      </c>
      <c r="AG46" s="57">
        <f t="shared" si="3"/>
        <v>6</v>
      </c>
      <c r="AH46" s="58">
        <f>AG46*Variables!$E$42*Variables!$C$18</f>
        <v>6889.5360000000001</v>
      </c>
      <c r="AI46" s="73">
        <f t="shared" si="4"/>
        <v>0</v>
      </c>
      <c r="AJ46" s="120">
        <v>0</v>
      </c>
      <c r="AK46" s="66">
        <f t="shared" si="5"/>
        <v>0</v>
      </c>
      <c r="AL46" s="62">
        <f>IF(AK46*Variables!$E$43*Variables!$C$18&lt;0,0,AK46*Variables!$E$43*Variables!$C$18)</f>
        <v>0</v>
      </c>
      <c r="AM46" s="58">
        <f>AA46*Variables!$E$39*Variables!$C$18</f>
        <v>3526084.8717131256</v>
      </c>
      <c r="AN46" s="1"/>
      <c r="AO46" s="75">
        <f>AVERAGE(Variables!$E$48)</f>
        <v>0.67714285714285716</v>
      </c>
      <c r="AP46" s="76">
        <f t="shared" si="6"/>
        <v>138.60189773326303</v>
      </c>
      <c r="AQ46" s="75">
        <f>VLOOKUP(B46,'Household Information'!$B$2:$E$48,4,FALSE)</f>
        <v>40.760000000000005</v>
      </c>
      <c r="AR46" s="79">
        <f>IF(12*(AP46-Variables!$C$45*AQ46*F46)*(G46/5)&lt;0,0,12*(AP46-Variables!$C$45*AQ46*F46)*(G46/5))</f>
        <v>2020970.7713519996</v>
      </c>
      <c r="AS46" s="1"/>
      <c r="AT46" s="62">
        <f t="shared" si="10"/>
        <v>100000</v>
      </c>
      <c r="AU46" s="1"/>
    </row>
    <row r="47" spans="1:47" ht="14.25" customHeight="1">
      <c r="A47" s="1">
        <v>44</v>
      </c>
      <c r="B47" s="3" t="s">
        <v>241</v>
      </c>
      <c r="C47" s="1">
        <v>2019</v>
      </c>
      <c r="D47" s="13">
        <f>VLOOKUP(B47,Population!$B$1:$O$48,3,FALSE)</f>
        <v>92969.172964499958</v>
      </c>
      <c r="E47" s="13" t="str">
        <f t="shared" si="8"/>
        <v>Small</v>
      </c>
      <c r="F47" s="54">
        <f>VLOOKUP(B47,'Household Information'!$B$1:$E$48,2,FALSE)</f>
        <v>2.919</v>
      </c>
      <c r="G47" s="54">
        <f t="shared" si="0"/>
        <v>31849.665284172646</v>
      </c>
      <c r="H47" s="55">
        <f>VLOOKUP(B47,Area!$B$2:$F$48,5,FALSE)</f>
        <v>10.635261242822136</v>
      </c>
      <c r="I47" s="55"/>
      <c r="J47" s="13">
        <f>H47*Variables!$C$21</f>
        <v>191.43470237079845</v>
      </c>
      <c r="K47" s="13">
        <v>118.2</v>
      </c>
      <c r="L47" s="54">
        <f t="shared" si="1"/>
        <v>73.234702370798445</v>
      </c>
      <c r="M47" s="56">
        <f>1-VLOOKUP(B47,'Road Pavement Percentage'!$B$2:$F$48,5,FALSE)</f>
        <v>0.27351687318219853</v>
      </c>
      <c r="N47" s="57">
        <f t="shared" si="9"/>
        <v>32.329694410135865</v>
      </c>
      <c r="O47" s="57">
        <f>Variables!$C$22*'Cost Calculations'!$N47/100</f>
        <v>1.7554585200073771</v>
      </c>
      <c r="P47" s="57">
        <f>Variables!$C$23*'Cost Calculations'!$N47/100</f>
        <v>3.0720524100129101</v>
      </c>
      <c r="Q47" s="57">
        <f>Variables!$C$24*'Cost Calculations'!$N47/100</f>
        <v>3.2183406200135249</v>
      </c>
      <c r="R47" s="57">
        <f>Variables!$C$25*'Cost Calculations'!$N47/100</f>
        <v>23.406113600098365</v>
      </c>
      <c r="S47" s="58">
        <f>O47*Variables!$C$18*Variables!$E$31+P47*Variables!$C$18*Variables!$E$32+('Cost Calculations'!Q47+'Cost Calculations'!R47)*Variables!$C$18*Variables!$E$33</f>
        <v>233870.51988868034</v>
      </c>
      <c r="T47" s="59">
        <f>$L47*Variables!$C$22/100</f>
        <v>3.9765449251112273</v>
      </c>
      <c r="U47" s="59">
        <f>$L47*Variables!$C$23/100</f>
        <v>6.9589536189446486</v>
      </c>
      <c r="V47" s="59">
        <f>$L47*Variables!$C$24/100</f>
        <v>7.2903323627039178</v>
      </c>
      <c r="W47" s="59">
        <f>$L47*Variables!$C$25/100</f>
        <v>53.020599001483035</v>
      </c>
      <c r="X47" s="62">
        <f>T47*Variables!$E$26*Variables!$C$18+'Cost Calculations'!U47*Variables!$E$27*Variables!$C$18+'Cost Calculations'!V47*Variables!$E$28*Variables!$C$18+W47*Variables!$E$29*Variables!$C$18</f>
        <v>83247935.099659264</v>
      </c>
      <c r="Y47" s="58">
        <f>J47*Variables!$E$30</f>
        <v>125389.73005287298</v>
      </c>
      <c r="Z47" s="1"/>
      <c r="AA47" s="245">
        <f>D47*(IF(D47&lt;Variables!$C$7,Variables!$C$38,IF(D47&gt;Variables!$C$6,Variables!$C$36,Variables!$C$37)))</f>
        <v>74.375338371599966</v>
      </c>
      <c r="AB47" s="131">
        <f>0.2*241</f>
        <v>48.2</v>
      </c>
      <c r="AC47" s="66">
        <f t="shared" si="2"/>
        <v>26</v>
      </c>
      <c r="AD47" s="62">
        <f>AC47*Variables!$E$41</f>
        <v>13977600</v>
      </c>
      <c r="AE47" s="71">
        <f>ROUND((H47/(3.14*Variables!$C$35^2)),0)</f>
        <v>14</v>
      </c>
      <c r="AF47" s="17">
        <v>0</v>
      </c>
      <c r="AG47" s="57">
        <f t="shared" si="3"/>
        <v>14</v>
      </c>
      <c r="AH47" s="58">
        <f>AG47*Variables!$E$42*Variables!$C$18</f>
        <v>16075.584000000001</v>
      </c>
      <c r="AI47" s="73">
        <f t="shared" si="4"/>
        <v>1</v>
      </c>
      <c r="AJ47" s="120">
        <f>AI27</f>
        <v>1</v>
      </c>
      <c r="AK47" s="66">
        <f t="shared" si="5"/>
        <v>0</v>
      </c>
      <c r="AL47" s="62">
        <f>IF(AK47*Variables!$E$43*Variables!$C$18&lt;0,0,AK47*Variables!$E$43*Variables!$C$18)</f>
        <v>0</v>
      </c>
      <c r="AM47" s="58">
        <f>AA47*Variables!$E$39*Variables!$C$18</f>
        <v>21498363.70576014</v>
      </c>
      <c r="AN47" s="1"/>
      <c r="AO47" s="75">
        <f>AVERAGE(Variables!$E$48)</f>
        <v>0.67714285714285716</v>
      </c>
      <c r="AP47" s="76">
        <f t="shared" si="6"/>
        <v>118.59479999999999</v>
      </c>
      <c r="AQ47" s="75">
        <f>VLOOKUP(B47,'Household Information'!$B$2:$E$48,4,FALSE)</f>
        <v>40.760000000000005</v>
      </c>
      <c r="AR47" s="79">
        <f>IF(12*(AP47-Variables!$C$45*AQ47*F47)*(G47/5)&lt;0,0,12*(AP47-Variables!$C$45*AQ47*F47)*(G47/5))</f>
        <v>7701098.7862522695</v>
      </c>
      <c r="AS47" s="1"/>
      <c r="AT47" s="62">
        <f t="shared" si="10"/>
        <v>100000</v>
      </c>
      <c r="AU47" s="1"/>
    </row>
    <row r="48" spans="1:47" ht="14.25" customHeight="1">
      <c r="A48" s="1">
        <v>45</v>
      </c>
      <c r="B48" s="3" t="s">
        <v>242</v>
      </c>
      <c r="C48" s="1">
        <v>2019</v>
      </c>
      <c r="D48" s="13">
        <f>VLOOKUP(B48,Population!$B$1:$O$48,3,FALSE)</f>
        <v>23970.239999999998</v>
      </c>
      <c r="E48" s="13" t="str">
        <f t="shared" si="8"/>
        <v>Small</v>
      </c>
      <c r="F48" s="54">
        <f>VLOOKUP(B48,'Household Information'!$B$1:$E$48,2,FALSE)</f>
        <v>2.377290114757399</v>
      </c>
      <c r="G48" s="54">
        <f t="shared" si="0"/>
        <v>10083.009999999998</v>
      </c>
      <c r="H48" s="119">
        <f>VLOOKUP(B48,Area!$B$2:$F$48,5,FALSE)</f>
        <v>3.8</v>
      </c>
      <c r="I48" s="55"/>
      <c r="J48" s="13">
        <f>H48*Variables!$C$21</f>
        <v>68.399999999999991</v>
      </c>
      <c r="K48" s="108">
        <v>0</v>
      </c>
      <c r="L48" s="54">
        <f t="shared" si="1"/>
        <v>68.399999999999991</v>
      </c>
      <c r="M48" s="56">
        <f>1-VLOOKUP(B48,'Road Pavement Percentage'!$B$2:$F$48,5,FALSE)</f>
        <v>0</v>
      </c>
      <c r="N48" s="57">
        <f t="shared" si="9"/>
        <v>0</v>
      </c>
      <c r="O48" s="57">
        <f>Variables!$C$22*'Cost Calculations'!$N48/100</f>
        <v>0</v>
      </c>
      <c r="P48" s="57">
        <f>Variables!$C$23*'Cost Calculations'!$N48/100</f>
        <v>0</v>
      </c>
      <c r="Q48" s="57">
        <f>Variables!$C$24*'Cost Calculations'!$N48/100</f>
        <v>0</v>
      </c>
      <c r="R48" s="57">
        <f>Variables!$C$25*'Cost Calculations'!$N48/100</f>
        <v>0</v>
      </c>
      <c r="S48" s="58">
        <f>O48*Variables!$C$18*Variables!$E$31+P48*Variables!$C$18*Variables!$E$32+('Cost Calculations'!Q48+'Cost Calculations'!R48)*Variables!$C$18*Variables!$E$33</f>
        <v>0</v>
      </c>
      <c r="T48" s="59">
        <f>$L48*Variables!$C$22/100</f>
        <v>3.7140271493212662</v>
      </c>
      <c r="U48" s="59">
        <f>$L48*Variables!$C$23/100</f>
        <v>6.4995475113122163</v>
      </c>
      <c r="V48" s="59">
        <f>$L48*Variables!$C$24/100</f>
        <v>6.809049773755655</v>
      </c>
      <c r="W48" s="59">
        <f>$L48*Variables!$C$25/100</f>
        <v>49.520361990950221</v>
      </c>
      <c r="X48" s="62">
        <f>T48*Variables!$E$26*Variables!$C$18+'Cost Calculations'!U48*Variables!$E$27*Variables!$C$18+'Cost Calculations'!V48*Variables!$E$28*Variables!$C$18+W48*Variables!$E$29*Variables!$C$18</f>
        <v>77752193.652488679</v>
      </c>
      <c r="Y48" s="58">
        <f>J48*Variables!$E$30</f>
        <v>44801.999999999993</v>
      </c>
      <c r="Z48" s="1"/>
      <c r="AA48" s="245">
        <f>D48*(IF(D48&lt;Variables!$C$7,Variables!$C$38,IF(D48&gt;Variables!$C$6,Variables!$C$36,Variables!$C$37)))</f>
        <v>11.985119999999998</v>
      </c>
      <c r="AB48" s="121">
        <v>0</v>
      </c>
      <c r="AC48" s="66">
        <f t="shared" si="2"/>
        <v>12</v>
      </c>
      <c r="AD48" s="62">
        <f>AC48*Variables!$E$41</f>
        <v>6451200</v>
      </c>
      <c r="AE48" s="71">
        <f>ROUND((H48/(3.14*Variables!$C$35^2)),0)</f>
        <v>5</v>
      </c>
      <c r="AF48" s="101">
        <v>0</v>
      </c>
      <c r="AG48" s="57">
        <f t="shared" si="3"/>
        <v>5</v>
      </c>
      <c r="AH48" s="58">
        <f>AG48*Variables!$E$42*Variables!$C$18</f>
        <v>5741.28</v>
      </c>
      <c r="AI48" s="73">
        <f t="shared" si="4"/>
        <v>0</v>
      </c>
      <c r="AJ48" s="120">
        <v>0</v>
      </c>
      <c r="AK48" s="66">
        <f t="shared" si="5"/>
        <v>0</v>
      </c>
      <c r="AL48" s="62">
        <f>IF(AK48*Variables!$E$43*Variables!$C$18&lt;0,0,AK48*Variables!$E$43*Variables!$C$18)</f>
        <v>0</v>
      </c>
      <c r="AM48" s="58">
        <f>AA48*Variables!$E$39*Variables!$C$18</f>
        <v>3464326.6768056401</v>
      </c>
      <c r="AN48" s="1"/>
      <c r="AO48" s="75">
        <f>AVERAGE(Variables!$E$48)</f>
        <v>0.67714285714285716</v>
      </c>
      <c r="AP48" s="76">
        <f t="shared" si="6"/>
        <v>96.585901233857754</v>
      </c>
      <c r="AQ48" s="75">
        <f>VLOOKUP(B48,'Household Information'!$B$2:$E$48,4,FALSE)</f>
        <v>40.760000000000005</v>
      </c>
      <c r="AR48" s="79">
        <f>IF(12*(AP48-Variables!$C$45*AQ48*F48)*(G48/5)&lt;0,0,12*(AP48-Variables!$C$45*AQ48*F48)*(G48/5))</f>
        <v>1985574.1455359997</v>
      </c>
      <c r="AS48" s="1"/>
      <c r="AT48" s="62">
        <f>IF(D48&lt;100000,100000,350000)</f>
        <v>100000</v>
      </c>
      <c r="AU48" s="1"/>
    </row>
    <row r="49" spans="1:47" ht="14.25" customHeight="1">
      <c r="A49" s="1">
        <v>46</v>
      </c>
      <c r="B49" s="3" t="s">
        <v>243</v>
      </c>
      <c r="C49" s="1">
        <v>2019</v>
      </c>
      <c r="D49" s="13">
        <f>VLOOKUP(B49,Population!$B$1:$O$48,3,FALSE)</f>
        <v>30635.744999999995</v>
      </c>
      <c r="E49" s="13" t="str">
        <f t="shared" si="8"/>
        <v>Small</v>
      </c>
      <c r="F49" s="54">
        <f>VLOOKUP(B49,'Household Information'!$B$1:$E$48,2,FALSE)</f>
        <v>2.6682284299858559</v>
      </c>
      <c r="G49" s="54">
        <f t="shared" si="0"/>
        <v>11481.679999999998</v>
      </c>
      <c r="H49" s="55">
        <f>VLOOKUP(B49,Area!$B$2:$F$48,5,FALSE)</f>
        <v>3.7037378683199988</v>
      </c>
      <c r="I49" s="55"/>
      <c r="J49" s="13">
        <f>H49*Variables!$C$21</f>
        <v>66.667281629759984</v>
      </c>
      <c r="K49" s="13">
        <v>58.29</v>
      </c>
      <c r="L49" s="54">
        <f t="shared" si="1"/>
        <v>8.3772816297599846</v>
      </c>
      <c r="M49" s="56">
        <f>1-VLOOKUP(B49,'Road Pavement Percentage'!$B$2:$F$48,5,FALSE)</f>
        <v>0.2998073635944325</v>
      </c>
      <c r="N49" s="57">
        <f t="shared" si="9"/>
        <v>17.47577122391947</v>
      </c>
      <c r="O49" s="57">
        <f>Variables!$C$22*'Cost Calculations'!$N49/100</f>
        <v>0.94891065469245972</v>
      </c>
      <c r="P49" s="57">
        <f>Variables!$C$23*'Cost Calculations'!$N49/100</f>
        <v>1.6605936457118049</v>
      </c>
      <c r="Q49" s="57">
        <f>Variables!$C$24*'Cost Calculations'!$N49/100</f>
        <v>1.7396695336028432</v>
      </c>
      <c r="R49" s="57">
        <f>Variables!$C$25*'Cost Calculations'!$N49/100</f>
        <v>12.652142062566131</v>
      </c>
      <c r="S49" s="58">
        <f>O49*Variables!$C$18*Variables!$E$31+P49*Variables!$C$18*Variables!$E$32+('Cost Calculations'!Q49+'Cost Calculations'!R49)*Variables!$C$18*Variables!$E$33</f>
        <v>126418.38335200369</v>
      </c>
      <c r="T49" s="59">
        <f>$L49*Variables!$C$22/100</f>
        <v>0.4548750206204516</v>
      </c>
      <c r="U49" s="59">
        <f>$L49*Variables!$C$23/100</f>
        <v>0.79603128608579043</v>
      </c>
      <c r="V49" s="59">
        <f>$L49*Variables!$C$24/100</f>
        <v>0.83393753780416136</v>
      </c>
      <c r="W49" s="59">
        <f>$L49*Variables!$C$25/100</f>
        <v>6.0650002749393543</v>
      </c>
      <c r="X49" s="62">
        <f>T49*Variables!$E$26*Variables!$C$18+'Cost Calculations'!U49*Variables!$E$27*Variables!$C$18+'Cost Calculations'!V49*Variables!$E$28*Variables!$C$18+W49*Variables!$E$29*Variables!$C$18</f>
        <v>9522690.4029025473</v>
      </c>
      <c r="Y49" s="58">
        <f>J49*Variables!$E$30</f>
        <v>43667.069467492787</v>
      </c>
      <c r="Z49" s="1"/>
      <c r="AA49" s="245">
        <f>D49*(IF(D49&lt;Variables!$C$7,Variables!$C$38,IF(D49&gt;Variables!$C$6,Variables!$C$36,Variables!$C$37)))</f>
        <v>15.317872499999998</v>
      </c>
      <c r="AB49" s="121">
        <v>0</v>
      </c>
      <c r="AC49" s="66">
        <f t="shared" si="2"/>
        <v>15</v>
      </c>
      <c r="AD49" s="62">
        <f>AC49*Variables!$E$41</f>
        <v>8064000</v>
      </c>
      <c r="AE49" s="71">
        <f>ROUND((H49/(3.14*Variables!$C$35^2)),0)</f>
        <v>5</v>
      </c>
      <c r="AF49" s="101">
        <v>0</v>
      </c>
      <c r="AG49" s="57">
        <f t="shared" si="3"/>
        <v>5</v>
      </c>
      <c r="AH49" s="58">
        <f>AG49*Variables!$E$42*Variables!$C$18</f>
        <v>5741.28</v>
      </c>
      <c r="AI49" s="73">
        <f t="shared" si="4"/>
        <v>0</v>
      </c>
      <c r="AJ49" s="120">
        <f t="shared" ref="AJ49:AJ50" si="11">AI29</f>
        <v>0</v>
      </c>
      <c r="AK49" s="66">
        <f t="shared" si="5"/>
        <v>0</v>
      </c>
      <c r="AL49" s="62">
        <f>IF(AK49*Variables!$E$43*Variables!$C$18&lt;0,0,AK49*Variables!$E$43*Variables!$C$18)</f>
        <v>0</v>
      </c>
      <c r="AM49" s="58">
        <f>AA49*Variables!$E$39*Variables!$C$18</f>
        <v>4427666.5009326153</v>
      </c>
      <c r="AN49" s="1"/>
      <c r="AO49" s="75">
        <f>AVERAGE(Variables!$E$48)</f>
        <v>0.67714285714285716</v>
      </c>
      <c r="AP49" s="76">
        <f t="shared" si="6"/>
        <v>108.40630935542534</v>
      </c>
      <c r="AQ49" s="75">
        <f>VLOOKUP(B49,'Household Information'!$B$2:$E$48,4,FALSE)</f>
        <v>40.760000000000005</v>
      </c>
      <c r="AR49" s="79">
        <f>IF(12*(AP49-Variables!$C$45*AQ49*F49)*(G49/5)&lt;0,0,12*(AP49-Variables!$C$45*AQ49*F49)*(G49/5))</f>
        <v>2537711.0617679995</v>
      </c>
      <c r="AS49" s="1"/>
      <c r="AT49" s="62">
        <f t="shared" si="10"/>
        <v>100000</v>
      </c>
      <c r="AU49" s="1"/>
    </row>
    <row r="50" spans="1:47" ht="14.25" customHeight="1">
      <c r="A50" s="1">
        <v>47</v>
      </c>
      <c r="B50" s="3" t="s">
        <v>244</v>
      </c>
      <c r="C50" s="1">
        <v>2019</v>
      </c>
      <c r="D50" s="13">
        <f>VLOOKUP(B50,Population!$B$1:$O$48,3,FALSE)</f>
        <v>63964</v>
      </c>
      <c r="E50" s="13" t="str">
        <f t="shared" si="8"/>
        <v>Small</v>
      </c>
      <c r="F50" s="54">
        <f>VLOOKUP(B50,'Household Information'!$B$1:$E$48,2,FALSE)</f>
        <v>3.4580000000000002</v>
      </c>
      <c r="G50" s="54">
        <f t="shared" si="0"/>
        <v>18497.397339502601</v>
      </c>
      <c r="H50" s="119">
        <f>VLOOKUP(B50,Area!$B$2:$F$48,5,FALSE)</f>
        <v>4.2</v>
      </c>
      <c r="I50" s="55"/>
      <c r="J50" s="13">
        <f>H50*Variables!$C$21</f>
        <v>75.600000000000009</v>
      </c>
      <c r="K50" s="13">
        <v>94.147999999999996</v>
      </c>
      <c r="L50" s="54">
        <f t="shared" si="1"/>
        <v>0</v>
      </c>
      <c r="M50" s="56">
        <f>VLOOKUP(B50,'Road Pavement Percentage'!$B$2:$F$48,5,FALSE)</f>
        <v>0.2</v>
      </c>
      <c r="N50" s="57">
        <v>75.318399999999997</v>
      </c>
      <c r="O50" s="57">
        <f>Variables!$C$22*'Cost Calculations'!$N50/100</f>
        <v>4.0896868778280542</v>
      </c>
      <c r="P50" s="57">
        <f>Variables!$C$23*'Cost Calculations'!$N50/100</f>
        <v>7.1569520361990939</v>
      </c>
      <c r="Q50" s="57">
        <f>Variables!$C$24*'Cost Calculations'!$N50/100</f>
        <v>7.4977592760180993</v>
      </c>
      <c r="R50" s="57">
        <f>Variables!$C$25*'Cost Calculations'!$N50/100</f>
        <v>54.529158371040722</v>
      </c>
      <c r="S50" s="58">
        <f>O50*Variables!$C$18*Variables!$E$31+P50*Variables!$C$18*Variables!$E$32+('Cost Calculations'!Q50+'Cost Calculations'!R50)*Variables!$C$18*Variables!$E$33</f>
        <v>544847.50587871578</v>
      </c>
      <c r="T50" s="59">
        <f>$L50*Variables!$C$22/100</f>
        <v>0</v>
      </c>
      <c r="U50" s="59">
        <f>$L50*Variables!$C$23/100</f>
        <v>0</v>
      </c>
      <c r="V50" s="59">
        <f>$L50*Variables!$C$24/100</f>
        <v>0</v>
      </c>
      <c r="W50" s="59">
        <f>$L50*Variables!$C$25/100</f>
        <v>0</v>
      </c>
      <c r="X50" s="62">
        <f>T50*Variables!$E$26*Variables!$C$18+'Cost Calculations'!U50*Variables!$E$27*Variables!$C$18+'Cost Calculations'!V50*Variables!$E$28*Variables!$C$18+W50*Variables!$E$29*Variables!$C$18</f>
        <v>0</v>
      </c>
      <c r="Y50" s="58">
        <f>J50*Variables!$E$30</f>
        <v>49518.000000000007</v>
      </c>
      <c r="Z50" s="1"/>
      <c r="AA50" s="245">
        <f>D50*(IF(D50&lt;Variables!$C$7,Variables!$C$38,IF(D50&gt;Variables!$C$6,Variables!$C$36,Variables!$C$37)))</f>
        <v>51.171199999999999</v>
      </c>
      <c r="AB50" s="131">
        <v>0</v>
      </c>
      <c r="AC50" s="66">
        <f t="shared" si="2"/>
        <v>51</v>
      </c>
      <c r="AD50" s="62">
        <f>AC50*Variables!$E$41</f>
        <v>27417600</v>
      </c>
      <c r="AE50" s="71">
        <f>ROUND((H50/(3.14*Variables!$C$35^2)),0)</f>
        <v>5</v>
      </c>
      <c r="AF50" s="17">
        <v>0</v>
      </c>
      <c r="AG50" s="57">
        <f t="shared" si="3"/>
        <v>5</v>
      </c>
      <c r="AH50" s="58">
        <f>AG50*Variables!$E$42*Variables!$C$18</f>
        <v>5741.28</v>
      </c>
      <c r="AI50" s="73">
        <f t="shared" si="4"/>
        <v>0</v>
      </c>
      <c r="AJ50" s="120">
        <f t="shared" si="11"/>
        <v>0</v>
      </c>
      <c r="AK50" s="66">
        <f t="shared" si="5"/>
        <v>0</v>
      </c>
      <c r="AL50" s="62">
        <f>IF(AK50*Variables!$E$43*Variables!$C$18&lt;0,0,AK50*Variables!$E$43*Variables!$C$18)</f>
        <v>0</v>
      </c>
      <c r="AM50" s="58">
        <f>AA50*Variables!$E$39*Variables!$C$18</f>
        <v>14791153.801059714</v>
      </c>
      <c r="AN50" s="1"/>
      <c r="AO50" s="75">
        <f>AVERAGE(Variables!$E$48)</f>
        <v>0.67714285714285716</v>
      </c>
      <c r="AP50" s="76">
        <f t="shared" si="6"/>
        <v>140.49359999999999</v>
      </c>
      <c r="AQ50" s="75">
        <f>VLOOKUP(B50,'Household Information'!$B$2:$E$48,4,FALSE)</f>
        <v>40.760000000000005</v>
      </c>
      <c r="AR50" s="79">
        <f>IF(12*(AP50-Variables!$C$45*AQ50*F50)*(G50/5)&lt;0,0,12*(AP50-Variables!$C$45*AQ50*F50)*(G50/5))</f>
        <v>5298456.1124571413</v>
      </c>
      <c r="AS50" s="1"/>
      <c r="AT50" s="62">
        <f t="shared" si="10"/>
        <v>100000</v>
      </c>
      <c r="AU50" s="1"/>
    </row>
    <row r="51" spans="1:47" ht="14.25" customHeight="1">
      <c r="A51" s="1">
        <v>1</v>
      </c>
      <c r="B51" s="3" t="s">
        <v>76</v>
      </c>
      <c r="C51" s="1">
        <v>2020</v>
      </c>
      <c r="D51" s="13">
        <f>VLOOKUP(B51,Population!$B$1:$O$48,4,FALSE)</f>
        <v>7398528.9005249981</v>
      </c>
      <c r="E51" s="13" t="str">
        <f t="shared" si="8"/>
        <v>Large</v>
      </c>
      <c r="F51" s="54">
        <f>VLOOKUP(B51,'Household Information'!$B$1:$E$48,2,FALSE)</f>
        <v>2.8458153079093123</v>
      </c>
      <c r="G51" s="54">
        <f t="shared" si="0"/>
        <v>2599792.3617749996</v>
      </c>
      <c r="H51" s="55">
        <f>IF(D51&gt;Variables!$C$6,H4,H4*(1+Variables!$C$9))</f>
        <v>418.2688494446499</v>
      </c>
      <c r="I51" s="55"/>
      <c r="J51" s="13">
        <f>H51*Variables!$C$21</f>
        <v>7528.8392900036979</v>
      </c>
      <c r="K51" s="13">
        <f t="shared" ref="K51:K567" si="12">K4+L4</f>
        <v>13984</v>
      </c>
      <c r="L51" s="54">
        <f t="shared" si="1"/>
        <v>0</v>
      </c>
      <c r="M51" s="56"/>
      <c r="N51" s="57"/>
      <c r="O51" s="57"/>
      <c r="P51" s="57"/>
      <c r="Q51" s="57"/>
      <c r="R51" s="57"/>
      <c r="S51" s="58">
        <v>0</v>
      </c>
      <c r="T51" s="59">
        <f>$L51*Variables!$C$22/100</f>
        <v>0</v>
      </c>
      <c r="U51" s="59">
        <f>$L51*Variables!$C$23/100</f>
        <v>0</v>
      </c>
      <c r="V51" s="59">
        <f>$L51*Variables!$C$24/100</f>
        <v>0</v>
      </c>
      <c r="W51" s="59">
        <f>$L51*Variables!$C$25/100</f>
        <v>0</v>
      </c>
      <c r="X51" s="62">
        <f>T51*Variables!$E$26*Variables!$C$18+'Cost Calculations'!U51*Variables!$E$27*Variables!$C$18+'Cost Calculations'!V51*Variables!$E$28*Variables!$C$18+W51*Variables!$E$29*Variables!$C$18</f>
        <v>0</v>
      </c>
      <c r="Y51" s="58">
        <f>J51*Variables!$E$30</f>
        <v>4931389.7349524219</v>
      </c>
      <c r="Z51" s="1"/>
      <c r="AA51" s="245">
        <f>D51*(IF(D51&lt;Variables!$C$7,Variables!$C$38,IF(D51&gt;Variables!$C$6,Variables!$C$36,Variables!$C$37)))</f>
        <v>8878.2346806299975</v>
      </c>
      <c r="AB51" s="64">
        <f t="shared" ref="AB51:AB567" si="13">ROUND(AB4+AC4,0)</f>
        <v>8747</v>
      </c>
      <c r="AC51" s="66">
        <f t="shared" si="2"/>
        <v>131</v>
      </c>
      <c r="AD51" s="62">
        <f>AC51*Variables!$E$41</f>
        <v>70425600</v>
      </c>
      <c r="AE51" s="71">
        <f>ROUND((H51/(3.14*Variables!$C$35^2)),0)</f>
        <v>533</v>
      </c>
      <c r="AF51" s="57">
        <f t="shared" ref="AF51:AF567" si="14">AF4+AG4</f>
        <v>853</v>
      </c>
      <c r="AG51" s="57">
        <f t="shared" si="3"/>
        <v>0</v>
      </c>
      <c r="AH51" s="58">
        <f>AG51*Variables!$E$42*Variables!$C$18</f>
        <v>0</v>
      </c>
      <c r="AI51" s="73">
        <f t="shared" si="4"/>
        <v>74</v>
      </c>
      <c r="AJ51" s="66">
        <f t="shared" ref="AJ51:AJ567" si="15">AJ4+AK4</f>
        <v>73</v>
      </c>
      <c r="AK51" s="66">
        <f t="shared" si="5"/>
        <v>1</v>
      </c>
      <c r="AL51" s="62">
        <f>IF(AK51*Variables!$E$43*Variables!$C$18&lt;0,0,AK51*Variables!$E$43*Variables!$C$18)</f>
        <v>945381.49199999997</v>
      </c>
      <c r="AM51" s="58">
        <f>AA51*Variables!$E$39*Variables!$C$18</f>
        <v>2566274284.0328264</v>
      </c>
      <c r="AN51" s="1"/>
      <c r="AO51" s="76">
        <f t="shared" ref="AO51:AO567" si="16">AO4</f>
        <v>0.68340000000000001</v>
      </c>
      <c r="AP51" s="76">
        <f t="shared" si="6"/>
        <v>116.68981088551344</v>
      </c>
      <c r="AQ51" s="75">
        <f>VLOOKUP(B51,'Household Information'!$B$2:$E$48,4,FALSE)</f>
        <v>91.36</v>
      </c>
      <c r="AR51" s="79">
        <f>IF(12*(AP51-Variables!$C$45*AQ51*F51)*(G51/5)&lt;0,0,12*(AP51-Variables!$C$45*AQ51*F51)*(G51/5))</f>
        <v>484751613.56239796</v>
      </c>
      <c r="AS51" s="1"/>
      <c r="AT51" s="62">
        <v>0</v>
      </c>
      <c r="AU51" s="1"/>
    </row>
    <row r="52" spans="1:47" ht="14.25" customHeight="1">
      <c r="A52" s="1">
        <v>2</v>
      </c>
      <c r="B52" s="3" t="s">
        <v>87</v>
      </c>
      <c r="C52" s="1">
        <v>2020</v>
      </c>
      <c r="D52" s="13">
        <f>VLOOKUP(B52,Population!$B$1:$O$48,4,FALSE)</f>
        <v>2444033.6742499992</v>
      </c>
      <c r="E52" s="13" t="str">
        <f t="shared" si="8"/>
        <v>Large</v>
      </c>
      <c r="F52" s="54">
        <f>VLOOKUP(B52,'Household Information'!$B$1:$E$48,2,FALSE)</f>
        <v>2.6591126390039355</v>
      </c>
      <c r="G52" s="54">
        <f t="shared" si="0"/>
        <v>919116.26397499966</v>
      </c>
      <c r="H52" s="55">
        <f>IF(D52&gt;Variables!$C$6,H5,H5*(1+Variables!$C$9))</f>
        <v>119.58406164038337</v>
      </c>
      <c r="I52" s="55"/>
      <c r="J52" s="13">
        <f>H52*Variables!$C$21</f>
        <v>2152.5131095269007</v>
      </c>
      <c r="K52" s="13">
        <f t="shared" si="12"/>
        <v>2152.5131095269007</v>
      </c>
      <c r="L52" s="54">
        <f t="shared" si="1"/>
        <v>0</v>
      </c>
      <c r="M52" s="56"/>
      <c r="N52" s="57"/>
      <c r="O52" s="57"/>
      <c r="P52" s="57"/>
      <c r="Q52" s="57"/>
      <c r="R52" s="57"/>
      <c r="S52" s="58">
        <v>0</v>
      </c>
      <c r="T52" s="59">
        <f>$L52*Variables!$C$22/100</f>
        <v>0</v>
      </c>
      <c r="U52" s="59">
        <f>$L52*Variables!$C$23/100</f>
        <v>0</v>
      </c>
      <c r="V52" s="59">
        <f>$L52*Variables!$C$24/100</f>
        <v>0</v>
      </c>
      <c r="W52" s="59">
        <f>$L52*Variables!$C$25/100</f>
        <v>0</v>
      </c>
      <c r="X52" s="62">
        <f>T52*Variables!$E$26*Variables!$C$18+'Cost Calculations'!U52*Variables!$E$27*Variables!$C$18+'Cost Calculations'!V52*Variables!$E$28*Variables!$C$18+W52*Variables!$E$29*Variables!$C$18</f>
        <v>0</v>
      </c>
      <c r="Y52" s="58">
        <f>J52*Variables!$E$30</f>
        <v>1409896.0867401201</v>
      </c>
      <c r="Z52" s="1"/>
      <c r="AA52" s="245">
        <f>D52*(IF(D52&lt;Variables!$C$7,Variables!$C$38,IF(D52&gt;Variables!$C$6,Variables!$C$36,Variables!$C$37)))</f>
        <v>2932.8404090999989</v>
      </c>
      <c r="AB52" s="64">
        <f t="shared" si="13"/>
        <v>4664</v>
      </c>
      <c r="AC52" s="66">
        <f t="shared" si="2"/>
        <v>0</v>
      </c>
      <c r="AD52" s="62">
        <f>AC52*Variables!$E$41</f>
        <v>0</v>
      </c>
      <c r="AE52" s="71">
        <f>ROUND((H52/(3.14*Variables!$C$35^2)),0)</f>
        <v>152</v>
      </c>
      <c r="AF52" s="57">
        <f t="shared" si="14"/>
        <v>152</v>
      </c>
      <c r="AG52" s="57">
        <f t="shared" si="3"/>
        <v>0</v>
      </c>
      <c r="AH52" s="58">
        <f>AG52*Variables!$E$42*Variables!$C$18</f>
        <v>0</v>
      </c>
      <c r="AI52" s="73">
        <f t="shared" si="4"/>
        <v>24</v>
      </c>
      <c r="AJ52" s="66">
        <f t="shared" si="15"/>
        <v>24</v>
      </c>
      <c r="AK52" s="66">
        <f t="shared" si="5"/>
        <v>0</v>
      </c>
      <c r="AL52" s="62">
        <f>IF(AK52*Variables!$E$43*Variables!$C$18&lt;0,0,AK52*Variables!$E$43*Variables!$C$18)</f>
        <v>0</v>
      </c>
      <c r="AM52" s="58">
        <f>AA52*Variables!$E$39*Variables!$C$18</f>
        <v>847744308.61423957</v>
      </c>
      <c r="AN52" s="1"/>
      <c r="AO52" s="76">
        <f t="shared" si="16"/>
        <v>0.75480000000000003</v>
      </c>
      <c r="AP52" s="76">
        <f t="shared" si="6"/>
        <v>120.42589319521024</v>
      </c>
      <c r="AQ52" s="75">
        <f>VLOOKUP(B52,'Household Information'!$B$2:$E$48,4,FALSE)</f>
        <v>73.64</v>
      </c>
      <c r="AR52" s="79">
        <f>IF(12*(AP52-Variables!$C$45*AQ52*F52)*(G52/5)&lt;0,0,12*(AP52-Variables!$C$45*AQ52*F52)*(G52/5))</f>
        <v>200852642.57680434</v>
      </c>
      <c r="AS52" s="1"/>
      <c r="AT52" s="62">
        <v>0</v>
      </c>
      <c r="AU52" s="1"/>
    </row>
    <row r="53" spans="1:47" ht="14.25" customHeight="1">
      <c r="A53" s="1">
        <v>3</v>
      </c>
      <c r="B53" s="3" t="s">
        <v>103</v>
      </c>
      <c r="C53" s="1">
        <v>2020</v>
      </c>
      <c r="D53" s="13">
        <f>VLOOKUP(B53,Population!$B$1:$O$48,4,FALSE)</f>
        <v>1877965.2155249994</v>
      </c>
      <c r="E53" s="13" t="str">
        <f t="shared" si="8"/>
        <v>Large</v>
      </c>
      <c r="F53" s="54">
        <f>VLOOKUP(B53,'Household Information'!$B$1:$E$48,2,FALSE)</f>
        <v>2.6407866430045996</v>
      </c>
      <c r="G53" s="54">
        <f t="shared" si="0"/>
        <v>711138.56187499978</v>
      </c>
      <c r="H53" s="55">
        <f>IF(D53&gt;Variables!$C$6,H6,H6*(1+Variables!$C$9))</f>
        <v>224.70642399999997</v>
      </c>
      <c r="I53" s="55"/>
      <c r="J53" s="13">
        <f>H53*Variables!$C$21</f>
        <v>4044.7156319999995</v>
      </c>
      <c r="K53" s="13">
        <f t="shared" si="12"/>
        <v>4044.7156319999995</v>
      </c>
      <c r="L53" s="54">
        <f t="shared" si="1"/>
        <v>0</v>
      </c>
      <c r="M53" s="56"/>
      <c r="N53" s="57"/>
      <c r="O53" s="57"/>
      <c r="P53" s="57"/>
      <c r="Q53" s="57"/>
      <c r="R53" s="57"/>
      <c r="S53" s="58">
        <v>0</v>
      </c>
      <c r="T53" s="59">
        <f>$L53*Variables!$C$22/100</f>
        <v>0</v>
      </c>
      <c r="U53" s="59">
        <f>$L53*Variables!$C$23/100</f>
        <v>0</v>
      </c>
      <c r="V53" s="59">
        <f>$L53*Variables!$C$24/100</f>
        <v>0</v>
      </c>
      <c r="W53" s="59">
        <f>$L53*Variables!$C$25/100</f>
        <v>0</v>
      </c>
      <c r="X53" s="62">
        <f>T53*Variables!$E$26*Variables!$C$18+'Cost Calculations'!U53*Variables!$E$27*Variables!$C$18+'Cost Calculations'!V53*Variables!$E$28*Variables!$C$18+W53*Variables!$E$29*Variables!$C$18</f>
        <v>0</v>
      </c>
      <c r="Y53" s="58">
        <f>J53*Variables!$E$30</f>
        <v>2649288.7389599998</v>
      </c>
      <c r="Z53" s="1"/>
      <c r="AA53" s="245">
        <f>D53*(IF(D53&lt;Variables!$C$7,Variables!$C$38,IF(D53&gt;Variables!$C$6,Variables!$C$36,Variables!$C$37)))</f>
        <v>2253.5582586299993</v>
      </c>
      <c r="AB53" s="64">
        <f t="shared" si="13"/>
        <v>2220</v>
      </c>
      <c r="AC53" s="66">
        <f t="shared" si="2"/>
        <v>34</v>
      </c>
      <c r="AD53" s="62">
        <f>AC53*Variables!$E$41</f>
        <v>18278400</v>
      </c>
      <c r="AE53" s="71">
        <f>ROUND((H53/(3.14*Variables!$C$35^2)),0)</f>
        <v>286</v>
      </c>
      <c r="AF53" s="57">
        <f t="shared" si="14"/>
        <v>286</v>
      </c>
      <c r="AG53" s="57">
        <f t="shared" si="3"/>
        <v>0</v>
      </c>
      <c r="AH53" s="58">
        <f>AG53*Variables!$E$42*Variables!$C$18</f>
        <v>0</v>
      </c>
      <c r="AI53" s="73">
        <f t="shared" si="4"/>
        <v>19</v>
      </c>
      <c r="AJ53" s="66">
        <f t="shared" si="15"/>
        <v>19</v>
      </c>
      <c r="AK53" s="66">
        <f t="shared" si="5"/>
        <v>0</v>
      </c>
      <c r="AL53" s="62">
        <f>IF(AK53*Variables!$E$43*Variables!$C$18&lt;0,0,AK53*Variables!$E$43*Variables!$C$18)</f>
        <v>0</v>
      </c>
      <c r="AM53" s="58">
        <f>AA53*Variables!$E$39*Variables!$C$18</f>
        <v>651396230.75176322</v>
      </c>
      <c r="AN53" s="1"/>
      <c r="AO53" s="76">
        <f t="shared" si="16"/>
        <v>0.61199999999999999</v>
      </c>
      <c r="AP53" s="76">
        <f t="shared" si="6"/>
        <v>96.969685531128903</v>
      </c>
      <c r="AQ53" s="75">
        <f>VLOOKUP(B53,'Household Information'!$B$2:$E$48,4,FALSE)</f>
        <v>61.12</v>
      </c>
      <c r="AR53" s="79">
        <f>IF(12*(AP53-Variables!$C$45*AQ53*F53)*(G53/5)&lt;0,0,12*(AP53-Variables!$C$45*AQ53*F53)*(G53/5))</f>
        <v>124180074.28354748</v>
      </c>
      <c r="AS53" s="1"/>
      <c r="AT53" s="62">
        <v>0</v>
      </c>
      <c r="AU53" s="1"/>
    </row>
    <row r="54" spans="1:47" ht="14.25" customHeight="1">
      <c r="A54" s="1">
        <v>4</v>
      </c>
      <c r="B54" s="3" t="s">
        <v>104</v>
      </c>
      <c r="C54" s="1">
        <v>2020</v>
      </c>
      <c r="D54" s="13">
        <f>VLOOKUP(B54,Population!$B$1:$O$48,4,FALSE)</f>
        <v>1153958.1131749996</v>
      </c>
      <c r="E54" s="13" t="str">
        <f t="shared" si="8"/>
        <v>Large</v>
      </c>
      <c r="F54" s="54">
        <f>VLOOKUP(B54,'Household Information'!$B$1:$E$48,2,FALSE)</f>
        <v>3.2280741697119208</v>
      </c>
      <c r="G54" s="54">
        <f t="shared" si="0"/>
        <v>357475.7122999999</v>
      </c>
      <c r="H54" s="55">
        <f>IF(D54&gt;Variables!$C$6,H7,H7*(1+Variables!$C$9))</f>
        <v>154</v>
      </c>
      <c r="I54" s="55"/>
      <c r="J54" s="13">
        <f>H54*Variables!$C$21</f>
        <v>2772</v>
      </c>
      <c r="K54" s="13">
        <f t="shared" si="12"/>
        <v>3916</v>
      </c>
      <c r="L54" s="54">
        <f t="shared" si="1"/>
        <v>0</v>
      </c>
      <c r="M54" s="56"/>
      <c r="N54" s="57"/>
      <c r="O54" s="57"/>
      <c r="P54" s="57"/>
      <c r="Q54" s="57"/>
      <c r="R54" s="57"/>
      <c r="S54" s="58">
        <v>0</v>
      </c>
      <c r="T54" s="59">
        <f>$L54*Variables!$C$22/100</f>
        <v>0</v>
      </c>
      <c r="U54" s="59">
        <f>$L54*Variables!$C$23/100</f>
        <v>0</v>
      </c>
      <c r="V54" s="59">
        <f>$L54*Variables!$C$24/100</f>
        <v>0</v>
      </c>
      <c r="W54" s="59">
        <f>$L54*Variables!$C$25/100</f>
        <v>0</v>
      </c>
      <c r="X54" s="62">
        <f>T54*Variables!$E$26*Variables!$C$18+'Cost Calculations'!U54*Variables!$E$27*Variables!$C$18+'Cost Calculations'!V54*Variables!$E$28*Variables!$C$18+W54*Variables!$E$29*Variables!$C$18</f>
        <v>0</v>
      </c>
      <c r="Y54" s="58">
        <f>J54*Variables!$E$30</f>
        <v>1815660</v>
      </c>
      <c r="Z54" s="1"/>
      <c r="AA54" s="245">
        <f>D54*(IF(D54&lt;Variables!$C$7,Variables!$C$38,IF(D54&gt;Variables!$C$6,Variables!$C$36,Variables!$C$37)))</f>
        <v>1384.7497358099995</v>
      </c>
      <c r="AB54" s="64">
        <f t="shared" si="13"/>
        <v>2043</v>
      </c>
      <c r="AC54" s="66">
        <f t="shared" si="2"/>
        <v>0</v>
      </c>
      <c r="AD54" s="62">
        <f>AC54*Variables!$E$41</f>
        <v>0</v>
      </c>
      <c r="AE54" s="71">
        <f>ROUND((H54/(3.14*Variables!$C$35^2)),0)</f>
        <v>196</v>
      </c>
      <c r="AF54" s="57">
        <f t="shared" si="14"/>
        <v>196</v>
      </c>
      <c r="AG54" s="57">
        <f t="shared" si="3"/>
        <v>0</v>
      </c>
      <c r="AH54" s="58">
        <f>AG54*Variables!$E$42*Variables!$C$18</f>
        <v>0</v>
      </c>
      <c r="AI54" s="73">
        <f t="shared" si="4"/>
        <v>12</v>
      </c>
      <c r="AJ54" s="66">
        <f t="shared" si="15"/>
        <v>11</v>
      </c>
      <c r="AK54" s="66">
        <f t="shared" si="5"/>
        <v>1</v>
      </c>
      <c r="AL54" s="62">
        <f>IF(AK54*Variables!$E$43*Variables!$C$18&lt;0,0,AK54*Variables!$E$43*Variables!$C$18)</f>
        <v>945381.49199999997</v>
      </c>
      <c r="AM54" s="58">
        <f>AA54*Variables!$E$39*Variables!$C$18</f>
        <v>400265116.28303635</v>
      </c>
      <c r="AN54" s="1"/>
      <c r="AO54" s="76">
        <f t="shared" si="16"/>
        <v>0.6804</v>
      </c>
      <c r="AP54" s="76">
        <f t="shared" si="6"/>
        <v>131.78289990431946</v>
      </c>
      <c r="AQ54" s="75">
        <f>VLOOKUP(B54,'Household Information'!$B$2:$E$48,4,FALSE)</f>
        <v>42.71</v>
      </c>
      <c r="AR54" s="79">
        <f>IF(12*(AP54-Variables!$C$45*AQ54*F54)*(G54/5)&lt;0,0,12*(AP54-Variables!$C$45*AQ54*F54)*(G54/5))</f>
        <v>95319248.064481333</v>
      </c>
      <c r="AS54" s="1"/>
      <c r="AT54" s="62">
        <v>0</v>
      </c>
      <c r="AU54" s="1"/>
    </row>
    <row r="55" spans="1:47" ht="14.25" customHeight="1">
      <c r="A55" s="1">
        <v>5</v>
      </c>
      <c r="B55" s="3" t="s">
        <v>105</v>
      </c>
      <c r="C55" s="1">
        <v>2020</v>
      </c>
      <c r="D55" s="13">
        <f>VLOOKUP(B55,Population!$B$1:$O$48,4,FALSE)</f>
        <v>544839.64237499982</v>
      </c>
      <c r="E55" s="13" t="str">
        <f t="shared" si="8"/>
        <v>Medium</v>
      </c>
      <c r="F55" s="54">
        <f>VLOOKUP(B55,'Household Information'!$B$1:$E$48,2,FALSE)</f>
        <v>2.791645991913092</v>
      </c>
      <c r="G55" s="54">
        <f t="shared" si="0"/>
        <v>195167.88444999995</v>
      </c>
      <c r="H55" s="55">
        <f>IF(D55&gt;Variables!$C$6,H8,H8*(1+Variables!$C$9))</f>
        <v>76.806648999999993</v>
      </c>
      <c r="I55" s="55"/>
      <c r="J55" s="13">
        <f>H55*Variables!$C$21</f>
        <v>1382.5196819999999</v>
      </c>
      <c r="K55" s="13">
        <f t="shared" si="12"/>
        <v>1382.5196819999999</v>
      </c>
      <c r="L55" s="54">
        <f t="shared" si="1"/>
        <v>0</v>
      </c>
      <c r="M55" s="56"/>
      <c r="N55" s="57"/>
      <c r="O55" s="57"/>
      <c r="P55" s="57"/>
      <c r="Q55" s="57"/>
      <c r="R55" s="57"/>
      <c r="S55" s="58">
        <v>0</v>
      </c>
      <c r="T55" s="59">
        <f>$L55*Variables!$C$22/100</f>
        <v>0</v>
      </c>
      <c r="U55" s="59">
        <f>$L55*Variables!$C$23/100</f>
        <v>0</v>
      </c>
      <c r="V55" s="59">
        <f>$L55*Variables!$C$24/100</f>
        <v>0</v>
      </c>
      <c r="W55" s="59">
        <f>$L55*Variables!$C$25/100</f>
        <v>0</v>
      </c>
      <c r="X55" s="62">
        <f>T55*Variables!$E$26*Variables!$C$18+'Cost Calculations'!U55*Variables!$E$27*Variables!$C$18+'Cost Calculations'!V55*Variables!$E$28*Variables!$C$18+W55*Variables!$E$29*Variables!$C$18</f>
        <v>0</v>
      </c>
      <c r="Y55" s="58">
        <f>J55*Variables!$E$30</f>
        <v>905550.39170999988</v>
      </c>
      <c r="Z55" s="1"/>
      <c r="AA55" s="245">
        <f>D55*(IF(D55&lt;Variables!$C$7,Variables!$C$38,IF(D55&gt;Variables!$C$6,Variables!$C$36,Variables!$C$37)))</f>
        <v>653.80757084999971</v>
      </c>
      <c r="AB55" s="64">
        <f t="shared" si="13"/>
        <v>644</v>
      </c>
      <c r="AC55" s="66">
        <f t="shared" si="2"/>
        <v>10</v>
      </c>
      <c r="AD55" s="62">
        <f>AC55*Variables!$E$41</f>
        <v>5376000</v>
      </c>
      <c r="AE55" s="71">
        <f>ROUND((H55/(3.14*Variables!$C$35^2)),0)</f>
        <v>98</v>
      </c>
      <c r="AF55" s="57">
        <f t="shared" si="14"/>
        <v>98</v>
      </c>
      <c r="AG55" s="57">
        <f t="shared" si="3"/>
        <v>0</v>
      </c>
      <c r="AH55" s="58">
        <f>AG55*Variables!$E$42*Variables!$C$18</f>
        <v>0</v>
      </c>
      <c r="AI55" s="73">
        <f t="shared" si="4"/>
        <v>5</v>
      </c>
      <c r="AJ55" s="66">
        <f t="shared" si="15"/>
        <v>5</v>
      </c>
      <c r="AK55" s="66">
        <f t="shared" si="5"/>
        <v>0</v>
      </c>
      <c r="AL55" s="62">
        <f>IF(AK55*Variables!$E$43*Variables!$C$18&lt;0,0,AK55*Variables!$E$43*Variables!$C$18)</f>
        <v>0</v>
      </c>
      <c r="AM55" s="58">
        <f>AA55*Variables!$E$39*Variables!$C$18</f>
        <v>188984591.65975377</v>
      </c>
      <c r="AN55" s="1"/>
      <c r="AO55" s="76">
        <f t="shared" si="16"/>
        <v>0.71399999999999997</v>
      </c>
      <c r="AP55" s="76">
        <f t="shared" si="6"/>
        <v>119.59411429355686</v>
      </c>
      <c r="AQ55" s="75">
        <f>VLOOKUP(B55,'Household Information'!$B$2:$E$48,4,FALSE)</f>
        <v>61.2</v>
      </c>
      <c r="AR55" s="79">
        <f>IF(12*(AP55-Variables!$C$45*AQ55*F55)*(G55/5)&lt;0,0,12*(AP55-Variables!$C$45*AQ55*F55)*(G55/5))</f>
        <v>44014325.669621982</v>
      </c>
      <c r="AS55" s="1"/>
      <c r="AT55" s="62">
        <v>0</v>
      </c>
      <c r="AU55" s="1"/>
    </row>
    <row r="56" spans="1:47" ht="14.25" customHeight="1">
      <c r="A56" s="1">
        <v>6</v>
      </c>
      <c r="B56" s="3" t="s">
        <v>106</v>
      </c>
      <c r="C56" s="1">
        <v>2020</v>
      </c>
      <c r="D56" s="13">
        <f>VLOOKUP(B56,Population!$B$1:$O$48,4,FALSE)</f>
        <v>914784.16784999974</v>
      </c>
      <c r="E56" s="13" t="str">
        <f t="shared" si="8"/>
        <v>Medium</v>
      </c>
      <c r="F56" s="54">
        <f>VLOOKUP(B56,'Household Information'!$B$1:$E$48,2,FALSE)</f>
        <v>3.0151582035627214</v>
      </c>
      <c r="G56" s="54">
        <f t="shared" si="0"/>
        <v>303395.08114999987</v>
      </c>
      <c r="H56" s="55">
        <f>IF(D56&gt;Variables!$C$6,H9,H9*(1+Variables!$C$9))</f>
        <v>116.91803899999999</v>
      </c>
      <c r="I56" s="55"/>
      <c r="J56" s="13">
        <f>H56*Variables!$C$21</f>
        <v>2104.5247019999997</v>
      </c>
      <c r="K56" s="13">
        <f t="shared" si="12"/>
        <v>2104.5247019999997</v>
      </c>
      <c r="L56" s="54">
        <f t="shared" si="1"/>
        <v>0</v>
      </c>
      <c r="M56" s="56"/>
      <c r="N56" s="57"/>
      <c r="O56" s="57"/>
      <c r="P56" s="57"/>
      <c r="Q56" s="57"/>
      <c r="R56" s="57"/>
      <c r="S56" s="58">
        <v>0</v>
      </c>
      <c r="T56" s="59">
        <f>$L56*Variables!$C$22/100</f>
        <v>0</v>
      </c>
      <c r="U56" s="59">
        <f>$L56*Variables!$C$23/100</f>
        <v>0</v>
      </c>
      <c r="V56" s="59">
        <f>$L56*Variables!$C$24/100</f>
        <v>0</v>
      </c>
      <c r="W56" s="59">
        <f>$L56*Variables!$C$25/100</f>
        <v>0</v>
      </c>
      <c r="X56" s="62">
        <f>T56*Variables!$E$26*Variables!$C$18+'Cost Calculations'!U56*Variables!$E$27*Variables!$C$18+'Cost Calculations'!V56*Variables!$E$28*Variables!$C$18+W56*Variables!$E$29*Variables!$C$18</f>
        <v>0</v>
      </c>
      <c r="Y56" s="58">
        <f>J56*Variables!$E$30</f>
        <v>1378463.6798099999</v>
      </c>
      <c r="Z56" s="1"/>
      <c r="AA56" s="245">
        <f>D56*(IF(D56&lt;Variables!$C$7,Variables!$C$38,IF(D56&gt;Variables!$C$6,Variables!$C$36,Variables!$C$37)))</f>
        <v>1097.7410014199995</v>
      </c>
      <c r="AB56" s="64">
        <f t="shared" si="13"/>
        <v>1082</v>
      </c>
      <c r="AC56" s="66">
        <f t="shared" si="2"/>
        <v>16</v>
      </c>
      <c r="AD56" s="62">
        <f>AC56*Variables!$E$41</f>
        <v>8601600</v>
      </c>
      <c r="AE56" s="71">
        <f>ROUND((H56/(3.14*Variables!$C$35^2)),0)</f>
        <v>149</v>
      </c>
      <c r="AF56" s="57">
        <f t="shared" si="14"/>
        <v>149</v>
      </c>
      <c r="AG56" s="57">
        <f t="shared" si="3"/>
        <v>0</v>
      </c>
      <c r="AH56" s="58">
        <f>AG56*Variables!$E$42*Variables!$C$18</f>
        <v>0</v>
      </c>
      <c r="AI56" s="73">
        <f t="shared" si="4"/>
        <v>9</v>
      </c>
      <c r="AJ56" s="66">
        <f t="shared" si="15"/>
        <v>9</v>
      </c>
      <c r="AK56" s="66">
        <f t="shared" si="5"/>
        <v>0</v>
      </c>
      <c r="AL56" s="62">
        <f>IF(AK56*Variables!$E$43*Variables!$C$18&lt;0,0,AK56*Variables!$E$43*Variables!$C$18)</f>
        <v>0</v>
      </c>
      <c r="AM56" s="58">
        <f>AA56*Variables!$E$39*Variables!$C$18</f>
        <v>317304577.29606736</v>
      </c>
      <c r="AN56" s="1"/>
      <c r="AO56" s="76">
        <f t="shared" si="16"/>
        <v>0.68340000000000001</v>
      </c>
      <c r="AP56" s="76">
        <f t="shared" si="6"/>
        <v>123.63354697888582</v>
      </c>
      <c r="AQ56" s="75">
        <f>VLOOKUP(B56,'Household Information'!$B$2:$E$48,4,FALSE)</f>
        <v>55.55</v>
      </c>
      <c r="AR56" s="79">
        <f>IF(12*(AP56-Variables!$C$45*AQ56*F56)*(G56/5)&lt;0,0,12*(AP56-Variables!$C$45*AQ56*F56)*(G56/5))</f>
        <v>71729690.25578703</v>
      </c>
      <c r="AS56" s="1"/>
      <c r="AT56" s="62">
        <v>0</v>
      </c>
      <c r="AU56" s="1"/>
    </row>
    <row r="57" spans="1:47" ht="14.25" customHeight="1">
      <c r="A57" s="1">
        <v>7</v>
      </c>
      <c r="B57" s="3" t="s">
        <v>107</v>
      </c>
      <c r="C57" s="1">
        <v>2020</v>
      </c>
      <c r="D57" s="13">
        <f>VLOOKUP(B57,Population!$B$1:$O$48,4,FALSE)</f>
        <v>648438.0381499998</v>
      </c>
      <c r="E57" s="13" t="str">
        <f t="shared" si="8"/>
        <v>Medium</v>
      </c>
      <c r="F57" s="54">
        <f>VLOOKUP(B57,'Household Information'!$B$1:$E$48,2,FALSE)</f>
        <v>2.7144187891908675</v>
      </c>
      <c r="G57" s="54">
        <f t="shared" si="0"/>
        <v>238886.51254999993</v>
      </c>
      <c r="H57" s="55">
        <f>IF(D57&gt;Variables!$C$6,H10,H10*(1+Variables!$C$9))</f>
        <v>92.766498999999996</v>
      </c>
      <c r="I57" s="55"/>
      <c r="J57" s="13">
        <f>H57*Variables!$C$21</f>
        <v>1669.7969819999998</v>
      </c>
      <c r="K57" s="13">
        <f t="shared" si="12"/>
        <v>1669.7969819999998</v>
      </c>
      <c r="L57" s="54">
        <f t="shared" si="1"/>
        <v>0</v>
      </c>
      <c r="M57" s="56"/>
      <c r="N57" s="57"/>
      <c r="O57" s="57"/>
      <c r="P57" s="57"/>
      <c r="Q57" s="57"/>
      <c r="R57" s="57"/>
      <c r="S57" s="58">
        <v>0</v>
      </c>
      <c r="T57" s="59">
        <f>$L57*Variables!$C$22/100</f>
        <v>0</v>
      </c>
      <c r="U57" s="59">
        <f>$L57*Variables!$C$23/100</f>
        <v>0</v>
      </c>
      <c r="V57" s="59">
        <f>$L57*Variables!$C$24/100</f>
        <v>0</v>
      </c>
      <c r="W57" s="59">
        <f>$L57*Variables!$C$25/100</f>
        <v>0</v>
      </c>
      <c r="X57" s="62">
        <f>T57*Variables!$E$26*Variables!$C$18+'Cost Calculations'!U57*Variables!$E$27*Variables!$C$18+'Cost Calculations'!V57*Variables!$E$28*Variables!$C$18+W57*Variables!$E$29*Variables!$C$18</f>
        <v>0</v>
      </c>
      <c r="Y57" s="58">
        <f>J57*Variables!$E$30</f>
        <v>1093717.0232099998</v>
      </c>
      <c r="Z57" s="1"/>
      <c r="AA57" s="245">
        <f>D57*(IF(D57&lt;Variables!$C$7,Variables!$C$38,IF(D57&gt;Variables!$C$6,Variables!$C$36,Variables!$C$37)))</f>
        <v>778.12564577999967</v>
      </c>
      <c r="AB57" s="64">
        <f t="shared" si="13"/>
        <v>767</v>
      </c>
      <c r="AC57" s="66">
        <f t="shared" si="2"/>
        <v>11</v>
      </c>
      <c r="AD57" s="62">
        <f>AC57*Variables!$E$41</f>
        <v>5913600</v>
      </c>
      <c r="AE57" s="71">
        <f>ROUND((H57/(3.14*Variables!$C$35^2)),0)</f>
        <v>118</v>
      </c>
      <c r="AF57" s="57">
        <f t="shared" si="14"/>
        <v>118</v>
      </c>
      <c r="AG57" s="57">
        <f t="shared" si="3"/>
        <v>0</v>
      </c>
      <c r="AH57" s="58">
        <f>AG57*Variables!$E$42*Variables!$C$18</f>
        <v>0</v>
      </c>
      <c r="AI57" s="73">
        <f t="shared" si="4"/>
        <v>6</v>
      </c>
      <c r="AJ57" s="66">
        <f t="shared" si="15"/>
        <v>6</v>
      </c>
      <c r="AK57" s="66">
        <f t="shared" si="5"/>
        <v>0</v>
      </c>
      <c r="AL57" s="62">
        <f>IF(AK57*Variables!$E$43*Variables!$C$18&lt;0,0,AK57*Variables!$E$43*Variables!$C$18)</f>
        <v>0</v>
      </c>
      <c r="AM57" s="58">
        <f>AA57*Variables!$E$39*Variables!$C$18</f>
        <v>224919018.96537286</v>
      </c>
      <c r="AN57" s="1"/>
      <c r="AO57" s="76">
        <f t="shared" si="16"/>
        <v>0.67714285714285716</v>
      </c>
      <c r="AP57" s="76">
        <f t="shared" si="6"/>
        <v>110.28295766369753</v>
      </c>
      <c r="AQ57" s="75">
        <f>VLOOKUP(B57,'Household Information'!$B$2:$E$48,4,FALSE)</f>
        <v>59.47</v>
      </c>
      <c r="AR57" s="79">
        <f>IF(12*(AP57-Variables!$C$45*AQ57*F57)*(G57/5)&lt;0,0,12*(AP57-Variables!$C$45*AQ57*F57)*(G57/5))</f>
        <v>49345727.113591008</v>
      </c>
      <c r="AS57" s="1"/>
      <c r="AT57" s="62">
        <v>0</v>
      </c>
      <c r="AU57" s="1"/>
    </row>
    <row r="58" spans="1:47" ht="14.25" customHeight="1">
      <c r="A58" s="1">
        <v>8</v>
      </c>
      <c r="B58" s="3" t="s">
        <v>108</v>
      </c>
      <c r="C58" s="1">
        <v>2020</v>
      </c>
      <c r="D58" s="13">
        <f>VLOOKUP(B58,Population!$B$1:$O$48,4,FALSE)</f>
        <v>422052.27574999991</v>
      </c>
      <c r="E58" s="13" t="str">
        <f t="shared" si="8"/>
        <v>Medium</v>
      </c>
      <c r="F58" s="54">
        <f>VLOOKUP(B58,'Household Information'!$B$1:$E$48,2,FALSE)</f>
        <v>2.3617684870776379</v>
      </c>
      <c r="G58" s="54">
        <f t="shared" si="0"/>
        <v>178701.79827499998</v>
      </c>
      <c r="H58" s="55">
        <f>IF(D58&gt;Variables!$C$6,H11,H11*(1+Variables!$C$9))</f>
        <v>39.199250999999997</v>
      </c>
      <c r="I58" s="55"/>
      <c r="J58" s="13">
        <f>H58*Variables!$C$21</f>
        <v>705.58651799999996</v>
      </c>
      <c r="K58" s="13">
        <f t="shared" si="12"/>
        <v>705.58651799999996</v>
      </c>
      <c r="L58" s="54">
        <f t="shared" si="1"/>
        <v>0</v>
      </c>
      <c r="M58" s="56"/>
      <c r="N58" s="57"/>
      <c r="O58" s="57"/>
      <c r="P58" s="57"/>
      <c r="Q58" s="57"/>
      <c r="R58" s="57"/>
      <c r="S58" s="58">
        <v>0</v>
      </c>
      <c r="T58" s="59">
        <f>$L58*Variables!$C$22/100</f>
        <v>0</v>
      </c>
      <c r="U58" s="59">
        <f>$L58*Variables!$C$23/100</f>
        <v>0</v>
      </c>
      <c r="V58" s="59">
        <f>$L58*Variables!$C$24/100</f>
        <v>0</v>
      </c>
      <c r="W58" s="59">
        <f>$L58*Variables!$C$25/100</f>
        <v>0</v>
      </c>
      <c r="X58" s="62">
        <f>T58*Variables!$E$26*Variables!$C$18+'Cost Calculations'!U58*Variables!$E$27*Variables!$C$18+'Cost Calculations'!V58*Variables!$E$28*Variables!$C$18+W58*Variables!$E$29*Variables!$C$18</f>
        <v>0</v>
      </c>
      <c r="Y58" s="58">
        <f>J58*Variables!$E$30</f>
        <v>462159.16928999999</v>
      </c>
      <c r="Z58" s="1"/>
      <c r="AA58" s="245">
        <f>D58*(IF(D58&lt;Variables!$C$7,Variables!$C$38,IF(D58&gt;Variables!$C$6,Variables!$C$36,Variables!$C$37)))</f>
        <v>506.46273089999983</v>
      </c>
      <c r="AB58" s="64">
        <f t="shared" si="13"/>
        <v>978</v>
      </c>
      <c r="AC58" s="66">
        <f t="shared" si="2"/>
        <v>0</v>
      </c>
      <c r="AD58" s="62">
        <f>AC58*Variables!$E$41</f>
        <v>0</v>
      </c>
      <c r="AE58" s="71">
        <f>ROUND((H58/(3.14*Variables!$C$35^2)),0)</f>
        <v>50</v>
      </c>
      <c r="AF58" s="57">
        <f t="shared" si="14"/>
        <v>50</v>
      </c>
      <c r="AG58" s="57">
        <f t="shared" si="3"/>
        <v>0</v>
      </c>
      <c r="AH58" s="58">
        <f>AG58*Variables!$E$42*Variables!$C$18</f>
        <v>0</v>
      </c>
      <c r="AI58" s="73">
        <f t="shared" si="4"/>
        <v>4</v>
      </c>
      <c r="AJ58" s="66">
        <f t="shared" si="15"/>
        <v>4</v>
      </c>
      <c r="AK58" s="66">
        <f t="shared" si="5"/>
        <v>0</v>
      </c>
      <c r="AL58" s="62">
        <f>IF(AK58*Variables!$E$43*Variables!$C$18&lt;0,0,AK58*Variables!$E$43*Variables!$C$18)</f>
        <v>0</v>
      </c>
      <c r="AM58" s="58">
        <f>AA58*Variables!$E$39*Variables!$C$18</f>
        <v>146394224.62726331</v>
      </c>
      <c r="AN58" s="1"/>
      <c r="AO58" s="76">
        <f t="shared" si="16"/>
        <v>0.61199999999999999</v>
      </c>
      <c r="AP58" s="76">
        <f t="shared" si="6"/>
        <v>86.724138845490856</v>
      </c>
      <c r="AQ58" s="75">
        <f>VLOOKUP(B58,'Household Information'!$B$2:$E$48,4,FALSE)</f>
        <v>75.66</v>
      </c>
      <c r="AR58" s="79">
        <f>IF(12*(AP58-Variables!$C$45*AQ58*F58)*(G58/5)&lt;0,0,12*(AP58-Variables!$C$45*AQ58*F58)*(G58/5))</f>
        <v>25698931.891327795</v>
      </c>
      <c r="AS58" s="1"/>
      <c r="AT58" s="62">
        <v>0</v>
      </c>
      <c r="AU58" s="1"/>
    </row>
    <row r="59" spans="1:47" ht="14.25" customHeight="1">
      <c r="A59" s="1">
        <v>9</v>
      </c>
      <c r="B59" s="3" t="s">
        <v>109</v>
      </c>
      <c r="C59" s="1">
        <v>2020</v>
      </c>
      <c r="D59" s="13">
        <f>VLOOKUP(B59,Population!$B$1:$O$48,4,FALSE)</f>
        <v>494356.55692499987</v>
      </c>
      <c r="E59" s="13" t="str">
        <f t="shared" si="8"/>
        <v>Medium</v>
      </c>
      <c r="F59" s="54">
        <f>VLOOKUP(B59,'Household Information'!$B$1:$E$48,2,FALSE)</f>
        <v>2.7429262269780841</v>
      </c>
      <c r="G59" s="54">
        <f t="shared" si="0"/>
        <v>180229.62194999994</v>
      </c>
      <c r="H59" s="55">
        <f>IF(D59&gt;Variables!$C$6,H12,H12*(1+Variables!$C$9))</f>
        <v>47.234957999999992</v>
      </c>
      <c r="I59" s="55"/>
      <c r="J59" s="13">
        <f>H59*Variables!$C$21</f>
        <v>850.22924399999988</v>
      </c>
      <c r="K59" s="13">
        <f t="shared" si="12"/>
        <v>850.22924399999988</v>
      </c>
      <c r="L59" s="54">
        <f t="shared" si="1"/>
        <v>0</v>
      </c>
      <c r="M59" s="56"/>
      <c r="N59" s="57"/>
      <c r="O59" s="57"/>
      <c r="P59" s="57"/>
      <c r="Q59" s="57"/>
      <c r="R59" s="57"/>
      <c r="S59" s="58">
        <v>0</v>
      </c>
      <c r="T59" s="59">
        <f>$L59*Variables!$C$22/100</f>
        <v>0</v>
      </c>
      <c r="U59" s="59">
        <f>$L59*Variables!$C$23/100</f>
        <v>0</v>
      </c>
      <c r="V59" s="59">
        <f>$L59*Variables!$C$24/100</f>
        <v>0</v>
      </c>
      <c r="W59" s="59">
        <f>$L59*Variables!$C$25/100</f>
        <v>0</v>
      </c>
      <c r="X59" s="62">
        <f>T59*Variables!$E$26*Variables!$C$18+'Cost Calculations'!U59*Variables!$E$27*Variables!$C$18+'Cost Calculations'!V59*Variables!$E$28*Variables!$C$18+W59*Variables!$E$29*Variables!$C$18</f>
        <v>0</v>
      </c>
      <c r="Y59" s="58">
        <f>J59*Variables!$E$30</f>
        <v>556900.15481999994</v>
      </c>
      <c r="Z59" s="1"/>
      <c r="AA59" s="245">
        <f>D59*(IF(D59&lt;Variables!$C$7,Variables!$C$38,IF(D59&gt;Variables!$C$6,Variables!$C$36,Variables!$C$37)))</f>
        <v>593.22786830999974</v>
      </c>
      <c r="AB59" s="64">
        <f t="shared" si="13"/>
        <v>584</v>
      </c>
      <c r="AC59" s="66">
        <f t="shared" si="2"/>
        <v>9</v>
      </c>
      <c r="AD59" s="62">
        <f>AC59*Variables!$E$41</f>
        <v>4838400</v>
      </c>
      <c r="AE59" s="71">
        <f>ROUND((H59/(3.14*Variables!$C$35^2)),0)</f>
        <v>60</v>
      </c>
      <c r="AF59" s="57">
        <f t="shared" si="14"/>
        <v>60</v>
      </c>
      <c r="AG59" s="57">
        <f t="shared" si="3"/>
        <v>0</v>
      </c>
      <c r="AH59" s="58">
        <f>AG59*Variables!$E$42*Variables!$C$18</f>
        <v>0</v>
      </c>
      <c r="AI59" s="73">
        <f t="shared" si="4"/>
        <v>5</v>
      </c>
      <c r="AJ59" s="66">
        <f t="shared" si="15"/>
        <v>5</v>
      </c>
      <c r="AK59" s="66">
        <f t="shared" si="5"/>
        <v>0</v>
      </c>
      <c r="AL59" s="62">
        <f>IF(AK59*Variables!$E$43*Variables!$C$18&lt;0,0,AK59*Variables!$E$43*Variables!$C$18)</f>
        <v>0</v>
      </c>
      <c r="AM59" s="58">
        <f>AA59*Variables!$E$39*Variables!$C$18</f>
        <v>171473888.42255026</v>
      </c>
      <c r="AN59" s="1"/>
      <c r="AO59" s="76">
        <f t="shared" si="16"/>
        <v>0.67714285714285716</v>
      </c>
      <c r="AP59" s="76">
        <f t="shared" si="6"/>
        <v>111.44117413608102</v>
      </c>
      <c r="AQ59" s="75">
        <f>VLOOKUP(B59,'Household Information'!$B$2:$E$48,4,FALSE)</f>
        <v>65.935833333333335</v>
      </c>
      <c r="AR59" s="79">
        <f>IF(12*(AP59-Variables!$C$45*AQ59*F59)*(G59/5)&lt;0,0,12*(AP59-Variables!$C$45*AQ59*F59)*(G59/5))</f>
        <v>36469509.486030951</v>
      </c>
      <c r="AS59" s="1"/>
      <c r="AT59" s="62">
        <v>0</v>
      </c>
      <c r="AU59" s="1"/>
    </row>
    <row r="60" spans="1:47" ht="14.25" customHeight="1">
      <c r="A60" s="1">
        <v>10</v>
      </c>
      <c r="B60" s="3" t="s">
        <v>110</v>
      </c>
      <c r="C60" s="1">
        <v>2020</v>
      </c>
      <c r="D60" s="13">
        <f>VLOOKUP(B60,Population!$B$1:$O$48,4,FALSE)</f>
        <v>515819.23434999987</v>
      </c>
      <c r="E60" s="13" t="str">
        <f t="shared" si="8"/>
        <v>Medium</v>
      </c>
      <c r="F60" s="54">
        <f>VLOOKUP(B60,'Household Information'!$B$1:$E$48,2,FALSE)</f>
        <v>2.5116430728482135</v>
      </c>
      <c r="G60" s="54">
        <f t="shared" si="0"/>
        <v>205371.23284999997</v>
      </c>
      <c r="H60" s="55">
        <f>IF(D60&gt;Variables!$C$6,H13,H13*(1+Variables!$C$9))</f>
        <v>27.319750999999997</v>
      </c>
      <c r="I60" s="55"/>
      <c r="J60" s="13">
        <f>H60*Variables!$C$21</f>
        <v>491.75551799999994</v>
      </c>
      <c r="K60" s="13">
        <f t="shared" si="12"/>
        <v>491.75551799999994</v>
      </c>
      <c r="L60" s="54">
        <f t="shared" si="1"/>
        <v>0</v>
      </c>
      <c r="M60" s="56"/>
      <c r="N60" s="57"/>
      <c r="O60" s="57"/>
      <c r="P60" s="57"/>
      <c r="Q60" s="57"/>
      <c r="R60" s="57"/>
      <c r="S60" s="58">
        <v>0</v>
      </c>
      <c r="T60" s="59">
        <f>$L60*Variables!$C$22/100</f>
        <v>0</v>
      </c>
      <c r="U60" s="59">
        <f>$L60*Variables!$C$23/100</f>
        <v>0</v>
      </c>
      <c r="V60" s="59">
        <f>$L60*Variables!$C$24/100</f>
        <v>0</v>
      </c>
      <c r="W60" s="59">
        <f>$L60*Variables!$C$25/100</f>
        <v>0</v>
      </c>
      <c r="X60" s="62">
        <f>T60*Variables!$E$26*Variables!$C$18+'Cost Calculations'!U60*Variables!$E$27*Variables!$C$18+'Cost Calculations'!V60*Variables!$E$28*Variables!$C$18+W60*Variables!$E$29*Variables!$C$18</f>
        <v>0</v>
      </c>
      <c r="Y60" s="58">
        <f>J60*Variables!$E$30</f>
        <v>322099.86428999994</v>
      </c>
      <c r="Z60" s="1"/>
      <c r="AA60" s="245">
        <f>D60*(IF(D60&lt;Variables!$C$7,Variables!$C$38,IF(D60&gt;Variables!$C$6,Variables!$C$36,Variables!$C$37)))</f>
        <v>618.9830812199998</v>
      </c>
      <c r="AB60" s="64">
        <f t="shared" si="13"/>
        <v>610</v>
      </c>
      <c r="AC60" s="66">
        <f t="shared" si="2"/>
        <v>9</v>
      </c>
      <c r="AD60" s="62">
        <f>AC60*Variables!$E$41</f>
        <v>4838400</v>
      </c>
      <c r="AE60" s="71">
        <f>ROUND((H60/(3.14*Variables!$C$35^2)),0)</f>
        <v>35</v>
      </c>
      <c r="AF60" s="57">
        <f t="shared" si="14"/>
        <v>35</v>
      </c>
      <c r="AG60" s="57">
        <f t="shared" si="3"/>
        <v>0</v>
      </c>
      <c r="AH60" s="58">
        <f>AG60*Variables!$E$42*Variables!$C$18</f>
        <v>0</v>
      </c>
      <c r="AI60" s="73">
        <f t="shared" si="4"/>
        <v>5</v>
      </c>
      <c r="AJ60" s="66">
        <f t="shared" si="15"/>
        <v>5</v>
      </c>
      <c r="AK60" s="66">
        <f t="shared" si="5"/>
        <v>0</v>
      </c>
      <c r="AL60" s="62">
        <f>IF(AK60*Variables!$E$43*Variables!$C$18&lt;0,0,AK60*Variables!$E$43*Variables!$C$18)</f>
        <v>0</v>
      </c>
      <c r="AM60" s="58">
        <f>AA60*Variables!$E$39*Variables!$C$18</f>
        <v>178918492.32730237</v>
      </c>
      <c r="AN60" s="1"/>
      <c r="AO60" s="76">
        <f t="shared" si="16"/>
        <v>0.67714285714285716</v>
      </c>
      <c r="AP60" s="76">
        <f t="shared" si="6"/>
        <v>102.04446998829027</v>
      </c>
      <c r="AQ60" s="75">
        <f>VLOOKUP(B60,'Household Information'!$B$2:$E$48,4,FALSE)</f>
        <v>62.81</v>
      </c>
      <c r="AR60" s="79">
        <f>IF(12*(AP60-Variables!$C$45*AQ60*F60)*(G60/5)&lt;0,0,12*(AP60-Variables!$C$45*AQ60*F60)*(G60/5))</f>
        <v>38633298.457419537</v>
      </c>
      <c r="AS60" s="1"/>
      <c r="AT60" s="62">
        <v>0</v>
      </c>
      <c r="AU60" s="1"/>
    </row>
    <row r="61" spans="1:47" ht="14.25" customHeight="1">
      <c r="A61" s="1">
        <v>11</v>
      </c>
      <c r="B61" s="3" t="s">
        <v>125</v>
      </c>
      <c r="C61" s="1">
        <v>2020</v>
      </c>
      <c r="D61" s="13">
        <f>VLOOKUP(B61,Population!$B$1:$O$48,4,FALSE)</f>
        <v>362975.05334999989</v>
      </c>
      <c r="E61" s="13" t="str">
        <f t="shared" si="8"/>
        <v>Medium</v>
      </c>
      <c r="F61" s="54">
        <f>VLOOKUP(B61,'Household Information'!$B$1:$E$48,2,FALSE)</f>
        <v>2.693850400263019</v>
      </c>
      <c r="G61" s="54">
        <f t="shared" si="0"/>
        <v>134742.09752499996</v>
      </c>
      <c r="H61" s="55">
        <f>IF(D61&gt;Variables!$C$6,H14,H14*(1+Variables!$C$9))</f>
        <v>28.674206300180991</v>
      </c>
      <c r="I61" s="55"/>
      <c r="J61" s="13">
        <f>H61*Variables!$C$21</f>
        <v>516.1357134032578</v>
      </c>
      <c r="K61" s="13">
        <f t="shared" si="12"/>
        <v>516.1357134032578</v>
      </c>
      <c r="L61" s="54">
        <f t="shared" si="1"/>
        <v>0</v>
      </c>
      <c r="M61" s="56"/>
      <c r="N61" s="57"/>
      <c r="O61" s="57"/>
      <c r="P61" s="57"/>
      <c r="Q61" s="57"/>
      <c r="R61" s="57"/>
      <c r="S61" s="58">
        <v>0</v>
      </c>
      <c r="T61" s="59">
        <f>$L61*Variables!$C$22/100</f>
        <v>0</v>
      </c>
      <c r="U61" s="59">
        <f>$L61*Variables!$C$23/100</f>
        <v>0</v>
      </c>
      <c r="V61" s="59">
        <f>$L61*Variables!$C$24/100</f>
        <v>0</v>
      </c>
      <c r="W61" s="59">
        <f>$L61*Variables!$C$25/100</f>
        <v>0</v>
      </c>
      <c r="X61" s="62">
        <f>T61*Variables!$E$26*Variables!$C$18+'Cost Calculations'!U61*Variables!$E$27*Variables!$C$18+'Cost Calculations'!V61*Variables!$E$28*Variables!$C$18+W61*Variables!$E$29*Variables!$C$18</f>
        <v>0</v>
      </c>
      <c r="Y61" s="58">
        <f>J61*Variables!$E$30</f>
        <v>338068.89227913384</v>
      </c>
      <c r="Z61" s="1"/>
      <c r="AA61" s="245">
        <f>D61*(IF(D61&lt;Variables!$C$7,Variables!$C$38,IF(D61&gt;Variables!$C$6,Variables!$C$36,Variables!$C$37)))</f>
        <v>435.57006401999985</v>
      </c>
      <c r="AB61" s="64">
        <f t="shared" si="13"/>
        <v>429</v>
      </c>
      <c r="AC61" s="66">
        <f t="shared" si="2"/>
        <v>7</v>
      </c>
      <c r="AD61" s="62">
        <f>AC61*Variables!$E$41</f>
        <v>3763200</v>
      </c>
      <c r="AE61" s="71">
        <f>ROUND((H61/(3.14*Variables!$C$35^2)),0)</f>
        <v>37</v>
      </c>
      <c r="AF61" s="57">
        <f t="shared" si="14"/>
        <v>37</v>
      </c>
      <c r="AG61" s="57">
        <f t="shared" si="3"/>
        <v>0</v>
      </c>
      <c r="AH61" s="58">
        <f>AG61*Variables!$E$42*Variables!$C$18</f>
        <v>0</v>
      </c>
      <c r="AI61" s="73">
        <f t="shared" si="4"/>
        <v>4</v>
      </c>
      <c r="AJ61" s="66">
        <f t="shared" si="15"/>
        <v>4</v>
      </c>
      <c r="AK61" s="66">
        <f t="shared" si="5"/>
        <v>0</v>
      </c>
      <c r="AL61" s="62">
        <f>IF(AK61*Variables!$E$43*Variables!$C$18&lt;0,0,AK61*Variables!$E$43*Variables!$C$18)</f>
        <v>0</v>
      </c>
      <c r="AM61" s="58">
        <f>AA61*Variables!$E$39*Variables!$C$18</f>
        <v>125902535.1771552</v>
      </c>
      <c r="AN61" s="1"/>
      <c r="AO61" s="76">
        <f t="shared" si="16"/>
        <v>0.67714285714285716</v>
      </c>
      <c r="AP61" s="76">
        <f t="shared" si="6"/>
        <v>109.4472934049718</v>
      </c>
      <c r="AQ61" s="75">
        <f>VLOOKUP(B61,'Household Information'!$B$2:$E$48,4,FALSE)</f>
        <v>65.935833333333335</v>
      </c>
      <c r="AR61" s="79">
        <f>IF(12*(AP61-Variables!$C$45*AQ61*F61)*(G61/5)&lt;0,0,12*(AP61-Variables!$C$45*AQ61*F61)*(G61/5))</f>
        <v>26777276.372504376</v>
      </c>
      <c r="AS61" s="1"/>
      <c r="AT61" s="62">
        <v>0</v>
      </c>
      <c r="AU61" s="1"/>
    </row>
    <row r="62" spans="1:47" ht="14.25" customHeight="1">
      <c r="A62" s="1">
        <v>12</v>
      </c>
      <c r="B62" s="3" t="s">
        <v>152</v>
      </c>
      <c r="C62" s="1">
        <v>2020</v>
      </c>
      <c r="D62" s="13">
        <f>VLOOKUP(B62,Population!$B$1:$O$48,4,FALSE)</f>
        <v>412539.1780999999</v>
      </c>
      <c r="E62" s="13" t="str">
        <f t="shared" si="8"/>
        <v>Medium</v>
      </c>
      <c r="F62" s="54">
        <f>VLOOKUP(B62,'Household Information'!$B$1:$E$48,2,FALSE)</f>
        <v>2.5280688906285511</v>
      </c>
      <c r="G62" s="54">
        <f t="shared" si="0"/>
        <v>163183.51909999998</v>
      </c>
      <c r="H62" s="55">
        <f>IF(D62&gt;Variables!$C$6,H15,H15*(1+Variables!$C$9))</f>
        <v>17.374026999999998</v>
      </c>
      <c r="I62" s="55"/>
      <c r="J62" s="13">
        <f>H62*Variables!$C$21</f>
        <v>312.73248599999999</v>
      </c>
      <c r="K62" s="13">
        <f t="shared" si="12"/>
        <v>639</v>
      </c>
      <c r="L62" s="54">
        <f t="shared" si="1"/>
        <v>0</v>
      </c>
      <c r="M62" s="56"/>
      <c r="N62" s="57"/>
      <c r="O62" s="57"/>
      <c r="P62" s="57"/>
      <c r="Q62" s="57"/>
      <c r="R62" s="57"/>
      <c r="S62" s="58">
        <v>0</v>
      </c>
      <c r="T62" s="59">
        <f>$L62*Variables!$C$22/100</f>
        <v>0</v>
      </c>
      <c r="U62" s="59">
        <f>$L62*Variables!$C$23/100</f>
        <v>0</v>
      </c>
      <c r="V62" s="59">
        <f>$L62*Variables!$C$24/100</f>
        <v>0</v>
      </c>
      <c r="W62" s="59">
        <f>$L62*Variables!$C$25/100</f>
        <v>0</v>
      </c>
      <c r="X62" s="62">
        <f>T62*Variables!$E$26*Variables!$C$18+'Cost Calculations'!U62*Variables!$E$27*Variables!$C$18+'Cost Calculations'!V62*Variables!$E$28*Variables!$C$18+W62*Variables!$E$29*Variables!$C$18</f>
        <v>0</v>
      </c>
      <c r="Y62" s="58">
        <f>J62*Variables!$E$30</f>
        <v>204839.77833</v>
      </c>
      <c r="Z62" s="1"/>
      <c r="AA62" s="245">
        <f>D62*(IF(D62&lt;Variables!$C$7,Variables!$C$38,IF(D62&gt;Variables!$C$6,Variables!$C$36,Variables!$C$37)))</f>
        <v>495.04701371999982</v>
      </c>
      <c r="AB62" s="64">
        <f t="shared" si="13"/>
        <v>488</v>
      </c>
      <c r="AC62" s="66">
        <f t="shared" si="2"/>
        <v>7</v>
      </c>
      <c r="AD62" s="62">
        <f>AC62*Variables!$E$41</f>
        <v>3763200</v>
      </c>
      <c r="AE62" s="71">
        <f>ROUND((H62/(3.14*Variables!$C$35^2)),0)</f>
        <v>22</v>
      </c>
      <c r="AF62" s="57">
        <f t="shared" si="14"/>
        <v>22</v>
      </c>
      <c r="AG62" s="57">
        <f t="shared" si="3"/>
        <v>0</v>
      </c>
      <c r="AH62" s="58">
        <f>AG62*Variables!$E$42*Variables!$C$18</f>
        <v>0</v>
      </c>
      <c r="AI62" s="73">
        <f t="shared" si="4"/>
        <v>4</v>
      </c>
      <c r="AJ62" s="66">
        <f t="shared" si="15"/>
        <v>4</v>
      </c>
      <c r="AK62" s="66">
        <f t="shared" si="5"/>
        <v>0</v>
      </c>
      <c r="AL62" s="62">
        <f>IF(AK62*Variables!$E$43*Variables!$C$18&lt;0,0,AK62*Variables!$E$43*Variables!$C$18)</f>
        <v>0</v>
      </c>
      <c r="AM62" s="58">
        <f>AA62*Variables!$E$39*Variables!$C$18</f>
        <v>143094485.15352064</v>
      </c>
      <c r="AN62" s="1"/>
      <c r="AO62" s="76">
        <f t="shared" si="16"/>
        <v>0.67714285714285716</v>
      </c>
      <c r="AP62" s="76">
        <f t="shared" si="6"/>
        <v>102.71182749925141</v>
      </c>
      <c r="AQ62" s="75">
        <f>VLOOKUP(B62,'Household Information'!$B$2:$E$48,4,FALSE)</f>
        <v>89.08</v>
      </c>
      <c r="AR62" s="79">
        <f>IF(12*(AP62-Variables!$C$45*AQ62*F62)*(G62/5)&lt;0,0,12*(AP62-Variables!$C$45*AQ62*F62)*(G62/5))</f>
        <v>26996469.520194709</v>
      </c>
      <c r="AS62" s="1"/>
      <c r="AT62" s="62">
        <v>0</v>
      </c>
      <c r="AU62" s="1"/>
    </row>
    <row r="63" spans="1:47" ht="14.25" customHeight="1">
      <c r="A63" s="1">
        <v>13</v>
      </c>
      <c r="B63" s="3" t="s">
        <v>181</v>
      </c>
      <c r="C63" s="1">
        <v>2020</v>
      </c>
      <c r="D63" s="13">
        <f>VLOOKUP(B63,Population!$B$1:$O$48,4,FALSE)</f>
        <v>464849.8826999999</v>
      </c>
      <c r="E63" s="13" t="str">
        <f t="shared" si="8"/>
        <v>Medium</v>
      </c>
      <c r="F63" s="54">
        <f>VLOOKUP(B63,'Household Information'!$B$1:$E$48,2,FALSE)</f>
        <v>2.4075040417460345</v>
      </c>
      <c r="G63" s="54">
        <f t="shared" si="0"/>
        <v>193083.73927499994</v>
      </c>
      <c r="H63" s="55">
        <f>IF(D63&gt;Variables!$C$6,H16,H16*(1+Variables!$C$9))</f>
        <v>82.9</v>
      </c>
      <c r="I63" s="55"/>
      <c r="J63" s="13">
        <f>H63*Variables!$C$21</f>
        <v>1492.2</v>
      </c>
      <c r="K63" s="13">
        <f t="shared" si="12"/>
        <v>1492.2</v>
      </c>
      <c r="L63" s="54">
        <f t="shared" si="1"/>
        <v>0</v>
      </c>
      <c r="M63" s="56"/>
      <c r="N63" s="57"/>
      <c r="O63" s="57"/>
      <c r="P63" s="57"/>
      <c r="Q63" s="57"/>
      <c r="R63" s="57"/>
      <c r="S63" s="58">
        <v>0</v>
      </c>
      <c r="T63" s="59">
        <f>$L63*Variables!$C$22/100</f>
        <v>0</v>
      </c>
      <c r="U63" s="59">
        <f>$L63*Variables!$C$23/100</f>
        <v>0</v>
      </c>
      <c r="V63" s="59">
        <f>$L63*Variables!$C$24/100</f>
        <v>0</v>
      </c>
      <c r="W63" s="59">
        <f>$L63*Variables!$C$25/100</f>
        <v>0</v>
      </c>
      <c r="X63" s="62">
        <f>T63*Variables!$E$26*Variables!$C$18+'Cost Calculations'!U63*Variables!$E$27*Variables!$C$18+'Cost Calculations'!V63*Variables!$E$28*Variables!$C$18+W63*Variables!$E$29*Variables!$C$18</f>
        <v>0</v>
      </c>
      <c r="Y63" s="58">
        <f>J63*Variables!$E$30</f>
        <v>977391</v>
      </c>
      <c r="Z63" s="1"/>
      <c r="AA63" s="245">
        <f>D63*(IF(D63&lt;Variables!$C$7,Variables!$C$38,IF(D63&gt;Variables!$C$6,Variables!$C$36,Variables!$C$37)))</f>
        <v>557.8198592399998</v>
      </c>
      <c r="AB63" s="64">
        <f t="shared" si="13"/>
        <v>550</v>
      </c>
      <c r="AC63" s="66">
        <f t="shared" si="2"/>
        <v>8</v>
      </c>
      <c r="AD63" s="62">
        <f>AC63*Variables!$E$41</f>
        <v>4300800</v>
      </c>
      <c r="AE63" s="71">
        <f>ROUND((H63/(3.14*Variables!$C$35^2)),0)</f>
        <v>106</v>
      </c>
      <c r="AF63" s="57">
        <f t="shared" si="14"/>
        <v>106</v>
      </c>
      <c r="AG63" s="57">
        <f t="shared" si="3"/>
        <v>0</v>
      </c>
      <c r="AH63" s="58">
        <f>AG63*Variables!$E$42*Variables!$C$18</f>
        <v>0</v>
      </c>
      <c r="AI63" s="73">
        <f t="shared" si="4"/>
        <v>5</v>
      </c>
      <c r="AJ63" s="66">
        <f t="shared" si="15"/>
        <v>5</v>
      </c>
      <c r="AK63" s="66">
        <f t="shared" si="5"/>
        <v>0</v>
      </c>
      <c r="AL63" s="62">
        <f>IF(AK63*Variables!$E$43*Variables!$C$18&lt;0,0,AK63*Variables!$E$43*Variables!$C$18)</f>
        <v>0</v>
      </c>
      <c r="AM63" s="58">
        <f>AA63*Variables!$E$39*Variables!$C$18</f>
        <v>161239121.44535047</v>
      </c>
      <c r="AN63" s="1"/>
      <c r="AO63" s="76">
        <f t="shared" si="16"/>
        <v>0.67714285714285716</v>
      </c>
      <c r="AP63" s="76">
        <f t="shared" si="6"/>
        <v>97.81344992465317</v>
      </c>
      <c r="AQ63" s="75">
        <f>VLOOKUP(B63,'Household Information'!$B$2:$E$48,4,FALSE)</f>
        <v>71.48</v>
      </c>
      <c r="AR63" s="79">
        <f>IF(12*(AP63-Variables!$C$45*AQ63*F63)*(G63/5)&lt;0,0,12*(AP63-Variables!$C$45*AQ63*F63)*(G63/5))</f>
        <v>33364958.929273434</v>
      </c>
      <c r="AS63" s="1"/>
      <c r="AT63" s="62">
        <v>0</v>
      </c>
      <c r="AU63" s="1"/>
    </row>
    <row r="64" spans="1:47" ht="14.25" customHeight="1">
      <c r="A64" s="1">
        <v>14</v>
      </c>
      <c r="B64" s="3" t="s">
        <v>206</v>
      </c>
      <c r="C64" s="1">
        <v>2020</v>
      </c>
      <c r="D64" s="13">
        <f>VLOOKUP(B64,Population!$B$1:$O$48,4,FALSE)</f>
        <v>324032.54834999994</v>
      </c>
      <c r="E64" s="13" t="str">
        <f t="shared" si="8"/>
        <v>Medium</v>
      </c>
      <c r="F64" s="54">
        <f>VLOOKUP(B64,'Household Information'!$B$1:$E$48,2,FALSE)</f>
        <v>2.4590017825311943</v>
      </c>
      <c r="G64" s="54">
        <f t="shared" si="0"/>
        <v>131774.01929999999</v>
      </c>
      <c r="H64" s="55">
        <f>IF(D64&gt;Variables!$C$6,H17,H17*(1+Variables!$C$9))</f>
        <v>25.496505999999997</v>
      </c>
      <c r="I64" s="55"/>
      <c r="J64" s="13">
        <f>H64*Variables!$C$21</f>
        <v>458.93710799999997</v>
      </c>
      <c r="K64" s="13">
        <f t="shared" si="12"/>
        <v>458.93710799999997</v>
      </c>
      <c r="L64" s="54">
        <f t="shared" si="1"/>
        <v>0</v>
      </c>
      <c r="M64" s="56"/>
      <c r="N64" s="57"/>
      <c r="O64" s="57"/>
      <c r="P64" s="57"/>
      <c r="Q64" s="57"/>
      <c r="R64" s="57"/>
      <c r="S64" s="58">
        <v>0</v>
      </c>
      <c r="T64" s="59">
        <f>$L64*Variables!$C$22/100</f>
        <v>0</v>
      </c>
      <c r="U64" s="59">
        <f>$L64*Variables!$C$23/100</f>
        <v>0</v>
      </c>
      <c r="V64" s="59">
        <f>$L64*Variables!$C$24/100</f>
        <v>0</v>
      </c>
      <c r="W64" s="59">
        <f>$L64*Variables!$C$25/100</f>
        <v>0</v>
      </c>
      <c r="X64" s="62">
        <f>T64*Variables!$E$26*Variables!$C$18+'Cost Calculations'!U64*Variables!$E$27*Variables!$C$18+'Cost Calculations'!V64*Variables!$E$28*Variables!$C$18+W64*Variables!$E$29*Variables!$C$18</f>
        <v>0</v>
      </c>
      <c r="Y64" s="58">
        <f>J64*Variables!$E$30</f>
        <v>300603.80573999998</v>
      </c>
      <c r="Z64" s="1"/>
      <c r="AA64" s="245">
        <f>D64*(IF(D64&lt;Variables!$C$7,Variables!$C$38,IF(D64&gt;Variables!$C$6,Variables!$C$36,Variables!$C$37)))</f>
        <v>388.83905801999987</v>
      </c>
      <c r="AB64" s="64">
        <f t="shared" si="13"/>
        <v>383</v>
      </c>
      <c r="AC64" s="66">
        <f t="shared" si="2"/>
        <v>6</v>
      </c>
      <c r="AD64" s="62">
        <f>AC64*Variables!$E$41</f>
        <v>3225600</v>
      </c>
      <c r="AE64" s="71">
        <f>ROUND((H64/(3.14*Variables!$C$35^2)),0)</f>
        <v>32</v>
      </c>
      <c r="AF64" s="57">
        <f t="shared" si="14"/>
        <v>32</v>
      </c>
      <c r="AG64" s="57">
        <f t="shared" si="3"/>
        <v>0</v>
      </c>
      <c r="AH64" s="58">
        <f>AG64*Variables!$E$42*Variables!$C$18</f>
        <v>0</v>
      </c>
      <c r="AI64" s="73">
        <f t="shared" si="4"/>
        <v>3</v>
      </c>
      <c r="AJ64" s="66">
        <f t="shared" si="15"/>
        <v>3</v>
      </c>
      <c r="AK64" s="66">
        <f t="shared" si="5"/>
        <v>0</v>
      </c>
      <c r="AL64" s="62">
        <f>IF(AK64*Variables!$E$43*Variables!$C$18&lt;0,0,AK64*Variables!$E$43*Variables!$C$18)</f>
        <v>0</v>
      </c>
      <c r="AM64" s="58">
        <f>AA64*Variables!$E$39*Variables!$C$18</f>
        <v>112394829.72908589</v>
      </c>
      <c r="AN64" s="1"/>
      <c r="AO64" s="76">
        <f t="shared" si="16"/>
        <v>0.67714285714285716</v>
      </c>
      <c r="AP64" s="76">
        <f t="shared" si="6"/>
        <v>99.905729564553084</v>
      </c>
      <c r="AQ64" s="75">
        <f>VLOOKUP(B64,'Household Information'!$B$2:$E$48,4,FALSE)</f>
        <v>65.935833333333335</v>
      </c>
      <c r="AR64" s="79">
        <f>IF(12*(AP64-Variables!$C$45*AQ64*F64)*(G64/5)&lt;0,0,12*(AP64-Variables!$C$45*AQ64*F64)*(G64/5))</f>
        <v>23904422.68903888</v>
      </c>
      <c r="AS64" s="1"/>
      <c r="AT64" s="62">
        <v>0</v>
      </c>
      <c r="AU64" s="1"/>
    </row>
    <row r="65" spans="1:47" ht="14.25" customHeight="1">
      <c r="A65" s="1">
        <v>15</v>
      </c>
      <c r="B65" s="3" t="s">
        <v>207</v>
      </c>
      <c r="C65" s="1">
        <v>2020</v>
      </c>
      <c r="D65" s="13">
        <f>VLOOKUP(B65,Population!$B$1:$O$48,4,FALSE)</f>
        <v>283972.24922499992</v>
      </c>
      <c r="E65" s="13" t="str">
        <f t="shared" si="8"/>
        <v>Medium</v>
      </c>
      <c r="F65" s="54">
        <f>VLOOKUP(B65,'Household Information'!$B$1:$E$48,2,FALSE)</f>
        <v>2.4536973570595619</v>
      </c>
      <c r="G65" s="54">
        <f t="shared" si="0"/>
        <v>115732.38582499996</v>
      </c>
      <c r="H65" s="55">
        <f>IF(D65&gt;Variables!$C$6,H18,H18*(1+Variables!$C$9))</f>
        <v>19.38</v>
      </c>
      <c r="I65" s="55"/>
      <c r="J65" s="13">
        <f>H65*Variables!$C$21</f>
        <v>348.84</v>
      </c>
      <c r="K65" s="13">
        <f t="shared" si="12"/>
        <v>348.84</v>
      </c>
      <c r="L65" s="54">
        <f t="shared" si="1"/>
        <v>0</v>
      </c>
      <c r="M65" s="56"/>
      <c r="N65" s="57"/>
      <c r="O65" s="57"/>
      <c r="P65" s="57"/>
      <c r="Q65" s="57"/>
      <c r="R65" s="57"/>
      <c r="S65" s="58">
        <v>0</v>
      </c>
      <c r="T65" s="59">
        <f>$L65*Variables!$C$22/100</f>
        <v>0</v>
      </c>
      <c r="U65" s="59">
        <f>$L65*Variables!$C$23/100</f>
        <v>0</v>
      </c>
      <c r="V65" s="59">
        <f>$L65*Variables!$C$24/100</f>
        <v>0</v>
      </c>
      <c r="W65" s="59">
        <f>$L65*Variables!$C$25/100</f>
        <v>0</v>
      </c>
      <c r="X65" s="62">
        <f>T65*Variables!$E$26*Variables!$C$18+'Cost Calculations'!U65*Variables!$E$27*Variables!$C$18+'Cost Calculations'!V65*Variables!$E$28*Variables!$C$18+W65*Variables!$E$29*Variables!$C$18</f>
        <v>0</v>
      </c>
      <c r="Y65" s="58">
        <f>J65*Variables!$E$30</f>
        <v>228490.19999999998</v>
      </c>
      <c r="Z65" s="1"/>
      <c r="AA65" s="245">
        <f>D65*(IF(D65&lt;Variables!$C$7,Variables!$C$38,IF(D65&gt;Variables!$C$6,Variables!$C$36,Variables!$C$37)))</f>
        <v>340.7666990699999</v>
      </c>
      <c r="AB65" s="64">
        <f t="shared" si="13"/>
        <v>336</v>
      </c>
      <c r="AC65" s="66">
        <f t="shared" si="2"/>
        <v>5</v>
      </c>
      <c r="AD65" s="62">
        <f>AC65*Variables!$E$41</f>
        <v>2688000</v>
      </c>
      <c r="AE65" s="71">
        <f>ROUND((H65/(3.14*Variables!$C$35^2)),0)</f>
        <v>25</v>
      </c>
      <c r="AF65" s="57">
        <f t="shared" si="14"/>
        <v>25</v>
      </c>
      <c r="AG65" s="57">
        <f t="shared" si="3"/>
        <v>0</v>
      </c>
      <c r="AH65" s="58">
        <f>AG65*Variables!$E$42*Variables!$C$18</f>
        <v>0</v>
      </c>
      <c r="AI65" s="73">
        <f t="shared" si="4"/>
        <v>3</v>
      </c>
      <c r="AJ65" s="66">
        <f t="shared" si="15"/>
        <v>3</v>
      </c>
      <c r="AK65" s="66">
        <f t="shared" si="5"/>
        <v>0</v>
      </c>
      <c r="AL65" s="62">
        <f>IF(AK65*Variables!$E$43*Variables!$C$18&lt;0,0,AK65*Variables!$E$43*Variables!$C$18)</f>
        <v>0</v>
      </c>
      <c r="AM65" s="58">
        <f>AA65*Variables!$E$39*Variables!$C$18</f>
        <v>98499403.106118307</v>
      </c>
      <c r="AN65" s="1"/>
      <c r="AO65" s="76">
        <f t="shared" si="16"/>
        <v>0.67714285714285716</v>
      </c>
      <c r="AP65" s="76">
        <f t="shared" si="6"/>
        <v>99.690218335391336</v>
      </c>
      <c r="AQ65" s="75">
        <f>VLOOKUP(B65,'Household Information'!$B$2:$E$48,4,FALSE)</f>
        <v>65.935833333333335</v>
      </c>
      <c r="AR65" s="79">
        <f>IF(12*(AP65-Variables!$C$45*AQ65*F65)*(G65/5)&lt;0,0,12*(AP65-Variables!$C$45*AQ65*F65)*(G65/5))</f>
        <v>20949107.464659091</v>
      </c>
      <c r="AS65" s="1"/>
      <c r="AT65" s="62">
        <v>0</v>
      </c>
      <c r="AU65" s="1"/>
    </row>
    <row r="66" spans="1:47" ht="14.25" customHeight="1">
      <c r="A66" s="1">
        <v>16</v>
      </c>
      <c r="B66" s="3" t="s">
        <v>208</v>
      </c>
      <c r="C66" s="1">
        <v>2020</v>
      </c>
      <c r="D66" s="13">
        <f>VLOOKUP(B66,Population!$B$1:$O$48,4,FALSE)</f>
        <v>473232.8235249999</v>
      </c>
      <c r="E66" s="13" t="str">
        <f t="shared" si="8"/>
        <v>Medium</v>
      </c>
      <c r="F66" s="54">
        <f>VLOOKUP(B66,'Household Information'!$B$1:$E$48,2,FALSE)</f>
        <v>3.2379076029492619</v>
      </c>
      <c r="G66" s="54">
        <f t="shared" si="0"/>
        <v>146153.89984999996</v>
      </c>
      <c r="H66" s="55">
        <f>IF(D66&gt;Variables!$C$6,H19,H19*(1+Variables!$C$9))</f>
        <v>31.656284999999997</v>
      </c>
      <c r="I66" s="55"/>
      <c r="J66" s="13">
        <f>H66*Variables!$C$21</f>
        <v>569.81313</v>
      </c>
      <c r="K66" s="13">
        <f t="shared" si="12"/>
        <v>582</v>
      </c>
      <c r="L66" s="54">
        <f t="shared" si="1"/>
        <v>0</v>
      </c>
      <c r="M66" s="56"/>
      <c r="N66" s="57"/>
      <c r="O66" s="57"/>
      <c r="P66" s="57"/>
      <c r="Q66" s="57"/>
      <c r="R66" s="57"/>
      <c r="S66" s="58">
        <v>0</v>
      </c>
      <c r="T66" s="59">
        <f>$L66*Variables!$C$22/100</f>
        <v>0</v>
      </c>
      <c r="U66" s="59">
        <f>$L66*Variables!$C$23/100</f>
        <v>0</v>
      </c>
      <c r="V66" s="59">
        <f>$L66*Variables!$C$24/100</f>
        <v>0</v>
      </c>
      <c r="W66" s="59">
        <f>$L66*Variables!$C$25/100</f>
        <v>0</v>
      </c>
      <c r="X66" s="62">
        <f>T66*Variables!$E$26*Variables!$C$18+'Cost Calculations'!U66*Variables!$E$27*Variables!$C$18+'Cost Calculations'!V66*Variables!$E$28*Variables!$C$18+W66*Variables!$E$29*Variables!$C$18</f>
        <v>0</v>
      </c>
      <c r="Y66" s="58">
        <f>J66*Variables!$E$30</f>
        <v>373227.60015000001</v>
      </c>
      <c r="Z66" s="1"/>
      <c r="AA66" s="245">
        <f>D66*(IF(D66&lt;Variables!$C$7,Variables!$C$38,IF(D66&gt;Variables!$C$6,Variables!$C$36,Variables!$C$37)))</f>
        <v>567.87938822999979</v>
      </c>
      <c r="AB66" s="64">
        <f t="shared" si="13"/>
        <v>559</v>
      </c>
      <c r="AC66" s="66">
        <f t="shared" si="2"/>
        <v>9</v>
      </c>
      <c r="AD66" s="62">
        <f>AC66*Variables!$E$41</f>
        <v>4838400</v>
      </c>
      <c r="AE66" s="71">
        <f>ROUND((H66/(3.14*Variables!$C$35^2)),0)</f>
        <v>40</v>
      </c>
      <c r="AF66" s="57">
        <f t="shared" si="14"/>
        <v>40</v>
      </c>
      <c r="AG66" s="57">
        <f t="shared" si="3"/>
        <v>0</v>
      </c>
      <c r="AH66" s="58">
        <f>AG66*Variables!$E$42*Variables!$C$18</f>
        <v>0</v>
      </c>
      <c r="AI66" s="73">
        <f t="shared" si="4"/>
        <v>5</v>
      </c>
      <c r="AJ66" s="66">
        <f t="shared" si="15"/>
        <v>5</v>
      </c>
      <c r="AK66" s="66">
        <f t="shared" si="5"/>
        <v>0</v>
      </c>
      <c r="AL66" s="62">
        <f>IF(AK66*Variables!$E$43*Variables!$C$18&lt;0,0,AK66*Variables!$E$43*Variables!$C$18)</f>
        <v>0</v>
      </c>
      <c r="AM66" s="58">
        <f>AA66*Variables!$E$39*Variables!$C$18</f>
        <v>164146851.58373511</v>
      </c>
      <c r="AN66" s="1"/>
      <c r="AO66" s="76">
        <f t="shared" si="16"/>
        <v>0.67714285714285716</v>
      </c>
      <c r="AP66" s="76">
        <f t="shared" si="6"/>
        <v>131.55156032553859</v>
      </c>
      <c r="AQ66" s="75">
        <f>VLOOKUP(B66,'Household Information'!$B$2:$E$48,4,FALSE)</f>
        <v>65.935833333333335</v>
      </c>
      <c r="AR66" s="79">
        <f>IF(12*(AP66-Variables!$C$45*AQ66*F66)*(G66/5)&lt;0,0,12*(AP66-Variables!$C$45*AQ66*F66)*(G66/5))</f>
        <v>34911176.366301425</v>
      </c>
      <c r="AS66" s="1"/>
      <c r="AT66" s="62">
        <v>0</v>
      </c>
      <c r="AU66" s="1"/>
    </row>
    <row r="67" spans="1:47" ht="14.25" customHeight="1">
      <c r="A67" s="1">
        <v>17</v>
      </c>
      <c r="B67" s="3" t="s">
        <v>209</v>
      </c>
      <c r="C67" s="1">
        <v>2020</v>
      </c>
      <c r="D67" s="13">
        <f>VLOOKUP(B67,Population!$B$1:$O$48,4,FALSE)</f>
        <v>446832.2776749999</v>
      </c>
      <c r="E67" s="13" t="str">
        <f t="shared" si="8"/>
        <v>Medium</v>
      </c>
      <c r="F67" s="54">
        <f>VLOOKUP(B67,'Household Information'!$B$1:$E$48,2,FALSE)</f>
        <v>3.2463324451363733</v>
      </c>
      <c r="G67" s="54">
        <f t="shared" si="0"/>
        <v>137642.18089999998</v>
      </c>
      <c r="H67" s="55">
        <f>IF(D67&gt;Variables!$C$6,H20,H20*(1+Variables!$C$9))</f>
        <v>25.896000000000001</v>
      </c>
      <c r="I67" s="55"/>
      <c r="J67" s="13">
        <f>H67*Variables!$C$21</f>
        <v>466.12800000000004</v>
      </c>
      <c r="K67" s="13">
        <f t="shared" si="12"/>
        <v>961.78647000000012</v>
      </c>
      <c r="L67" s="54">
        <f t="shared" si="1"/>
        <v>0</v>
      </c>
      <c r="M67" s="56"/>
      <c r="N67" s="57"/>
      <c r="O67" s="57"/>
      <c r="P67" s="57"/>
      <c r="Q67" s="57"/>
      <c r="R67" s="57"/>
      <c r="S67" s="58">
        <v>0</v>
      </c>
      <c r="T67" s="59">
        <f>$L67*Variables!$C$22/100</f>
        <v>0</v>
      </c>
      <c r="U67" s="59">
        <f>$L67*Variables!$C$23/100</f>
        <v>0</v>
      </c>
      <c r="V67" s="59">
        <f>$L67*Variables!$C$24/100</f>
        <v>0</v>
      </c>
      <c r="W67" s="59">
        <f>$L67*Variables!$C$25/100</f>
        <v>0</v>
      </c>
      <c r="X67" s="62">
        <f>T67*Variables!$E$26*Variables!$C$18+'Cost Calculations'!U67*Variables!$E$27*Variables!$C$18+'Cost Calculations'!V67*Variables!$E$28*Variables!$C$18+W67*Variables!$E$29*Variables!$C$18</f>
        <v>0</v>
      </c>
      <c r="Y67" s="58">
        <f>J67*Variables!$E$30</f>
        <v>305313.84000000003</v>
      </c>
      <c r="Z67" s="1"/>
      <c r="AA67" s="245">
        <f>D67*(IF(D67&lt;Variables!$C$7,Variables!$C$38,IF(D67&gt;Variables!$C$6,Variables!$C$36,Variables!$C$37)))</f>
        <v>536.19873320999989</v>
      </c>
      <c r="AB67" s="64">
        <f t="shared" si="13"/>
        <v>528</v>
      </c>
      <c r="AC67" s="66">
        <f t="shared" si="2"/>
        <v>8</v>
      </c>
      <c r="AD67" s="62">
        <f>AC67*Variables!$E$41</f>
        <v>4300800</v>
      </c>
      <c r="AE67" s="71">
        <f>ROUND((H67/(3.14*Variables!$C$35^2)),0)</f>
        <v>33</v>
      </c>
      <c r="AF67" s="57">
        <f t="shared" si="14"/>
        <v>33</v>
      </c>
      <c r="AG67" s="57">
        <f t="shared" si="3"/>
        <v>0</v>
      </c>
      <c r="AH67" s="58">
        <f>AG67*Variables!$E$42*Variables!$C$18</f>
        <v>0</v>
      </c>
      <c r="AI67" s="73">
        <f t="shared" si="4"/>
        <v>4</v>
      </c>
      <c r="AJ67" s="66">
        <f t="shared" si="15"/>
        <v>4</v>
      </c>
      <c r="AK67" s="66">
        <f t="shared" si="5"/>
        <v>0</v>
      </c>
      <c r="AL67" s="62">
        <f>IF(AK67*Variables!$E$43*Variables!$C$18&lt;0,0,AK67*Variables!$E$43*Variables!$C$18)</f>
        <v>0</v>
      </c>
      <c r="AM67" s="58">
        <f>AA67*Variables!$E$39*Variables!$C$18</f>
        <v>154989484.92203611</v>
      </c>
      <c r="AN67" s="1"/>
      <c r="AO67" s="76">
        <f t="shared" si="16"/>
        <v>0.67714285714285716</v>
      </c>
      <c r="AP67" s="76">
        <f t="shared" si="6"/>
        <v>131.89384962811206</v>
      </c>
      <c r="AQ67" s="75">
        <f>VLOOKUP(B67,'Household Information'!$B$2:$E$48,4,FALSE)</f>
        <v>47.15</v>
      </c>
      <c r="AR67" s="79">
        <f>IF(12*(AP67-Variables!$C$45*AQ67*F67)*(G67/5)&lt;0,0,12*(AP67-Variables!$C$45*AQ67*F67)*(G67/5))</f>
        <v>35985445.983008541</v>
      </c>
      <c r="AS67" s="1"/>
      <c r="AT67" s="62">
        <v>0</v>
      </c>
      <c r="AU67" s="1"/>
    </row>
    <row r="68" spans="1:47" ht="14.25" customHeight="1">
      <c r="A68" s="1">
        <v>18</v>
      </c>
      <c r="B68" s="3" t="s">
        <v>210</v>
      </c>
      <c r="C68" s="1">
        <v>2020</v>
      </c>
      <c r="D68" s="13">
        <f>VLOOKUP(B68,Population!$B$1:$O$48,4,FALSE)</f>
        <v>282922.44994999992</v>
      </c>
      <c r="E68" s="13" t="str">
        <f t="shared" si="8"/>
        <v>Medium</v>
      </c>
      <c r="F68" s="54">
        <f>VLOOKUP(B68,'Household Information'!$B$1:$E$48,2,FALSE)</f>
        <v>3.2199371541131225</v>
      </c>
      <c r="G68" s="54">
        <f t="shared" si="0"/>
        <v>87865.829799999978</v>
      </c>
      <c r="H68" s="55">
        <f>IF(D68&gt;Variables!$C$6,H21,H21*(1+Variables!$C$9))</f>
        <v>16.261485999999998</v>
      </c>
      <c r="I68" s="55"/>
      <c r="J68" s="13">
        <f>H68*Variables!$C$21</f>
        <v>292.70674799999995</v>
      </c>
      <c r="K68" s="13">
        <f t="shared" si="12"/>
        <v>512</v>
      </c>
      <c r="L68" s="54">
        <f t="shared" si="1"/>
        <v>0</v>
      </c>
      <c r="M68" s="56"/>
      <c r="N68" s="57"/>
      <c r="O68" s="57"/>
      <c r="P68" s="57"/>
      <c r="Q68" s="57"/>
      <c r="R68" s="57"/>
      <c r="S68" s="58">
        <v>0</v>
      </c>
      <c r="T68" s="59">
        <f>$L68*Variables!$C$22/100</f>
        <v>0</v>
      </c>
      <c r="U68" s="59">
        <f>$L68*Variables!$C$23/100</f>
        <v>0</v>
      </c>
      <c r="V68" s="59">
        <f>$L68*Variables!$C$24/100</f>
        <v>0</v>
      </c>
      <c r="W68" s="59">
        <f>$L68*Variables!$C$25/100</f>
        <v>0</v>
      </c>
      <c r="X68" s="62">
        <f>T68*Variables!$E$26*Variables!$C$18+'Cost Calculations'!U68*Variables!$E$27*Variables!$C$18+'Cost Calculations'!V68*Variables!$E$28*Variables!$C$18+W68*Variables!$E$29*Variables!$C$18</f>
        <v>0</v>
      </c>
      <c r="Y68" s="58">
        <f>J68*Variables!$E$30</f>
        <v>191722.91993999996</v>
      </c>
      <c r="Z68" s="1"/>
      <c r="AA68" s="245">
        <f>D68*(IF(D68&lt;Variables!$C$7,Variables!$C$38,IF(D68&gt;Variables!$C$6,Variables!$C$36,Variables!$C$37)))</f>
        <v>339.50693993999988</v>
      </c>
      <c r="AB68" s="64">
        <f t="shared" si="13"/>
        <v>334</v>
      </c>
      <c r="AC68" s="66">
        <f t="shared" si="2"/>
        <v>6</v>
      </c>
      <c r="AD68" s="62">
        <f>AC68*Variables!$E$41</f>
        <v>3225600</v>
      </c>
      <c r="AE68" s="71">
        <f>ROUND((H68/(3.14*Variables!$C$35^2)),0)</f>
        <v>21</v>
      </c>
      <c r="AF68" s="57">
        <f t="shared" si="14"/>
        <v>21</v>
      </c>
      <c r="AG68" s="57">
        <f t="shared" si="3"/>
        <v>0</v>
      </c>
      <c r="AH68" s="58">
        <f>AG68*Variables!$E$42*Variables!$C$18</f>
        <v>0</v>
      </c>
      <c r="AI68" s="73">
        <f t="shared" si="4"/>
        <v>3</v>
      </c>
      <c r="AJ68" s="66">
        <f t="shared" si="15"/>
        <v>3</v>
      </c>
      <c r="AK68" s="66">
        <f t="shared" si="5"/>
        <v>0</v>
      </c>
      <c r="AL68" s="62">
        <f>IF(AK68*Variables!$E$43*Variables!$C$18&lt;0,0,AK68*Variables!$E$43*Variables!$C$18)</f>
        <v>0</v>
      </c>
      <c r="AM68" s="58">
        <f>AA68*Variables!$E$39*Variables!$C$18</f>
        <v>98135266.813748389</v>
      </c>
      <c r="AN68" s="1"/>
      <c r="AO68" s="76">
        <f t="shared" si="16"/>
        <v>0.67714285714285716</v>
      </c>
      <c r="AP68" s="76">
        <f t="shared" si="6"/>
        <v>130.82144666139601</v>
      </c>
      <c r="AQ68" s="75">
        <f>VLOOKUP(B68,'Household Information'!$B$2:$E$48,4,FALSE)</f>
        <v>65.935833333333335</v>
      </c>
      <c r="AR68" s="79">
        <f>IF(12*(AP68-Variables!$C$45*AQ68*F68)*(G68/5)&lt;0,0,12*(AP68-Variables!$C$45*AQ68*F68)*(G68/5))</f>
        <v>20871662.01747784</v>
      </c>
      <c r="AS68" s="1"/>
      <c r="AT68" s="62">
        <v>0</v>
      </c>
      <c r="AU68" s="1"/>
    </row>
    <row r="69" spans="1:47" ht="14.25" customHeight="1">
      <c r="A69" s="1">
        <v>19</v>
      </c>
      <c r="B69" s="3" t="s">
        <v>211</v>
      </c>
      <c r="C69" s="1">
        <v>2020</v>
      </c>
      <c r="D69" s="13">
        <f>VLOOKUP(B69,Population!$B$1:$O$48,4,FALSE)</f>
        <v>285650.48574999993</v>
      </c>
      <c r="E69" s="13" t="str">
        <f t="shared" ref="E69:E132" si="17">IF(D69&lt;100000,"Small",IF(D69&lt;1000000,"Medium","Large"))</f>
        <v>Medium</v>
      </c>
      <c r="F69" s="54">
        <f>VLOOKUP(B69,'Household Information'!$B$1:$E$48,2,FALSE)</f>
        <v>2.5344143617118515</v>
      </c>
      <c r="G69" s="54">
        <f t="shared" si="0"/>
        <v>112708.67544999998</v>
      </c>
      <c r="H69" s="55">
        <f>IF(D69&gt;Variables!$C$6,H22,H22*(1+Variables!$C$9))</f>
        <v>33.110705594037988</v>
      </c>
      <c r="I69" s="55"/>
      <c r="J69" s="13">
        <f>H69*Variables!$C$21</f>
        <v>595.9927006926838</v>
      </c>
      <c r="K69" s="13">
        <f t="shared" si="12"/>
        <v>595.9927006926838</v>
      </c>
      <c r="L69" s="54">
        <f t="shared" si="1"/>
        <v>0</v>
      </c>
      <c r="M69" s="56"/>
      <c r="N69" s="57"/>
      <c r="O69" s="57"/>
      <c r="P69" s="57"/>
      <c r="Q69" s="57"/>
      <c r="R69" s="57"/>
      <c r="S69" s="58">
        <v>0</v>
      </c>
      <c r="T69" s="59">
        <f>$L69*Variables!$C$22/100</f>
        <v>0</v>
      </c>
      <c r="U69" s="59">
        <f>$L69*Variables!$C$23/100</f>
        <v>0</v>
      </c>
      <c r="V69" s="59">
        <f>$L69*Variables!$C$24/100</f>
        <v>0</v>
      </c>
      <c r="W69" s="59">
        <f>$L69*Variables!$C$25/100</f>
        <v>0</v>
      </c>
      <c r="X69" s="62">
        <f>T69*Variables!$E$26*Variables!$C$18+'Cost Calculations'!U69*Variables!$E$27*Variables!$C$18+'Cost Calculations'!V69*Variables!$E$28*Variables!$C$18+W69*Variables!$E$29*Variables!$C$18</f>
        <v>0</v>
      </c>
      <c r="Y69" s="58">
        <f>J69*Variables!$E$30</f>
        <v>390375.2189537079</v>
      </c>
      <c r="Z69" s="1"/>
      <c r="AA69" s="245">
        <f>D69*(IF(D69&lt;Variables!$C$7,Variables!$C$38,IF(D69&gt;Variables!$C$6,Variables!$C$36,Variables!$C$37)))</f>
        <v>342.7805828999999</v>
      </c>
      <c r="AB69" s="64">
        <f t="shared" si="13"/>
        <v>338</v>
      </c>
      <c r="AC69" s="66">
        <f t="shared" si="2"/>
        <v>5</v>
      </c>
      <c r="AD69" s="62">
        <f>AC69*Variables!$E$41</f>
        <v>2688000</v>
      </c>
      <c r="AE69" s="71">
        <f>ROUND((H69/(3.14*Variables!$C$35^2)),0)</f>
        <v>42</v>
      </c>
      <c r="AF69" s="57">
        <f t="shared" si="14"/>
        <v>42</v>
      </c>
      <c r="AG69" s="57">
        <f t="shared" si="3"/>
        <v>0</v>
      </c>
      <c r="AH69" s="58">
        <f>AG69*Variables!$E$42*Variables!$C$18</f>
        <v>0</v>
      </c>
      <c r="AI69" s="73">
        <f t="shared" si="4"/>
        <v>3</v>
      </c>
      <c r="AJ69" s="66">
        <f t="shared" si="15"/>
        <v>3</v>
      </c>
      <c r="AK69" s="66">
        <f t="shared" si="5"/>
        <v>0</v>
      </c>
      <c r="AL69" s="62">
        <f>IF(AK69*Variables!$E$43*Variables!$C$18&lt;0,0,AK69*Variables!$E$43*Variables!$C$18)</f>
        <v>0</v>
      </c>
      <c r="AM69" s="58">
        <f>AA69*Variables!$E$39*Variables!$C$18</f>
        <v>99081520.888523206</v>
      </c>
      <c r="AN69" s="1"/>
      <c r="AO69" s="76">
        <f t="shared" si="16"/>
        <v>0.67714285714285716</v>
      </c>
      <c r="AP69" s="76">
        <f t="shared" si="6"/>
        <v>102.96963492440722</v>
      </c>
      <c r="AQ69" s="75">
        <f>VLOOKUP(B69,'Household Information'!$B$2:$E$48,4,FALSE)</f>
        <v>65.935833333333335</v>
      </c>
      <c r="AR69" s="79">
        <f>IF(12*(AP69-Variables!$C$45*AQ69*F69)*(G69/5)&lt;0,0,12*(AP69-Variables!$C$45*AQ69*F69)*(G69/5))</f>
        <v>21072913.778160818</v>
      </c>
      <c r="AS69" s="1"/>
      <c r="AT69" s="62">
        <v>0</v>
      </c>
      <c r="AU69" s="1"/>
    </row>
    <row r="70" spans="1:47" ht="14.25" customHeight="1">
      <c r="A70" s="1">
        <v>20</v>
      </c>
      <c r="B70" s="3" t="s">
        <v>212</v>
      </c>
      <c r="C70" s="1">
        <v>2020</v>
      </c>
      <c r="D70" s="13">
        <f>VLOOKUP(B70,Population!$B$1:$O$48,4,FALSE)</f>
        <v>173068.52797499995</v>
      </c>
      <c r="E70" s="13" t="str">
        <f t="shared" si="17"/>
        <v>Medium</v>
      </c>
      <c r="F70" s="54">
        <f>VLOOKUP(B70,'Household Information'!$B$1:$E$48,2,FALSE)</f>
        <v>2.6024941905499612</v>
      </c>
      <c r="G70" s="54">
        <f t="shared" si="0"/>
        <v>66501.023749999978</v>
      </c>
      <c r="H70" s="55">
        <f>IF(D70&gt;Variables!$C$6,H23,H23*(1+Variables!$C$9))</f>
        <v>15</v>
      </c>
      <c r="I70" s="55"/>
      <c r="J70" s="13">
        <f>H70*Variables!$C$21</f>
        <v>270</v>
      </c>
      <c r="K70" s="13">
        <f t="shared" si="12"/>
        <v>270</v>
      </c>
      <c r="L70" s="54">
        <f t="shared" si="1"/>
        <v>0</v>
      </c>
      <c r="M70" s="56"/>
      <c r="N70" s="57"/>
      <c r="O70" s="57"/>
      <c r="P70" s="57"/>
      <c r="Q70" s="57"/>
      <c r="R70" s="57"/>
      <c r="S70" s="58">
        <v>0</v>
      </c>
      <c r="T70" s="59">
        <f>$L70*Variables!$C$22/100</f>
        <v>0</v>
      </c>
      <c r="U70" s="59">
        <f>$L70*Variables!$C$23/100</f>
        <v>0</v>
      </c>
      <c r="V70" s="59">
        <f>$L70*Variables!$C$24/100</f>
        <v>0</v>
      </c>
      <c r="W70" s="59">
        <f>$L70*Variables!$C$25/100</f>
        <v>0</v>
      </c>
      <c r="X70" s="62">
        <f>T70*Variables!$E$26*Variables!$C$18+'Cost Calculations'!U70*Variables!$E$27*Variables!$C$18+'Cost Calculations'!V70*Variables!$E$28*Variables!$C$18+W70*Variables!$E$29*Variables!$C$18</f>
        <v>0</v>
      </c>
      <c r="Y70" s="58">
        <f>J70*Variables!$E$30</f>
        <v>176850</v>
      </c>
      <c r="Z70" s="1"/>
      <c r="AA70" s="245">
        <f>D70*(IF(D70&lt;Variables!$C$7,Variables!$C$38,IF(D70&gt;Variables!$C$6,Variables!$C$36,Variables!$C$37)))</f>
        <v>207.68223356999991</v>
      </c>
      <c r="AB70" s="64">
        <f t="shared" si="13"/>
        <v>205</v>
      </c>
      <c r="AC70" s="66">
        <f t="shared" si="2"/>
        <v>3</v>
      </c>
      <c r="AD70" s="62">
        <f>AC70*Variables!$E$41</f>
        <v>1612800</v>
      </c>
      <c r="AE70" s="71">
        <f>ROUND((H70/(3.14*Variables!$C$35^2)),0)</f>
        <v>19</v>
      </c>
      <c r="AF70" s="57">
        <f t="shared" si="14"/>
        <v>19</v>
      </c>
      <c r="AG70" s="57">
        <f t="shared" si="3"/>
        <v>0</v>
      </c>
      <c r="AH70" s="58">
        <f>AG70*Variables!$E$42*Variables!$C$18</f>
        <v>0</v>
      </c>
      <c r="AI70" s="73">
        <f t="shared" si="4"/>
        <v>2</v>
      </c>
      <c r="AJ70" s="66">
        <f t="shared" si="15"/>
        <v>2</v>
      </c>
      <c r="AK70" s="66">
        <f t="shared" si="5"/>
        <v>0</v>
      </c>
      <c r="AL70" s="62">
        <f>IF(AK70*Variables!$E$43*Variables!$C$18&lt;0,0,AK70*Variables!$E$43*Variables!$C$18)</f>
        <v>0</v>
      </c>
      <c r="AM70" s="58">
        <f>AA70*Variables!$E$39*Variables!$C$18</f>
        <v>60031030.315518804</v>
      </c>
      <c r="AN70" s="1"/>
      <c r="AO70" s="76">
        <f t="shared" si="16"/>
        <v>0.67714285714285716</v>
      </c>
      <c r="AP70" s="76">
        <f t="shared" si="6"/>
        <v>105.73562111320128</v>
      </c>
      <c r="AQ70" s="75">
        <f>VLOOKUP(B70,'Household Information'!$B$2:$E$48,4,FALSE)</f>
        <v>65.935833333333335</v>
      </c>
      <c r="AR70" s="79">
        <f>IF(12*(AP70-Variables!$C$45*AQ70*F70)*(G70/5)&lt;0,0,12*(AP70-Variables!$C$45*AQ70*F70)*(G70/5))</f>
        <v>12767554.580398215</v>
      </c>
      <c r="AS70" s="1"/>
      <c r="AT70" s="62">
        <v>0</v>
      </c>
      <c r="AU70" s="1"/>
    </row>
    <row r="71" spans="1:47" ht="14.25" customHeight="1">
      <c r="A71" s="1">
        <v>21</v>
      </c>
      <c r="B71" s="3" t="s">
        <v>213</v>
      </c>
      <c r="C71" s="1">
        <v>2020</v>
      </c>
      <c r="D71" s="13">
        <f>VLOOKUP(B71,Population!$B$1:$O$48,4,FALSE)</f>
        <v>182940.14392499995</v>
      </c>
      <c r="E71" s="13" t="str">
        <f t="shared" si="17"/>
        <v>Medium</v>
      </c>
      <c r="F71" s="54">
        <f>VLOOKUP(B71,'Household Information'!$B$1:$E$48,2,FALSE)</f>
        <v>3.3084232295567606</v>
      </c>
      <c r="G71" s="54">
        <f t="shared" si="0"/>
        <v>55295.26642499998</v>
      </c>
      <c r="H71" s="55">
        <f>IF(D71&gt;Variables!$C$6,H24,H24*(1+Variables!$C$9))</f>
        <v>35.084811999999992</v>
      </c>
      <c r="I71" s="55"/>
      <c r="J71" s="13">
        <f>H71*Variables!$C$21</f>
        <v>631.52661599999988</v>
      </c>
      <c r="K71" s="13">
        <f t="shared" si="12"/>
        <v>631.52661599999988</v>
      </c>
      <c r="L71" s="54">
        <f t="shared" si="1"/>
        <v>0</v>
      </c>
      <c r="M71" s="56"/>
      <c r="N71" s="57"/>
      <c r="O71" s="57"/>
      <c r="P71" s="57"/>
      <c r="Q71" s="57"/>
      <c r="R71" s="57"/>
      <c r="S71" s="58">
        <v>0</v>
      </c>
      <c r="T71" s="59">
        <f>$L71*Variables!$C$22/100</f>
        <v>0</v>
      </c>
      <c r="U71" s="59">
        <f>$L71*Variables!$C$23/100</f>
        <v>0</v>
      </c>
      <c r="V71" s="59">
        <f>$L71*Variables!$C$24/100</f>
        <v>0</v>
      </c>
      <c r="W71" s="59">
        <f>$L71*Variables!$C$25/100</f>
        <v>0</v>
      </c>
      <c r="X71" s="62">
        <f>T71*Variables!$E$26*Variables!$C$18+'Cost Calculations'!U71*Variables!$E$27*Variables!$C$18+'Cost Calculations'!V71*Variables!$E$28*Variables!$C$18+W71*Variables!$E$29*Variables!$C$18</f>
        <v>0</v>
      </c>
      <c r="Y71" s="58">
        <f>J71*Variables!$E$30</f>
        <v>413649.93347999989</v>
      </c>
      <c r="Z71" s="1"/>
      <c r="AA71" s="245">
        <f>D71*(IF(D71&lt;Variables!$C$7,Variables!$C$38,IF(D71&gt;Variables!$C$6,Variables!$C$36,Variables!$C$37)))</f>
        <v>219.52817270999992</v>
      </c>
      <c r="AB71" s="64">
        <f t="shared" si="13"/>
        <v>216</v>
      </c>
      <c r="AC71" s="66">
        <f t="shared" si="2"/>
        <v>4</v>
      </c>
      <c r="AD71" s="62">
        <f>AC71*Variables!$E$41</f>
        <v>2150400</v>
      </c>
      <c r="AE71" s="71">
        <f>ROUND((H71/(3.14*Variables!$C$35^2)),0)</f>
        <v>45</v>
      </c>
      <c r="AF71" s="57">
        <f t="shared" si="14"/>
        <v>45</v>
      </c>
      <c r="AG71" s="57">
        <f t="shared" si="3"/>
        <v>0</v>
      </c>
      <c r="AH71" s="58">
        <f>AG71*Variables!$E$42*Variables!$C$18</f>
        <v>0</v>
      </c>
      <c r="AI71" s="73">
        <f t="shared" si="4"/>
        <v>2</v>
      </c>
      <c r="AJ71" s="66">
        <f t="shared" si="15"/>
        <v>2</v>
      </c>
      <c r="AK71" s="66">
        <f t="shared" si="5"/>
        <v>0</v>
      </c>
      <c r="AL71" s="62">
        <f>IF(AK71*Variables!$E$43*Variables!$C$18&lt;0,0,AK71*Variables!$E$43*Variables!$C$18)</f>
        <v>0</v>
      </c>
      <c r="AM71" s="58">
        <f>AA71*Variables!$E$39*Variables!$C$18</f>
        <v>63455126.442592882</v>
      </c>
      <c r="AN71" s="1"/>
      <c r="AO71" s="76">
        <f t="shared" si="16"/>
        <v>0.67714285714285716</v>
      </c>
      <c r="AP71" s="76">
        <f t="shared" si="6"/>
        <v>134.4165094979918</v>
      </c>
      <c r="AQ71" s="75">
        <f>VLOOKUP(B71,'Household Information'!$B$2:$E$48,4,FALSE)</f>
        <v>65.935833333333335</v>
      </c>
      <c r="AR71" s="79">
        <f>IF(12*(AP71-Variables!$C$45*AQ71*F71)*(G71/5)&lt;0,0,12*(AP71-Variables!$C$45*AQ71*F71)*(G71/5))</f>
        <v>13495800.188730661</v>
      </c>
      <c r="AS71" s="1"/>
      <c r="AT71" s="62">
        <v>0</v>
      </c>
      <c r="AU71" s="1"/>
    </row>
    <row r="72" spans="1:47" ht="14.25" customHeight="1">
      <c r="A72" s="1">
        <v>22</v>
      </c>
      <c r="B72" s="3" t="s">
        <v>214</v>
      </c>
      <c r="C72" s="1">
        <v>2020</v>
      </c>
      <c r="D72" s="13">
        <f>VLOOKUP(B72,Population!$B$1:$O$48,4,FALSE)</f>
        <v>161527.94752499997</v>
      </c>
      <c r="E72" s="13" t="str">
        <f t="shared" si="17"/>
        <v>Medium</v>
      </c>
      <c r="F72" s="54">
        <f>VLOOKUP(B72,'Household Information'!$B$1:$E$48,2,FALSE)</f>
        <v>2.4748082204754236</v>
      </c>
      <c r="G72" s="54">
        <f t="shared" si="0"/>
        <v>65268.874649999991</v>
      </c>
      <c r="H72" s="55">
        <f>IF(D72&gt;Variables!$C$6,H25,H25*(1+Variables!$C$9))</f>
        <v>31.3</v>
      </c>
      <c r="I72" s="55"/>
      <c r="J72" s="13">
        <f>H72*Variables!$C$21</f>
        <v>563.4</v>
      </c>
      <c r="K72" s="13">
        <f t="shared" si="12"/>
        <v>563.4</v>
      </c>
      <c r="L72" s="54">
        <f t="shared" si="1"/>
        <v>0</v>
      </c>
      <c r="M72" s="56"/>
      <c r="N72" s="57"/>
      <c r="O72" s="57"/>
      <c r="P72" s="57"/>
      <c r="Q72" s="57"/>
      <c r="R72" s="57"/>
      <c r="S72" s="58">
        <v>0</v>
      </c>
      <c r="T72" s="59">
        <f>$L72*Variables!$C$22/100</f>
        <v>0</v>
      </c>
      <c r="U72" s="59">
        <f>$L72*Variables!$C$23/100</f>
        <v>0</v>
      </c>
      <c r="V72" s="59">
        <f>$L72*Variables!$C$24/100</f>
        <v>0</v>
      </c>
      <c r="W72" s="59">
        <f>$L72*Variables!$C$25/100</f>
        <v>0</v>
      </c>
      <c r="X72" s="62">
        <f>T72*Variables!$E$26*Variables!$C$18+'Cost Calculations'!U72*Variables!$E$27*Variables!$C$18+'Cost Calculations'!V72*Variables!$E$28*Variables!$C$18+W72*Variables!$E$29*Variables!$C$18</f>
        <v>0</v>
      </c>
      <c r="Y72" s="58">
        <f>J72*Variables!$E$30</f>
        <v>369027</v>
      </c>
      <c r="Z72" s="1"/>
      <c r="AA72" s="245">
        <f>D72*(IF(D72&lt;Variables!$C$7,Variables!$C$38,IF(D72&gt;Variables!$C$6,Variables!$C$36,Variables!$C$37)))</f>
        <v>193.83353702999995</v>
      </c>
      <c r="AB72" s="64">
        <f t="shared" si="13"/>
        <v>191</v>
      </c>
      <c r="AC72" s="66">
        <f t="shared" si="2"/>
        <v>3</v>
      </c>
      <c r="AD72" s="62">
        <f>AC72*Variables!$E$41</f>
        <v>1612800</v>
      </c>
      <c r="AE72" s="71">
        <f>ROUND((H72/(3.14*Variables!$C$35^2)),0)</f>
        <v>40</v>
      </c>
      <c r="AF72" s="57">
        <f t="shared" si="14"/>
        <v>40</v>
      </c>
      <c r="AG72" s="57">
        <f t="shared" si="3"/>
        <v>0</v>
      </c>
      <c r="AH72" s="58">
        <f>AG72*Variables!$E$42*Variables!$C$18</f>
        <v>0</v>
      </c>
      <c r="AI72" s="73">
        <f t="shared" si="4"/>
        <v>2</v>
      </c>
      <c r="AJ72" s="66">
        <f t="shared" si="15"/>
        <v>2</v>
      </c>
      <c r="AK72" s="66">
        <f t="shared" si="5"/>
        <v>0</v>
      </c>
      <c r="AL72" s="62">
        <f>IF(AK72*Variables!$E$43*Variables!$C$18&lt;0,0,AK72*Variables!$E$43*Variables!$C$18)</f>
        <v>0</v>
      </c>
      <c r="AM72" s="58">
        <f>AA72*Variables!$E$39*Variables!$C$18</f>
        <v>56028032.526384622</v>
      </c>
      <c r="AN72" s="1"/>
      <c r="AO72" s="76">
        <f t="shared" si="16"/>
        <v>0.67714285714285716</v>
      </c>
      <c r="AP72" s="76">
        <f t="shared" si="6"/>
        <v>100.5479225576015</v>
      </c>
      <c r="AQ72" s="75">
        <f>VLOOKUP(B72,'Household Information'!$B$2:$E$48,4,FALSE)</f>
        <v>65.935833333333335</v>
      </c>
      <c r="AR72" s="79">
        <f>IF(12*(AP72-Variables!$C$45*AQ72*F72)*(G72/5)&lt;0,0,12*(AP72-Variables!$C$45*AQ72*F72)*(G72/5))</f>
        <v>11916186.671345823</v>
      </c>
      <c r="AS72" s="1"/>
      <c r="AT72" s="62">
        <v>0</v>
      </c>
      <c r="AU72" s="1"/>
    </row>
    <row r="73" spans="1:47" ht="14.25" customHeight="1">
      <c r="A73" s="1">
        <v>23</v>
      </c>
      <c r="B73" s="3" t="s">
        <v>215</v>
      </c>
      <c r="C73" s="1">
        <v>2020</v>
      </c>
      <c r="D73" s="13">
        <f>VLOOKUP(B73,Population!$B$1:$O$48,4,FALSE)</f>
        <v>124326.52277499996</v>
      </c>
      <c r="E73" s="13" t="str">
        <f t="shared" si="17"/>
        <v>Medium</v>
      </c>
      <c r="F73" s="54">
        <f>VLOOKUP(B73,'Household Information'!$B$1:$E$48,2,FALSE)</f>
        <v>2.7568018275271275</v>
      </c>
      <c r="G73" s="54">
        <f t="shared" si="0"/>
        <v>45098.099374999983</v>
      </c>
      <c r="H73" s="55">
        <f>IF(D73&gt;Variables!$C$6,H26,H26*(1+Variables!$C$9))</f>
        <v>14.881089649499996</v>
      </c>
      <c r="I73" s="55"/>
      <c r="J73" s="13">
        <f>H73*Variables!$C$21</f>
        <v>267.85961369099994</v>
      </c>
      <c r="K73" s="13">
        <f t="shared" si="12"/>
        <v>267.85961369099994</v>
      </c>
      <c r="L73" s="54">
        <f t="shared" si="1"/>
        <v>0</v>
      </c>
      <c r="M73" s="56"/>
      <c r="N73" s="57"/>
      <c r="O73" s="57"/>
      <c r="P73" s="57"/>
      <c r="Q73" s="57"/>
      <c r="R73" s="57"/>
      <c r="S73" s="58">
        <v>0</v>
      </c>
      <c r="T73" s="59">
        <f>$L73*Variables!$C$22/100</f>
        <v>0</v>
      </c>
      <c r="U73" s="59">
        <f>$L73*Variables!$C$23/100</f>
        <v>0</v>
      </c>
      <c r="V73" s="59">
        <f>$L73*Variables!$C$24/100</f>
        <v>0</v>
      </c>
      <c r="W73" s="59">
        <f>$L73*Variables!$C$25/100</f>
        <v>0</v>
      </c>
      <c r="X73" s="62">
        <f>T73*Variables!$E$26*Variables!$C$18+'Cost Calculations'!U73*Variables!$E$27*Variables!$C$18+'Cost Calculations'!V73*Variables!$E$28*Variables!$C$18+W73*Variables!$E$29*Variables!$C$18</f>
        <v>0</v>
      </c>
      <c r="Y73" s="58">
        <f>J73*Variables!$E$30</f>
        <v>175448.04696760495</v>
      </c>
      <c r="Z73" s="1"/>
      <c r="AA73" s="245">
        <f>D73*(IF(D73&lt;Variables!$C$7,Variables!$C$38,IF(D73&gt;Variables!$C$6,Variables!$C$36,Variables!$C$37)))</f>
        <v>149.19182732999994</v>
      </c>
      <c r="AB73" s="64">
        <f t="shared" si="13"/>
        <v>147</v>
      </c>
      <c r="AC73" s="66">
        <f t="shared" si="2"/>
        <v>2</v>
      </c>
      <c r="AD73" s="62">
        <f>AC73*Variables!$E$41</f>
        <v>1075200</v>
      </c>
      <c r="AE73" s="71">
        <f>ROUND((H73/(3.14*Variables!$C$35^2)),0)</f>
        <v>19</v>
      </c>
      <c r="AF73" s="57">
        <f t="shared" si="14"/>
        <v>19</v>
      </c>
      <c r="AG73" s="57">
        <f t="shared" si="3"/>
        <v>0</v>
      </c>
      <c r="AH73" s="58">
        <f>AG73*Variables!$E$42*Variables!$C$18</f>
        <v>0</v>
      </c>
      <c r="AI73" s="73">
        <f t="shared" si="4"/>
        <v>1</v>
      </c>
      <c r="AJ73" s="66">
        <f t="shared" si="15"/>
        <v>1</v>
      </c>
      <c r="AK73" s="66">
        <f t="shared" si="5"/>
        <v>0</v>
      </c>
      <c r="AL73" s="62">
        <f>IF(AK73*Variables!$E$43*Variables!$C$18&lt;0,0,AK73*Variables!$E$43*Variables!$C$18)</f>
        <v>0</v>
      </c>
      <c r="AM73" s="58">
        <f>AA73*Variables!$E$39*Variables!$C$18</f>
        <v>43124243.009723693</v>
      </c>
      <c r="AN73" s="1"/>
      <c r="AO73" s="76">
        <f t="shared" si="16"/>
        <v>0.67714285714285716</v>
      </c>
      <c r="AP73" s="76">
        <f t="shared" si="6"/>
        <v>112.00491996410214</v>
      </c>
      <c r="AQ73" s="75">
        <f>VLOOKUP(B73,'Household Information'!$B$2:$E$48,4,FALSE)</f>
        <v>65.935833333333335</v>
      </c>
      <c r="AR73" s="79">
        <f>IF(12*(AP73-Variables!$C$45*AQ73*F73)*(G73/5)&lt;0,0,12*(AP73-Variables!$C$45*AQ73*F73)*(G73/5))</f>
        <v>9171775.3880140986</v>
      </c>
      <c r="AS73" s="1"/>
      <c r="AT73" s="62">
        <v>0</v>
      </c>
      <c r="AU73" s="1"/>
    </row>
    <row r="74" spans="1:47" ht="14.25" customHeight="1">
      <c r="A74" s="1">
        <v>24</v>
      </c>
      <c r="B74" s="3" t="s">
        <v>216</v>
      </c>
      <c r="C74" s="1">
        <v>2020</v>
      </c>
      <c r="D74" s="13">
        <f>VLOOKUP(B74,Population!$B$1:$O$48,4,FALSE)</f>
        <v>78024.090374999985</v>
      </c>
      <c r="E74" s="13" t="str">
        <f t="shared" si="17"/>
        <v>Small</v>
      </c>
      <c r="F74" s="54">
        <f>VLOOKUP(B74,'Household Information'!$B$1:$E$48,2,FALSE)</f>
        <v>2.845682723378673</v>
      </c>
      <c r="G74" s="54">
        <f t="shared" si="0"/>
        <v>27418.408149999992</v>
      </c>
      <c r="H74" s="55">
        <f>IF(D74&gt;Variables!$C$6,H27,H27*(1+Variables!$C$9))</f>
        <v>8.7792145805309083</v>
      </c>
      <c r="I74" s="55"/>
      <c r="J74" s="13">
        <f>H74*Variables!$C$21</f>
        <v>158.02586244955634</v>
      </c>
      <c r="K74" s="13">
        <f t="shared" si="12"/>
        <v>152.97760159685998</v>
      </c>
      <c r="L74" s="54">
        <f t="shared" si="1"/>
        <v>5.0482608526963588</v>
      </c>
      <c r="M74" s="56"/>
      <c r="N74" s="57"/>
      <c r="O74" s="57"/>
      <c r="P74" s="57"/>
      <c r="Q74" s="57"/>
      <c r="R74" s="57"/>
      <c r="S74" s="58">
        <v>0</v>
      </c>
      <c r="T74" s="59">
        <f>$L74*Variables!$C$22/100</f>
        <v>0.27411371145862579</v>
      </c>
      <c r="U74" s="59">
        <f>$L74*Variables!$C$23/100</f>
        <v>0.47969899505259517</v>
      </c>
      <c r="V74" s="59">
        <f>$L74*Variables!$C$24/100</f>
        <v>0.50254180434081397</v>
      </c>
      <c r="W74" s="59">
        <f>$L74*Variables!$C$25/100</f>
        <v>3.6548494861150105</v>
      </c>
      <c r="X74" s="62">
        <f>T74*Variables!$E$26*Variables!$C$18+'Cost Calculations'!U74*Variables!$E$27*Variables!$C$18+'Cost Calculations'!V74*Variables!$E$28*Variables!$C$18+W74*Variables!$E$29*Variables!$C$18</f>
        <v>5738499.3483497798</v>
      </c>
      <c r="Y74" s="58">
        <f>J74*Variables!$E$30</f>
        <v>103506.9399044594</v>
      </c>
      <c r="Z74" s="1"/>
      <c r="AA74" s="245">
        <f>D74*(IF(D74&lt;Variables!$C$7,Variables!$C$38,IF(D74&gt;Variables!$C$6,Variables!$C$36,Variables!$C$37)))</f>
        <v>62.419272299999989</v>
      </c>
      <c r="AB74" s="64">
        <f t="shared" si="13"/>
        <v>61</v>
      </c>
      <c r="AC74" s="66">
        <f t="shared" si="2"/>
        <v>1</v>
      </c>
      <c r="AD74" s="62">
        <f>AC74*Variables!$E$41</f>
        <v>537600</v>
      </c>
      <c r="AE74" s="71">
        <f>ROUND((H74/(3.14*Variables!$C$35^2)),0)</f>
        <v>11</v>
      </c>
      <c r="AF74" s="57">
        <f t="shared" si="14"/>
        <v>11</v>
      </c>
      <c r="AG74" s="57">
        <f t="shared" si="3"/>
        <v>0</v>
      </c>
      <c r="AH74" s="58">
        <f>AG74*Variables!$E$42*Variables!$C$18</f>
        <v>0</v>
      </c>
      <c r="AI74" s="73">
        <f t="shared" si="4"/>
        <v>1</v>
      </c>
      <c r="AJ74" s="66">
        <f t="shared" si="15"/>
        <v>1</v>
      </c>
      <c r="AK74" s="66">
        <f t="shared" si="5"/>
        <v>0</v>
      </c>
      <c r="AL74" s="62">
        <f>IF(AK74*Variables!$E$43*Variables!$C$18&lt;0,0,AK74*Variables!$E$43*Variables!$C$18)</f>
        <v>0</v>
      </c>
      <c r="AM74" s="58">
        <f>AA74*Variables!$E$39*Variables!$C$18</f>
        <v>18042435.134206861</v>
      </c>
      <c r="AN74" s="1"/>
      <c r="AO74" s="76">
        <f t="shared" si="16"/>
        <v>0.67714285714285716</v>
      </c>
      <c r="AP74" s="76">
        <f t="shared" si="6"/>
        <v>115.61602378984207</v>
      </c>
      <c r="AQ74" s="75">
        <f>VLOOKUP(B74,'Household Information'!$B$2:$E$48,4,FALSE)</f>
        <v>65.935833333333335</v>
      </c>
      <c r="AR74" s="79">
        <f>IF(12*(AP74-Variables!$C$45*AQ74*F74)*(G74/5)&lt;0,0,12*(AP74-Variables!$C$45*AQ74*F74)*(G74/5))</f>
        <v>5755967.5586576611</v>
      </c>
      <c r="AS74" s="1"/>
      <c r="AT74" s="62">
        <v>0</v>
      </c>
      <c r="AU74" s="1"/>
    </row>
    <row r="75" spans="1:47" ht="14.25" customHeight="1">
      <c r="A75" s="1">
        <v>25</v>
      </c>
      <c r="B75" s="3" t="s">
        <v>217</v>
      </c>
      <c r="C75" s="1">
        <v>2020</v>
      </c>
      <c r="D75" s="13">
        <f>VLOOKUP(B75,Population!$B$1:$O$48,4,FALSE)</f>
        <v>161685.57194999995</v>
      </c>
      <c r="E75" s="13" t="str">
        <f t="shared" si="17"/>
        <v>Medium</v>
      </c>
      <c r="F75" s="54">
        <f>VLOOKUP(B75,'Household Information'!$B$1:$E$48,2,FALSE)</f>
        <v>2.502264030612245</v>
      </c>
      <c r="G75" s="54">
        <f t="shared" si="0"/>
        <v>64615.711999999978</v>
      </c>
      <c r="H75" s="55">
        <f>IF(D75&gt;Variables!$C$6,H28,H28*(1+Variables!$C$9))</f>
        <v>22.498002944169993</v>
      </c>
      <c r="I75" s="55"/>
      <c r="J75" s="13">
        <f>H75*Variables!$C$21</f>
        <v>404.96405299505989</v>
      </c>
      <c r="K75" s="13">
        <f t="shared" si="12"/>
        <v>404.96405299505989</v>
      </c>
      <c r="L75" s="54">
        <f t="shared" si="1"/>
        <v>0</v>
      </c>
      <c r="M75" s="56"/>
      <c r="N75" s="57"/>
      <c r="O75" s="57"/>
      <c r="P75" s="57"/>
      <c r="Q75" s="57"/>
      <c r="R75" s="57"/>
      <c r="S75" s="58">
        <v>0</v>
      </c>
      <c r="T75" s="59">
        <f>$L75*Variables!$C$22/100</f>
        <v>0</v>
      </c>
      <c r="U75" s="59">
        <f>$L75*Variables!$C$23/100</f>
        <v>0</v>
      </c>
      <c r="V75" s="59">
        <f>$L75*Variables!$C$24/100</f>
        <v>0</v>
      </c>
      <c r="W75" s="59">
        <f>$L75*Variables!$C$25/100</f>
        <v>0</v>
      </c>
      <c r="X75" s="62">
        <f>T75*Variables!$E$26*Variables!$C$18+'Cost Calculations'!U75*Variables!$E$27*Variables!$C$18+'Cost Calculations'!V75*Variables!$E$28*Variables!$C$18+W75*Variables!$E$29*Variables!$C$18</f>
        <v>0</v>
      </c>
      <c r="Y75" s="58">
        <f>J75*Variables!$E$30</f>
        <v>265251.45471176424</v>
      </c>
      <c r="Z75" s="1"/>
      <c r="AA75" s="245">
        <f>D75*(IF(D75&lt;Variables!$C$7,Variables!$C$38,IF(D75&gt;Variables!$C$6,Variables!$C$36,Variables!$C$37)))</f>
        <v>194.02268633999992</v>
      </c>
      <c r="AB75" s="64">
        <f t="shared" si="13"/>
        <v>191</v>
      </c>
      <c r="AC75" s="66">
        <f t="shared" si="2"/>
        <v>3</v>
      </c>
      <c r="AD75" s="62">
        <f>AC75*Variables!$E$41</f>
        <v>1612800</v>
      </c>
      <c r="AE75" s="71">
        <f>ROUND((H75/(3.14*Variables!$C$35^2)),0)</f>
        <v>29</v>
      </c>
      <c r="AF75" s="57">
        <f t="shared" si="14"/>
        <v>29</v>
      </c>
      <c r="AG75" s="57">
        <f t="shared" si="3"/>
        <v>0</v>
      </c>
      <c r="AH75" s="58">
        <f>AG75*Variables!$E$42*Variables!$C$18</f>
        <v>0</v>
      </c>
      <c r="AI75" s="73">
        <f t="shared" si="4"/>
        <v>2</v>
      </c>
      <c r="AJ75" s="66">
        <f t="shared" si="15"/>
        <v>2</v>
      </c>
      <c r="AK75" s="66">
        <f t="shared" si="5"/>
        <v>0</v>
      </c>
      <c r="AL75" s="62">
        <f>IF(AK75*Variables!$E$43*Variables!$C$18&lt;0,0,AK75*Variables!$E$43*Variables!$C$18)</f>
        <v>0</v>
      </c>
      <c r="AM75" s="58">
        <f>AA75*Variables!$E$39*Variables!$C$18</f>
        <v>56082706.572245844</v>
      </c>
      <c r="AN75" s="1"/>
      <c r="AO75" s="76">
        <f t="shared" si="16"/>
        <v>0.67714285714285716</v>
      </c>
      <c r="AP75" s="76">
        <f t="shared" si="6"/>
        <v>101.66341290087463</v>
      </c>
      <c r="AQ75" s="75">
        <f>VLOOKUP(B75,'Household Information'!$B$2:$E$48,4,FALSE)</f>
        <v>65.935833333333335</v>
      </c>
      <c r="AR75" s="79">
        <f>IF(12*(AP75-Variables!$C$45*AQ75*F75)*(G75/5)&lt;0,0,12*(AP75-Variables!$C$45*AQ75*F75)*(G75/5))</f>
        <v>11927814.888636041</v>
      </c>
      <c r="AS75" s="1"/>
      <c r="AT75" s="62">
        <v>0</v>
      </c>
      <c r="AU75" s="1"/>
    </row>
    <row r="76" spans="1:47" ht="14.25" customHeight="1">
      <c r="A76" s="1">
        <v>26</v>
      </c>
      <c r="B76" s="3" t="s">
        <v>219</v>
      </c>
      <c r="C76" s="1">
        <v>2020</v>
      </c>
      <c r="D76" s="13">
        <f>VLOOKUP(B76,Population!$B$1:$O$48,4,FALSE)</f>
        <v>44138.959899999987</v>
      </c>
      <c r="E76" s="13" t="str">
        <f t="shared" si="17"/>
        <v>Small</v>
      </c>
      <c r="F76" s="54">
        <f>VLOOKUP(B76,'Household Information'!$B$1:$E$48,2,FALSE)</f>
        <v>3.6899491861166136</v>
      </c>
      <c r="G76" s="54">
        <f t="shared" si="0"/>
        <v>11961.942474999996</v>
      </c>
      <c r="H76" s="55">
        <f>IF(D76&gt;Variables!$C$6,H29,H29*(1+Variables!$C$9))</f>
        <v>3.8220999999999998</v>
      </c>
      <c r="I76" s="55"/>
      <c r="J76" s="13">
        <f>H76*Variables!$C$21</f>
        <v>68.797799999999995</v>
      </c>
      <c r="K76" s="13">
        <f t="shared" si="12"/>
        <v>66.600000000000009</v>
      </c>
      <c r="L76" s="54">
        <f t="shared" si="1"/>
        <v>2.1977999999999867</v>
      </c>
      <c r="M76" s="56"/>
      <c r="N76" s="57"/>
      <c r="O76" s="57"/>
      <c r="P76" s="57"/>
      <c r="Q76" s="57"/>
      <c r="R76" s="57"/>
      <c r="S76" s="58">
        <v>0</v>
      </c>
      <c r="T76" s="59">
        <f>$L76*Variables!$C$22/100</f>
        <v>0.11933755656108523</v>
      </c>
      <c r="U76" s="59">
        <f>$L76*Variables!$C$23/100</f>
        <v>0.20884072398189918</v>
      </c>
      <c r="V76" s="59">
        <f>$L76*Variables!$C$24/100</f>
        <v>0.21878552036198962</v>
      </c>
      <c r="W76" s="59">
        <f>$L76*Variables!$C$25/100</f>
        <v>1.5911674208144699</v>
      </c>
      <c r="X76" s="62">
        <f>T76*Variables!$E$26*Variables!$C$18+'Cost Calculations'!U76*Variables!$E$27*Variables!$C$18+'Cost Calculations'!V76*Variables!$E$28*Variables!$C$18+W76*Variables!$E$29*Variables!$C$18</f>
        <v>2498300.748676003</v>
      </c>
      <c r="Y76" s="58">
        <f>J76*Variables!$E$30</f>
        <v>45062.558999999994</v>
      </c>
      <c r="Z76" s="1"/>
      <c r="AA76" s="245">
        <f>D76*(IF(D76&lt;Variables!$C$7,Variables!$C$38,IF(D76&gt;Variables!$C$6,Variables!$C$36,Variables!$C$37)))</f>
        <v>22.069479949999995</v>
      </c>
      <c r="AB76" s="64">
        <f t="shared" si="13"/>
        <v>22</v>
      </c>
      <c r="AC76" s="66">
        <f t="shared" si="2"/>
        <v>0</v>
      </c>
      <c r="AD76" s="62">
        <f>AC76*Variables!$E$41</f>
        <v>0</v>
      </c>
      <c r="AE76" s="71">
        <f>ROUND((H76/(3.14*Variables!$C$35^2)),0)</f>
        <v>5</v>
      </c>
      <c r="AF76" s="57">
        <f t="shared" si="14"/>
        <v>5</v>
      </c>
      <c r="AG76" s="57">
        <f t="shared" si="3"/>
        <v>0</v>
      </c>
      <c r="AH76" s="58">
        <f>AG76*Variables!$E$42*Variables!$C$18</f>
        <v>0</v>
      </c>
      <c r="AI76" s="73">
        <f t="shared" si="4"/>
        <v>0</v>
      </c>
      <c r="AJ76" s="66">
        <f t="shared" si="15"/>
        <v>0</v>
      </c>
      <c r="AK76" s="66">
        <f t="shared" si="5"/>
        <v>0</v>
      </c>
      <c r="AL76" s="62">
        <f>IF(AK76*Variables!$E$43*Variables!$C$18&lt;0,0,AK76*Variables!$E$43*Variables!$C$18)</f>
        <v>0</v>
      </c>
      <c r="AM76" s="58">
        <f>AA76*Variables!$E$39*Variables!$C$18</f>
        <v>6379234.2616521325</v>
      </c>
      <c r="AN76" s="1"/>
      <c r="AO76" s="76">
        <f t="shared" si="16"/>
        <v>0.67714285714285716</v>
      </c>
      <c r="AP76" s="76">
        <f t="shared" si="6"/>
        <v>149.91736407593783</v>
      </c>
      <c r="AQ76" s="75">
        <f>VLOOKUP(B76,'Household Information'!$B$2:$E$48,4,FALSE)</f>
        <v>65.935833333333335</v>
      </c>
      <c r="AR76" s="79">
        <f>IF(12*(AP76-Variables!$C$45*AQ76*F76)*(G76/5)&lt;0,0,12*(AP76-Variables!$C$45*AQ76*F76)*(G76/5))</f>
        <v>3256204.8469416881</v>
      </c>
      <c r="AS76" s="1"/>
      <c r="AT76" s="62">
        <v>0</v>
      </c>
      <c r="AU76" s="1"/>
    </row>
    <row r="77" spans="1:47" ht="14.25" customHeight="1">
      <c r="A77" s="1">
        <v>27</v>
      </c>
      <c r="B77" s="3" t="s">
        <v>220</v>
      </c>
      <c r="C77" s="1">
        <v>2020</v>
      </c>
      <c r="D77" s="13">
        <f>VLOOKUP(B77,Population!$B$1:$O$48,4,FALSE)</f>
        <v>8277.8578749999979</v>
      </c>
      <c r="E77" s="13" t="str">
        <f t="shared" si="17"/>
        <v>Small</v>
      </c>
      <c r="F77" s="54">
        <f>VLOOKUP(B77,'Household Information'!$B$1:$E$48,2,FALSE)</f>
        <v>2.667113684852179</v>
      </c>
      <c r="G77" s="54">
        <f t="shared" si="0"/>
        <v>3103.6764281979927</v>
      </c>
      <c r="H77" s="55">
        <f>IF(D77&gt;Variables!$C$6,H30,H30*(1+Variables!$C$9))</f>
        <v>0.6228573768547867</v>
      </c>
      <c r="I77" s="55"/>
      <c r="J77" s="13">
        <f>H77*Variables!$C$21</f>
        <v>11.211432783386162</v>
      </c>
      <c r="K77" s="13">
        <f t="shared" si="12"/>
        <v>10.853274717701996</v>
      </c>
      <c r="L77" s="54">
        <f t="shared" si="1"/>
        <v>0.35815806568416519</v>
      </c>
      <c r="M77" s="56"/>
      <c r="N77" s="57"/>
      <c r="O77" s="57"/>
      <c r="P77" s="57"/>
      <c r="Q77" s="57"/>
      <c r="R77" s="57"/>
      <c r="S77" s="58">
        <v>0</v>
      </c>
      <c r="T77" s="59">
        <f>$L77*Variables!$C$22/100</f>
        <v>1.9447496779230685E-2</v>
      </c>
      <c r="U77" s="59">
        <f>$L77*Variables!$C$23/100</f>
        <v>3.4033119363653705E-2</v>
      </c>
      <c r="V77" s="59">
        <f>$L77*Variables!$C$24/100</f>
        <v>3.5653744095256262E-2</v>
      </c>
      <c r="W77" s="59">
        <f>$L77*Variables!$C$25/100</f>
        <v>0.25929995705640918</v>
      </c>
      <c r="X77" s="62">
        <f>T77*Variables!$E$26*Variables!$C$18+'Cost Calculations'!U77*Variables!$E$27*Variables!$C$18+'Cost Calculations'!V77*Variables!$E$28*Variables!$C$18+W77*Variables!$E$29*Variables!$C$18</f>
        <v>407128.29358590604</v>
      </c>
      <c r="Y77" s="58">
        <f>J77*Variables!$E$30</f>
        <v>7343.4884731179354</v>
      </c>
      <c r="Z77" s="1"/>
      <c r="AA77" s="245">
        <f>D77*(IF(D77&lt;Variables!$C$7,Variables!$C$38,IF(D77&gt;Variables!$C$6,Variables!$C$36,Variables!$C$37)))</f>
        <v>4.1389289374999993</v>
      </c>
      <c r="AB77" s="64">
        <f t="shared" si="13"/>
        <v>78</v>
      </c>
      <c r="AC77" s="66">
        <f t="shared" si="2"/>
        <v>0</v>
      </c>
      <c r="AD77" s="62">
        <f>AC77*Variables!$E$41</f>
        <v>0</v>
      </c>
      <c r="AE77" s="71">
        <f>ROUND((H77/(3.14*Variables!$C$35^2)),0)</f>
        <v>1</v>
      </c>
      <c r="AF77" s="57">
        <f t="shared" si="14"/>
        <v>1</v>
      </c>
      <c r="AG77" s="57">
        <f t="shared" si="3"/>
        <v>0</v>
      </c>
      <c r="AH77" s="58">
        <f>AG77*Variables!$E$42*Variables!$C$18</f>
        <v>0</v>
      </c>
      <c r="AI77" s="73">
        <f t="shared" si="4"/>
        <v>0</v>
      </c>
      <c r="AJ77" s="66">
        <f t="shared" si="15"/>
        <v>0</v>
      </c>
      <c r="AK77" s="66">
        <f t="shared" si="5"/>
        <v>0</v>
      </c>
      <c r="AL77" s="62">
        <f>IF(AK77*Variables!$E$43*Variables!$C$18&lt;0,0,AK77*Variables!$E$43*Variables!$C$18)</f>
        <v>0</v>
      </c>
      <c r="AM77" s="58">
        <f>AA77*Variables!$E$39*Variables!$C$18</f>
        <v>1196366.9893654862</v>
      </c>
      <c r="AN77" s="1"/>
      <c r="AO77" s="76">
        <f t="shared" si="16"/>
        <v>0.67714285714285716</v>
      </c>
      <c r="AP77" s="76">
        <f t="shared" si="6"/>
        <v>108.3610188531371</v>
      </c>
      <c r="AQ77" s="75">
        <f>VLOOKUP(B77,'Household Information'!$B$2:$E$48,4,FALSE)</f>
        <v>65.935833333333335</v>
      </c>
      <c r="AR77" s="79">
        <f>IF(12*(AP77-Variables!$C$45*AQ77*F77)*(G77/5)&lt;0,0,12*(AP77-Variables!$C$45*AQ77*F77)*(G77/5))</f>
        <v>610671.41128691216</v>
      </c>
      <c r="AS77" s="1"/>
      <c r="AT77" s="62">
        <v>0</v>
      </c>
      <c r="AU77" s="1"/>
    </row>
    <row r="78" spans="1:47" ht="14.25" customHeight="1">
      <c r="A78" s="1">
        <v>28</v>
      </c>
      <c r="B78" s="3" t="s">
        <v>221</v>
      </c>
      <c r="C78" s="1">
        <v>2020</v>
      </c>
      <c r="D78" s="13">
        <f>VLOOKUP(B78,Population!$B$1:$O$48,4,FALSE)</f>
        <v>49539.399349999985</v>
      </c>
      <c r="E78" s="13" t="str">
        <f t="shared" si="17"/>
        <v>Small</v>
      </c>
      <c r="F78" s="54">
        <f>VLOOKUP(B78,'Household Information'!$B$1:$E$48,2,FALSE)</f>
        <v>2.5363152064982328</v>
      </c>
      <c r="G78" s="54">
        <f t="shared" si="0"/>
        <v>19532.035774999997</v>
      </c>
      <c r="H78" s="55">
        <f>IF(D78&gt;Variables!$C$6,H31,H31*(1+Variables!$C$9))</f>
        <v>5.3715999999999999</v>
      </c>
      <c r="I78" s="55"/>
      <c r="J78" s="13">
        <f>H78*Variables!$C$21</f>
        <v>96.688800000000001</v>
      </c>
      <c r="K78" s="13">
        <f t="shared" si="12"/>
        <v>124.62</v>
      </c>
      <c r="L78" s="54">
        <f t="shared" si="1"/>
        <v>0</v>
      </c>
      <c r="M78" s="56"/>
      <c r="N78" s="57"/>
      <c r="O78" s="57"/>
      <c r="P78" s="57"/>
      <c r="Q78" s="57"/>
      <c r="R78" s="57"/>
      <c r="S78" s="58">
        <v>0</v>
      </c>
      <c r="T78" s="59">
        <f>$L78*Variables!$C$22/100</f>
        <v>0</v>
      </c>
      <c r="U78" s="59">
        <f>$L78*Variables!$C$23/100</f>
        <v>0</v>
      </c>
      <c r="V78" s="59">
        <f>$L78*Variables!$C$24/100</f>
        <v>0</v>
      </c>
      <c r="W78" s="59">
        <f>$L78*Variables!$C$25/100</f>
        <v>0</v>
      </c>
      <c r="X78" s="62">
        <f>T78*Variables!$E$26*Variables!$C$18+'Cost Calculations'!U78*Variables!$E$27*Variables!$C$18+'Cost Calculations'!V78*Variables!$E$28*Variables!$C$18+W78*Variables!$E$29*Variables!$C$18</f>
        <v>0</v>
      </c>
      <c r="Y78" s="58">
        <f>J78*Variables!$E$30</f>
        <v>63331.163999999997</v>
      </c>
      <c r="Z78" s="1"/>
      <c r="AA78" s="245">
        <f>D78*(IF(D78&lt;Variables!$C$7,Variables!$C$38,IF(D78&gt;Variables!$C$6,Variables!$C$36,Variables!$C$37)))</f>
        <v>24.769699674999995</v>
      </c>
      <c r="AB78" s="64">
        <f t="shared" si="13"/>
        <v>24</v>
      </c>
      <c r="AC78" s="66">
        <f t="shared" si="2"/>
        <v>1</v>
      </c>
      <c r="AD78" s="62">
        <f>AC78*Variables!$E$41</f>
        <v>537600</v>
      </c>
      <c r="AE78" s="71">
        <f>ROUND((H78/(3.14*Variables!$C$35^2)),0)</f>
        <v>7</v>
      </c>
      <c r="AF78" s="57">
        <f t="shared" si="14"/>
        <v>7</v>
      </c>
      <c r="AG78" s="57">
        <f t="shared" si="3"/>
        <v>0</v>
      </c>
      <c r="AH78" s="58">
        <f>AG78*Variables!$E$42*Variables!$C$18</f>
        <v>0</v>
      </c>
      <c r="AI78" s="73">
        <f t="shared" si="4"/>
        <v>0</v>
      </c>
      <c r="AJ78" s="66">
        <f t="shared" si="15"/>
        <v>0</v>
      </c>
      <c r="AK78" s="66">
        <f t="shared" si="5"/>
        <v>0</v>
      </c>
      <c r="AL78" s="62">
        <f>IF(AK78*Variables!$E$43*Variables!$C$18&lt;0,0,AK78*Variables!$E$43*Variables!$C$18)</f>
        <v>0</v>
      </c>
      <c r="AM78" s="58">
        <f>AA78*Variables!$E$39*Variables!$C$18</f>
        <v>7159739.0231025219</v>
      </c>
      <c r="AN78" s="1"/>
      <c r="AO78" s="76">
        <f t="shared" si="16"/>
        <v>0.67714285714285716</v>
      </c>
      <c r="AP78" s="76">
        <f t="shared" si="6"/>
        <v>103.04686353258533</v>
      </c>
      <c r="AQ78" s="75">
        <f>VLOOKUP(B78,'Household Information'!$B$2:$E$48,4,FALSE)</f>
        <v>65.935833333333335</v>
      </c>
      <c r="AR78" s="79">
        <f>IF(12*(AP78-Variables!$C$45*AQ78*F78)*(G78/5)&lt;0,0,12*(AP78-Variables!$C$45*AQ78*F78)*(G78/5))</f>
        <v>3654604.2916169832</v>
      </c>
      <c r="AS78" s="1"/>
      <c r="AT78" s="62">
        <v>0</v>
      </c>
      <c r="AU78" s="1"/>
    </row>
    <row r="79" spans="1:47" ht="14.25" customHeight="1">
      <c r="A79" s="1">
        <v>29</v>
      </c>
      <c r="B79" s="3" t="s">
        <v>222</v>
      </c>
      <c r="C79" s="1">
        <v>2020</v>
      </c>
      <c r="D79" s="13">
        <f>VLOOKUP(B79,Population!$B$1:$O$48,4,FALSE)</f>
        <v>49885.554949999983</v>
      </c>
      <c r="E79" s="13" t="str">
        <f t="shared" si="17"/>
        <v>Small</v>
      </c>
      <c r="F79" s="54">
        <f>VLOOKUP(B79,'Household Information'!$B$1:$E$48,2,FALSE)</f>
        <v>2.6066968130921619</v>
      </c>
      <c r="G79" s="54">
        <f t="shared" si="0"/>
        <v>19137.459599999995</v>
      </c>
      <c r="H79" s="55">
        <f>IF(D79&gt;Variables!$C$6,H32,H32*(1+Variables!$C$9))</f>
        <v>3.3882399999999997</v>
      </c>
      <c r="I79" s="55"/>
      <c r="J79" s="13">
        <f>H79*Variables!$C$21</f>
        <v>60.988319999999995</v>
      </c>
      <c r="K79" s="13">
        <f t="shared" si="12"/>
        <v>69.7</v>
      </c>
      <c r="L79" s="54">
        <f t="shared" si="1"/>
        <v>0</v>
      </c>
      <c r="M79" s="56"/>
      <c r="N79" s="57"/>
      <c r="O79" s="57"/>
      <c r="P79" s="57"/>
      <c r="Q79" s="57"/>
      <c r="R79" s="57"/>
      <c r="S79" s="58">
        <v>0</v>
      </c>
      <c r="T79" s="59">
        <f>$L79*Variables!$C$22/100</f>
        <v>0</v>
      </c>
      <c r="U79" s="59">
        <f>$L79*Variables!$C$23/100</f>
        <v>0</v>
      </c>
      <c r="V79" s="59">
        <f>$L79*Variables!$C$24/100</f>
        <v>0</v>
      </c>
      <c r="W79" s="59">
        <f>$L79*Variables!$C$25/100</f>
        <v>0</v>
      </c>
      <c r="X79" s="62">
        <f>T79*Variables!$E$26*Variables!$C$18+'Cost Calculations'!U79*Variables!$E$27*Variables!$C$18+'Cost Calculations'!V79*Variables!$E$28*Variables!$C$18+W79*Variables!$E$29*Variables!$C$18</f>
        <v>0</v>
      </c>
      <c r="Y79" s="58">
        <f>J79*Variables!$E$30</f>
        <v>39947.349599999994</v>
      </c>
      <c r="Z79" s="1"/>
      <c r="AA79" s="245">
        <f>D79*(IF(D79&lt;Variables!$C$7,Variables!$C$38,IF(D79&gt;Variables!$C$6,Variables!$C$36,Variables!$C$37)))</f>
        <v>24.942777474999993</v>
      </c>
      <c r="AB79" s="64">
        <f t="shared" si="13"/>
        <v>25</v>
      </c>
      <c r="AC79" s="66">
        <f t="shared" si="2"/>
        <v>0</v>
      </c>
      <c r="AD79" s="62">
        <f>AC79*Variables!$E$41</f>
        <v>0</v>
      </c>
      <c r="AE79" s="71">
        <f>ROUND((H79/(3.14*Variables!$C$35^2)),0)</f>
        <v>4</v>
      </c>
      <c r="AF79" s="57">
        <f t="shared" si="14"/>
        <v>4</v>
      </c>
      <c r="AG79" s="57">
        <f t="shared" si="3"/>
        <v>0</v>
      </c>
      <c r="AH79" s="58">
        <f>AG79*Variables!$E$42*Variables!$C$18</f>
        <v>0</v>
      </c>
      <c r="AI79" s="73">
        <f t="shared" si="4"/>
        <v>0</v>
      </c>
      <c r="AJ79" s="66">
        <f t="shared" si="15"/>
        <v>0</v>
      </c>
      <c r="AK79" s="66">
        <f t="shared" si="5"/>
        <v>0</v>
      </c>
      <c r="AL79" s="62">
        <f>IF(AK79*Variables!$E$43*Variables!$C$18&lt;0,0,AK79*Variables!$E$43*Variables!$C$18)</f>
        <v>0</v>
      </c>
      <c r="AM79" s="58">
        <f>AA79*Variables!$E$39*Variables!$C$18</f>
        <v>7209767.5617990745</v>
      </c>
      <c r="AN79" s="1"/>
      <c r="AO79" s="76">
        <f t="shared" si="16"/>
        <v>0.67714285714285716</v>
      </c>
      <c r="AP79" s="76">
        <f t="shared" si="6"/>
        <v>105.9063676633444</v>
      </c>
      <c r="AQ79" s="75">
        <f>VLOOKUP(B79,'Household Information'!$B$2:$E$48,4,FALSE)</f>
        <v>65.935833333333335</v>
      </c>
      <c r="AR79" s="79">
        <f>IF(12*(AP79-Variables!$C$45*AQ79*F79)*(G79/5)&lt;0,0,12*(AP79-Variables!$C$45*AQ79*F79)*(G79/5))</f>
        <v>3680140.7688033441</v>
      </c>
      <c r="AS79" s="1"/>
      <c r="AT79" s="62">
        <v>0</v>
      </c>
      <c r="AU79" s="1"/>
    </row>
    <row r="80" spans="1:47" ht="14.25" customHeight="1">
      <c r="A80" s="1">
        <v>30</v>
      </c>
      <c r="B80" s="3" t="s">
        <v>223</v>
      </c>
      <c r="C80" s="1">
        <v>2020</v>
      </c>
      <c r="D80" s="13">
        <f>VLOOKUP(B80,Population!$B$1:$O$48,4,FALSE)</f>
        <v>20386.092299999993</v>
      </c>
      <c r="E80" s="13" t="str">
        <f t="shared" si="17"/>
        <v>Small</v>
      </c>
      <c r="F80" s="54">
        <f>VLOOKUP(B80,'Household Information'!$B$1:$E$48,2,FALSE)</f>
        <v>2.8820273812991553</v>
      </c>
      <c r="G80" s="54">
        <f t="shared" si="0"/>
        <v>7073.524849999998</v>
      </c>
      <c r="H80" s="55">
        <f>IF(D80&gt;Variables!$C$6,H33,H33*(1+Variables!$C$9))</f>
        <v>3.5121999999999995</v>
      </c>
      <c r="I80" s="55"/>
      <c r="J80" s="13">
        <f>H80*Variables!$C$21</f>
        <v>63.219599999999993</v>
      </c>
      <c r="K80" s="13">
        <f t="shared" si="12"/>
        <v>76.2</v>
      </c>
      <c r="L80" s="54">
        <f t="shared" si="1"/>
        <v>0</v>
      </c>
      <c r="M80" s="56"/>
      <c r="N80" s="57"/>
      <c r="O80" s="57"/>
      <c r="P80" s="57"/>
      <c r="Q80" s="57"/>
      <c r="R80" s="57"/>
      <c r="S80" s="58">
        <v>0</v>
      </c>
      <c r="T80" s="59">
        <f>$L80*Variables!$C$22/100</f>
        <v>0</v>
      </c>
      <c r="U80" s="59">
        <f>$L80*Variables!$C$23/100</f>
        <v>0</v>
      </c>
      <c r="V80" s="59">
        <f>$L80*Variables!$C$24/100</f>
        <v>0</v>
      </c>
      <c r="W80" s="59">
        <f>$L80*Variables!$C$25/100</f>
        <v>0</v>
      </c>
      <c r="X80" s="62">
        <f>T80*Variables!$E$26*Variables!$C$18+'Cost Calculations'!U80*Variables!$E$27*Variables!$C$18+'Cost Calculations'!V80*Variables!$E$28*Variables!$C$18+W80*Variables!$E$29*Variables!$C$18</f>
        <v>0</v>
      </c>
      <c r="Y80" s="58">
        <f>J80*Variables!$E$30</f>
        <v>41408.837999999996</v>
      </c>
      <c r="Z80" s="1"/>
      <c r="AA80" s="245">
        <f>D80*(IF(D80&lt;Variables!$C$7,Variables!$C$38,IF(D80&gt;Variables!$C$6,Variables!$C$36,Variables!$C$37)))</f>
        <v>10.193046149999997</v>
      </c>
      <c r="AB80" s="64">
        <f t="shared" si="13"/>
        <v>10</v>
      </c>
      <c r="AC80" s="66">
        <f t="shared" si="2"/>
        <v>0</v>
      </c>
      <c r="AD80" s="62">
        <f>AC80*Variables!$E$41</f>
        <v>0</v>
      </c>
      <c r="AE80" s="71">
        <f>ROUND((H80/(3.14*Variables!$C$35^2)),0)</f>
        <v>4</v>
      </c>
      <c r="AF80" s="57">
        <f t="shared" si="14"/>
        <v>4</v>
      </c>
      <c r="AG80" s="57">
        <f t="shared" si="3"/>
        <v>0</v>
      </c>
      <c r="AH80" s="58">
        <f>AG80*Variables!$E$42*Variables!$C$18</f>
        <v>0</v>
      </c>
      <c r="AI80" s="73">
        <f t="shared" si="4"/>
        <v>0</v>
      </c>
      <c r="AJ80" s="66">
        <f t="shared" si="15"/>
        <v>0</v>
      </c>
      <c r="AK80" s="66">
        <f t="shared" si="5"/>
        <v>0</v>
      </c>
      <c r="AL80" s="62">
        <f>IF(AK80*Variables!$E$43*Variables!$C$18&lt;0,0,AK80*Variables!$E$43*Variables!$C$18)</f>
        <v>0</v>
      </c>
      <c r="AM80" s="58">
        <f>AA80*Variables!$E$39*Variables!$C$18</f>
        <v>2946323.5825219955</v>
      </c>
      <c r="AN80" s="1"/>
      <c r="AO80" s="76">
        <f t="shared" si="16"/>
        <v>0.67714285714285716</v>
      </c>
      <c r="AP80" s="76">
        <f t="shared" si="6"/>
        <v>117.09265532021139</v>
      </c>
      <c r="AQ80" s="75">
        <f>VLOOKUP(B80,'Household Information'!$B$2:$E$48,4,FALSE)</f>
        <v>65.935833333333335</v>
      </c>
      <c r="AR80" s="79">
        <f>IF(12*(AP80-Variables!$C$45*AQ80*F80)*(G80/5)&lt;0,0,12*(AP80-Variables!$C$45*AQ80*F80)*(G80/5))</f>
        <v>1503916.1028681295</v>
      </c>
      <c r="AS80" s="1"/>
      <c r="AT80" s="62">
        <v>0</v>
      </c>
      <c r="AU80" s="1"/>
    </row>
    <row r="81" spans="1:47" ht="14.25" customHeight="1">
      <c r="A81" s="1">
        <v>31</v>
      </c>
      <c r="B81" s="3" t="s">
        <v>224</v>
      </c>
      <c r="C81" s="1">
        <v>2020</v>
      </c>
      <c r="D81" s="13">
        <f>VLOOKUP(B81,Population!$B$1:$O$48,4,FALSE)</f>
        <v>31013.89339999999</v>
      </c>
      <c r="E81" s="13" t="str">
        <f t="shared" si="17"/>
        <v>Small</v>
      </c>
      <c r="F81" s="54">
        <f>VLOOKUP(B81,'Household Information'!$B$1:$E$48,2,FALSE)</f>
        <v>3.407</v>
      </c>
      <c r="G81" s="54">
        <f t="shared" si="0"/>
        <v>9102.9918990314036</v>
      </c>
      <c r="H81" s="55">
        <f>IF(D81&gt;Variables!$C$6,H34,H34*(1+Variables!$C$9))</f>
        <v>3.7497899999999995</v>
      </c>
      <c r="I81" s="55"/>
      <c r="J81" s="13">
        <f>H81*Variables!$C$21</f>
        <v>67.496219999999994</v>
      </c>
      <c r="K81" s="13">
        <f t="shared" si="12"/>
        <v>83</v>
      </c>
      <c r="L81" s="54">
        <f t="shared" si="1"/>
        <v>0</v>
      </c>
      <c r="M81" s="56"/>
      <c r="N81" s="57"/>
      <c r="O81" s="57"/>
      <c r="P81" s="57"/>
      <c r="Q81" s="57"/>
      <c r="R81" s="57"/>
      <c r="S81" s="58">
        <v>0</v>
      </c>
      <c r="T81" s="59">
        <f>$L81*Variables!$C$22/100</f>
        <v>0</v>
      </c>
      <c r="U81" s="59">
        <f>$L81*Variables!$C$23/100</f>
        <v>0</v>
      </c>
      <c r="V81" s="59">
        <f>$L81*Variables!$C$24/100</f>
        <v>0</v>
      </c>
      <c r="W81" s="59">
        <f>$L81*Variables!$C$25/100</f>
        <v>0</v>
      </c>
      <c r="X81" s="62">
        <f>T81*Variables!$E$26*Variables!$C$18+'Cost Calculations'!U81*Variables!$E$27*Variables!$C$18+'Cost Calculations'!V81*Variables!$E$28*Variables!$C$18+W81*Variables!$E$29*Variables!$C$18</f>
        <v>0</v>
      </c>
      <c r="Y81" s="58">
        <f>J81*Variables!$E$30</f>
        <v>44210.024099999995</v>
      </c>
      <c r="Z81" s="1"/>
      <c r="AA81" s="245">
        <f>D81*(IF(D81&lt;Variables!$C$7,Variables!$C$38,IF(D81&gt;Variables!$C$6,Variables!$C$36,Variables!$C$37)))</f>
        <v>15.506946699999995</v>
      </c>
      <c r="AB81" s="64">
        <f t="shared" si="13"/>
        <v>15</v>
      </c>
      <c r="AC81" s="66">
        <f t="shared" si="2"/>
        <v>1</v>
      </c>
      <c r="AD81" s="62">
        <f>AC81*Variables!$E$41</f>
        <v>537600</v>
      </c>
      <c r="AE81" s="71">
        <f>ROUND((H81/(3.14*Variables!$C$35^2)),0)</f>
        <v>5</v>
      </c>
      <c r="AF81" s="57">
        <f t="shared" si="14"/>
        <v>5</v>
      </c>
      <c r="AG81" s="57">
        <f t="shared" si="3"/>
        <v>0</v>
      </c>
      <c r="AH81" s="58">
        <f>AG81*Variables!$E$42*Variables!$C$18</f>
        <v>0</v>
      </c>
      <c r="AI81" s="73">
        <f t="shared" si="4"/>
        <v>0</v>
      </c>
      <c r="AJ81" s="66">
        <f t="shared" si="15"/>
        <v>0</v>
      </c>
      <c r="AK81" s="66">
        <f t="shared" si="5"/>
        <v>0</v>
      </c>
      <c r="AL81" s="62">
        <f>IF(AK81*Variables!$E$43*Variables!$C$18&lt;0,0,AK81*Variables!$E$43*Variables!$C$18)</f>
        <v>0</v>
      </c>
      <c r="AM81" s="58">
        <f>AA81*Variables!$E$39*Variables!$C$18</f>
        <v>4482318.8360744976</v>
      </c>
      <c r="AN81" s="1"/>
      <c r="AO81" s="76">
        <f t="shared" si="16"/>
        <v>0.67714285714285716</v>
      </c>
      <c r="AP81" s="76">
        <f t="shared" si="6"/>
        <v>138.42154285714284</v>
      </c>
      <c r="AQ81" s="75">
        <f>VLOOKUP(B81,'Household Information'!$B$2:$E$48,4,FALSE)</f>
        <v>65.935833333333335</v>
      </c>
      <c r="AR81" s="79">
        <f>IF(12*(AP81-Variables!$C$45*AQ81*F81)*(G81/5)&lt;0,0,12*(AP81-Variables!$C$45*AQ81*F81)*(G81/5))</f>
        <v>2287946.7536255387</v>
      </c>
      <c r="AS81" s="1"/>
      <c r="AT81" s="62">
        <v>0</v>
      </c>
      <c r="AU81" s="1"/>
    </row>
    <row r="82" spans="1:47" ht="14.25" customHeight="1">
      <c r="A82" s="1">
        <v>32</v>
      </c>
      <c r="B82" s="3" t="s">
        <v>225</v>
      </c>
      <c r="C82" s="1">
        <v>2020</v>
      </c>
      <c r="D82" s="13">
        <f>VLOOKUP(B82,Population!$B$1:$O$48,4,FALSE)</f>
        <v>28546.504524999993</v>
      </c>
      <c r="E82" s="13" t="str">
        <f t="shared" si="17"/>
        <v>Small</v>
      </c>
      <c r="F82" s="54">
        <f>VLOOKUP(B82,'Household Information'!$B$1:$E$48,2,FALSE)</f>
        <v>4.9791554357592096</v>
      </c>
      <c r="G82" s="54">
        <f t="shared" si="0"/>
        <v>5733.202124999998</v>
      </c>
      <c r="H82" s="55">
        <f>IF(D82&gt;Variables!$C$6,H35,H35*(1+Variables!$C$9))</f>
        <v>3.2022999999999997</v>
      </c>
      <c r="I82" s="55"/>
      <c r="J82" s="13">
        <f>H82*Variables!$C$21</f>
        <v>57.641399999999997</v>
      </c>
      <c r="K82" s="13">
        <f t="shared" si="12"/>
        <v>55.800000000000004</v>
      </c>
      <c r="L82" s="54">
        <f t="shared" si="1"/>
        <v>1.841399999999993</v>
      </c>
      <c r="M82" s="56"/>
      <c r="N82" s="57"/>
      <c r="O82" s="57"/>
      <c r="P82" s="57"/>
      <c r="Q82" s="57"/>
      <c r="R82" s="57"/>
      <c r="S82" s="58">
        <v>0</v>
      </c>
      <c r="T82" s="59">
        <f>$L82*Variables!$C$22/100</f>
        <v>9.9985520361990557E-2</v>
      </c>
      <c r="U82" s="59">
        <f>$L82*Variables!$C$23/100</f>
        <v>0.17497466063348352</v>
      </c>
      <c r="V82" s="59">
        <f>$L82*Variables!$C$24/100</f>
        <v>0.18330678733031605</v>
      </c>
      <c r="W82" s="59">
        <f>$L82*Variables!$C$25/100</f>
        <v>1.3331402714932077</v>
      </c>
      <c r="X82" s="62">
        <f>T82*Variables!$E$26*Variables!$C$18+'Cost Calculations'!U82*Variables!$E$27*Variables!$C$18+'Cost Calculations'!V82*Variables!$E$28*Variables!$C$18+W82*Variables!$E$29*Variables!$C$18</f>
        <v>2093170.8975393586</v>
      </c>
      <c r="Y82" s="58">
        <f>J82*Variables!$E$30</f>
        <v>37755.116999999998</v>
      </c>
      <c r="Z82" s="1"/>
      <c r="AA82" s="245">
        <f>D82*(IF(D82&lt;Variables!$C$7,Variables!$C$38,IF(D82&gt;Variables!$C$6,Variables!$C$36,Variables!$C$37)))</f>
        <v>14.273252262499996</v>
      </c>
      <c r="AB82" s="64">
        <f t="shared" si="13"/>
        <v>14</v>
      </c>
      <c r="AC82" s="66">
        <f t="shared" si="2"/>
        <v>0</v>
      </c>
      <c r="AD82" s="62">
        <f>AC82*Variables!$E$41</f>
        <v>0</v>
      </c>
      <c r="AE82" s="71">
        <f>ROUND((H82/(3.14*Variables!$C$35^2)),0)</f>
        <v>4</v>
      </c>
      <c r="AF82" s="57">
        <f t="shared" si="14"/>
        <v>4</v>
      </c>
      <c r="AG82" s="57">
        <f t="shared" si="3"/>
        <v>0</v>
      </c>
      <c r="AH82" s="58">
        <f>AG82*Variables!$E$42*Variables!$C$18</f>
        <v>0</v>
      </c>
      <c r="AI82" s="73">
        <f t="shared" si="4"/>
        <v>0</v>
      </c>
      <c r="AJ82" s="66">
        <f t="shared" si="15"/>
        <v>1</v>
      </c>
      <c r="AK82" s="66">
        <f t="shared" si="5"/>
        <v>0</v>
      </c>
      <c r="AL82" s="62">
        <f>IF(AK82*Variables!$E$43*Variables!$C$18&lt;0,0,AK82*Variables!$E$43*Variables!$C$18)</f>
        <v>0</v>
      </c>
      <c r="AM82" s="58">
        <f>AA82*Variables!$E$39*Variables!$C$18</f>
        <v>4125716.603401151</v>
      </c>
      <c r="AN82" s="1"/>
      <c r="AO82" s="76">
        <f t="shared" si="16"/>
        <v>0.67714285714285716</v>
      </c>
      <c r="AP82" s="76">
        <f t="shared" si="6"/>
        <v>202.29597227570272</v>
      </c>
      <c r="AQ82" s="75">
        <f>VLOOKUP(B82,'Household Information'!$B$2:$E$48,4,FALSE)</f>
        <v>65.935833333333335</v>
      </c>
      <c r="AR82" s="79">
        <f>IF(12*(AP82-Variables!$C$45*AQ82*F82)*(G82/5)&lt;0,0,12*(AP82-Variables!$C$45*AQ82*F82)*(G82/5))</f>
        <v>2105923.3522525267</v>
      </c>
      <c r="AS82" s="1"/>
      <c r="AT82" s="62">
        <v>0</v>
      </c>
      <c r="AU82" s="1"/>
    </row>
    <row r="83" spans="1:47" ht="14.25" customHeight="1">
      <c r="A83" s="1">
        <v>33</v>
      </c>
      <c r="B83" s="3" t="s">
        <v>226</v>
      </c>
      <c r="C83" s="1">
        <v>2020</v>
      </c>
      <c r="D83" s="13">
        <f>VLOOKUP(B83,Population!$B$1:$O$48,4,FALSE)</f>
        <v>122393.82067499997</v>
      </c>
      <c r="E83" s="13" t="str">
        <f t="shared" si="17"/>
        <v>Medium</v>
      </c>
      <c r="F83" s="54">
        <f>VLOOKUP(B83,'Household Information'!$B$1:$E$48,2,FALSE)</f>
        <v>2.6362587373793409</v>
      </c>
      <c r="G83" s="54">
        <f t="shared" si="0"/>
        <v>46427.089624999986</v>
      </c>
      <c r="H83" s="55">
        <f>IF(D83&gt;Variables!$C$6,H36,H36*(1+Variables!$C$9))</f>
        <v>12.015102013299996</v>
      </c>
      <c r="I83" s="55"/>
      <c r="J83" s="13">
        <f>H83*Variables!$C$21</f>
        <v>216.27183623939993</v>
      </c>
      <c r="K83" s="13">
        <f t="shared" si="12"/>
        <v>216.27183623939993</v>
      </c>
      <c r="L83" s="54">
        <f t="shared" si="1"/>
        <v>0</v>
      </c>
      <c r="M83" s="56"/>
      <c r="N83" s="57"/>
      <c r="O83" s="57"/>
      <c r="P83" s="57"/>
      <c r="Q83" s="57"/>
      <c r="R83" s="57"/>
      <c r="S83" s="58">
        <v>0</v>
      </c>
      <c r="T83" s="59">
        <f>$L83*Variables!$C$22/100</f>
        <v>0</v>
      </c>
      <c r="U83" s="59">
        <f>$L83*Variables!$C$23/100</f>
        <v>0</v>
      </c>
      <c r="V83" s="59">
        <f>$L83*Variables!$C$24/100</f>
        <v>0</v>
      </c>
      <c r="W83" s="59">
        <f>$L83*Variables!$C$25/100</f>
        <v>0</v>
      </c>
      <c r="X83" s="62">
        <f>T83*Variables!$E$26*Variables!$C$18+'Cost Calculations'!U83*Variables!$E$27*Variables!$C$18+'Cost Calculations'!V83*Variables!$E$28*Variables!$C$18+W83*Variables!$E$29*Variables!$C$18</f>
        <v>0</v>
      </c>
      <c r="Y83" s="58">
        <f>J83*Variables!$E$30</f>
        <v>141658.05273680695</v>
      </c>
      <c r="Z83" s="1"/>
      <c r="AA83" s="245">
        <f>D83*(IF(D83&lt;Variables!$C$7,Variables!$C$38,IF(D83&gt;Variables!$C$6,Variables!$C$36,Variables!$C$37)))</f>
        <v>146.87258480999995</v>
      </c>
      <c r="AB83" s="64">
        <f t="shared" si="13"/>
        <v>145</v>
      </c>
      <c r="AC83" s="66">
        <f t="shared" si="2"/>
        <v>2</v>
      </c>
      <c r="AD83" s="62">
        <f>AC83*Variables!$E$41</f>
        <v>1075200</v>
      </c>
      <c r="AE83" s="71">
        <f>ROUND((H83/(3.14*Variables!$C$35^2)),0)</f>
        <v>15</v>
      </c>
      <c r="AF83" s="57">
        <f t="shared" si="14"/>
        <v>15</v>
      </c>
      <c r="AG83" s="57">
        <f t="shared" si="3"/>
        <v>0</v>
      </c>
      <c r="AH83" s="58">
        <f>AG83*Variables!$E$42*Variables!$C$18</f>
        <v>0</v>
      </c>
      <c r="AI83" s="73">
        <f t="shared" si="4"/>
        <v>1</v>
      </c>
      <c r="AJ83" s="66">
        <f t="shared" si="15"/>
        <v>1</v>
      </c>
      <c r="AK83" s="66">
        <f t="shared" si="5"/>
        <v>0</v>
      </c>
      <c r="AL83" s="62">
        <f>IF(AK83*Variables!$E$43*Variables!$C$18&lt;0,0,AK83*Variables!$E$43*Variables!$C$18)</f>
        <v>0</v>
      </c>
      <c r="AM83" s="58">
        <f>AA83*Variables!$E$39*Variables!$C$18</f>
        <v>42453860.591189891</v>
      </c>
      <c r="AN83" s="1"/>
      <c r="AO83" s="76">
        <f t="shared" si="16"/>
        <v>0.67714285714285716</v>
      </c>
      <c r="AP83" s="76">
        <f t="shared" si="6"/>
        <v>107.10742641581207</v>
      </c>
      <c r="AQ83" s="75">
        <f>VLOOKUP(B83,'Household Information'!$B$2:$E$48,4,FALSE)</f>
        <v>40.760000000000005</v>
      </c>
      <c r="AR83" s="79">
        <f>IF(12*(AP83-Variables!$C$45*AQ83*F83)*(G83/5)&lt;0,0,12*(AP83-Variables!$C$45*AQ83*F83)*(G83/5))</f>
        <v>10138488.638647316</v>
      </c>
      <c r="AS83" s="1"/>
      <c r="AT83" s="62">
        <v>0</v>
      </c>
      <c r="AU83" s="1"/>
    </row>
    <row r="84" spans="1:47" ht="14.25" customHeight="1">
      <c r="A84" s="1">
        <v>34</v>
      </c>
      <c r="B84" s="3" t="s">
        <v>227</v>
      </c>
      <c r="C84" s="1">
        <v>2020</v>
      </c>
      <c r="D84" s="13">
        <f>VLOOKUP(B84,Population!$B$1:$O$48,4,FALSE)</f>
        <v>108706.25132499998</v>
      </c>
      <c r="E84" s="13" t="str">
        <f t="shared" si="17"/>
        <v>Medium</v>
      </c>
      <c r="F84" s="54">
        <f>VLOOKUP(B84,'Household Information'!$B$1:$E$48,2,FALSE)</f>
        <v>2.8808529227072923</v>
      </c>
      <c r="G84" s="54">
        <f t="shared" si="0"/>
        <v>37734.051074999996</v>
      </c>
      <c r="H84" s="55">
        <f>IF(D84&gt;Variables!$C$6,H37,H37*(1+Variables!$C$9))</f>
        <v>8.2342029393899967</v>
      </c>
      <c r="I84" s="55"/>
      <c r="J84" s="13">
        <f>H84*Variables!$C$21</f>
        <v>148.21565290901995</v>
      </c>
      <c r="K84" s="13">
        <f t="shared" si="12"/>
        <v>148.21565290901995</v>
      </c>
      <c r="L84" s="54">
        <f t="shared" si="1"/>
        <v>0</v>
      </c>
      <c r="M84" s="56"/>
      <c r="N84" s="57"/>
      <c r="O84" s="57"/>
      <c r="P84" s="57"/>
      <c r="Q84" s="57"/>
      <c r="R84" s="57"/>
      <c r="S84" s="58">
        <v>0</v>
      </c>
      <c r="T84" s="59">
        <f>$L84*Variables!$C$22/100</f>
        <v>0</v>
      </c>
      <c r="U84" s="59">
        <f>$L84*Variables!$C$23/100</f>
        <v>0</v>
      </c>
      <c r="V84" s="59">
        <f>$L84*Variables!$C$24/100</f>
        <v>0</v>
      </c>
      <c r="W84" s="59">
        <f>$L84*Variables!$C$25/100</f>
        <v>0</v>
      </c>
      <c r="X84" s="62">
        <f>T84*Variables!$E$26*Variables!$C$18+'Cost Calculations'!U84*Variables!$E$27*Variables!$C$18+'Cost Calculations'!V84*Variables!$E$28*Variables!$C$18+W84*Variables!$E$29*Variables!$C$18</f>
        <v>0</v>
      </c>
      <c r="Y84" s="58">
        <f>J84*Variables!$E$30</f>
        <v>97081.252655408069</v>
      </c>
      <c r="Z84" s="1"/>
      <c r="AA84" s="245">
        <f>D84*(IF(D84&lt;Variables!$C$7,Variables!$C$38,IF(D84&gt;Variables!$C$6,Variables!$C$36,Variables!$C$37)))</f>
        <v>130.44750158999997</v>
      </c>
      <c r="AB84" s="64">
        <f t="shared" si="13"/>
        <v>129</v>
      </c>
      <c r="AC84" s="66">
        <f t="shared" si="2"/>
        <v>1</v>
      </c>
      <c r="AD84" s="62">
        <f>AC84*Variables!$E$41</f>
        <v>537600</v>
      </c>
      <c r="AE84" s="71">
        <f>ROUND((H84/(3.14*Variables!$C$35^2)),0)</f>
        <v>10</v>
      </c>
      <c r="AF84" s="57">
        <f t="shared" si="14"/>
        <v>10</v>
      </c>
      <c r="AG84" s="57">
        <f t="shared" si="3"/>
        <v>0</v>
      </c>
      <c r="AH84" s="58">
        <f>AG84*Variables!$E$42*Variables!$C$18</f>
        <v>0</v>
      </c>
      <c r="AI84" s="73">
        <f t="shared" si="4"/>
        <v>1</v>
      </c>
      <c r="AJ84" s="66">
        <f t="shared" si="15"/>
        <v>1</v>
      </c>
      <c r="AK84" s="66">
        <f t="shared" si="5"/>
        <v>0</v>
      </c>
      <c r="AL84" s="62">
        <f>IF(AK84*Variables!$E$43*Variables!$C$18&lt;0,0,AK84*Variables!$E$43*Variables!$C$18)</f>
        <v>0</v>
      </c>
      <c r="AM84" s="58">
        <f>AA84*Variables!$E$39*Variables!$C$18</f>
        <v>37706152.268887013</v>
      </c>
      <c r="AN84" s="1"/>
      <c r="AO84" s="76">
        <f t="shared" si="16"/>
        <v>0.67714285714285716</v>
      </c>
      <c r="AP84" s="76">
        <f t="shared" si="6"/>
        <v>117.04493874542199</v>
      </c>
      <c r="AQ84" s="75">
        <f>VLOOKUP(B84,'Household Information'!$B$2:$E$48,4,FALSE)</f>
        <v>40.760000000000005</v>
      </c>
      <c r="AR84" s="79">
        <f>IF(12*(AP84-Variables!$C$45*AQ84*F84)*(G84/5)&lt;0,0,12*(AP84-Variables!$C$45*AQ84*F84)*(G84/5))</f>
        <v>9004679.2226134781</v>
      </c>
      <c r="AS84" s="1"/>
      <c r="AT84" s="62">
        <v>0</v>
      </c>
      <c r="AU84" s="1"/>
    </row>
    <row r="85" spans="1:47" ht="14.25" customHeight="1">
      <c r="A85" s="1">
        <v>35</v>
      </c>
      <c r="B85" s="3" t="s">
        <v>228</v>
      </c>
      <c r="C85" s="1">
        <v>2020</v>
      </c>
      <c r="D85" s="13">
        <f>VLOOKUP(B85,Population!$B$1:$O$48,4,FALSE)</f>
        <v>496466.45772499987</v>
      </c>
      <c r="E85" s="13" t="str">
        <f t="shared" si="17"/>
        <v>Medium</v>
      </c>
      <c r="F85" s="54">
        <f>VLOOKUP(B85,'Household Information'!$B$1:$E$48,2,FALSE)</f>
        <v>2.7382605632202197</v>
      </c>
      <c r="G85" s="54">
        <f t="shared" si="0"/>
        <v>181307.23729999995</v>
      </c>
      <c r="H85" s="55">
        <f>IF(D85&gt;Variables!$C$6,H38,H38*(1+Variables!$C$9))</f>
        <v>24.726831923274581</v>
      </c>
      <c r="I85" s="55"/>
      <c r="J85" s="13">
        <f>H85*Variables!$C$21</f>
        <v>445.08297461894244</v>
      </c>
      <c r="K85" s="13">
        <f t="shared" si="12"/>
        <v>445.08297461894244</v>
      </c>
      <c r="L85" s="54">
        <f t="shared" si="1"/>
        <v>0</v>
      </c>
      <c r="M85" s="56"/>
      <c r="N85" s="57"/>
      <c r="O85" s="57"/>
      <c r="P85" s="57"/>
      <c r="Q85" s="57"/>
      <c r="R85" s="57"/>
      <c r="S85" s="58">
        <v>0</v>
      </c>
      <c r="T85" s="59">
        <f>$L85*Variables!$C$22/100</f>
        <v>0</v>
      </c>
      <c r="U85" s="59">
        <f>$L85*Variables!$C$23/100</f>
        <v>0</v>
      </c>
      <c r="V85" s="59">
        <f>$L85*Variables!$C$24/100</f>
        <v>0</v>
      </c>
      <c r="W85" s="59">
        <f>$L85*Variables!$C$25/100</f>
        <v>0</v>
      </c>
      <c r="X85" s="62">
        <f>T85*Variables!$E$26*Variables!$C$18+'Cost Calculations'!U85*Variables!$E$27*Variables!$C$18+'Cost Calculations'!V85*Variables!$E$28*Variables!$C$18+W85*Variables!$E$29*Variables!$C$18</f>
        <v>0</v>
      </c>
      <c r="Y85" s="58">
        <f>J85*Variables!$E$30</f>
        <v>291529.34837540728</v>
      </c>
      <c r="Z85" s="1"/>
      <c r="AA85" s="245">
        <f>D85*(IF(D85&lt;Variables!$C$7,Variables!$C$38,IF(D85&gt;Variables!$C$6,Variables!$C$36,Variables!$C$37)))</f>
        <v>595.75974926999982</v>
      </c>
      <c r="AB85" s="64">
        <f t="shared" si="13"/>
        <v>587</v>
      </c>
      <c r="AC85" s="66">
        <f t="shared" si="2"/>
        <v>9</v>
      </c>
      <c r="AD85" s="62">
        <f>AC85*Variables!$E$41</f>
        <v>4838400</v>
      </c>
      <c r="AE85" s="71">
        <f>ROUND((H85/(3.14*Variables!$C$35^2)),0)</f>
        <v>31</v>
      </c>
      <c r="AF85" s="57">
        <f t="shared" si="14"/>
        <v>31</v>
      </c>
      <c r="AG85" s="57">
        <f t="shared" si="3"/>
        <v>0</v>
      </c>
      <c r="AH85" s="58">
        <f>AG85*Variables!$E$42*Variables!$C$18</f>
        <v>0</v>
      </c>
      <c r="AI85" s="73">
        <f t="shared" si="4"/>
        <v>5</v>
      </c>
      <c r="AJ85" s="66">
        <f t="shared" si="15"/>
        <v>5</v>
      </c>
      <c r="AK85" s="66">
        <f t="shared" si="5"/>
        <v>0</v>
      </c>
      <c r="AL85" s="62">
        <f>IF(AK85*Variables!$E$43*Variables!$C$18&lt;0,0,AK85*Variables!$E$43*Variables!$C$18)</f>
        <v>0</v>
      </c>
      <c r="AM85" s="58">
        <f>AA85*Variables!$E$39*Variables!$C$18</f>
        <v>172205734.47433987</v>
      </c>
      <c r="AN85" s="1"/>
      <c r="AO85" s="76">
        <f t="shared" si="16"/>
        <v>0.67714285714285716</v>
      </c>
      <c r="AP85" s="76">
        <f t="shared" si="6"/>
        <v>111.25161488283292</v>
      </c>
      <c r="AQ85" s="75">
        <f>VLOOKUP(B85,'Household Information'!$B$2:$E$48,4,FALSE)</f>
        <v>40.760000000000005</v>
      </c>
      <c r="AR85" s="79">
        <f>IF(12*(AP85-Variables!$C$45*AQ85*F85)*(G85/5)&lt;0,0,12*(AP85-Variables!$C$45*AQ85*F85)*(G85/5))</f>
        <v>41124784.840894423</v>
      </c>
      <c r="AS85" s="1"/>
      <c r="AT85" s="62">
        <v>0</v>
      </c>
      <c r="AU85" s="1"/>
    </row>
    <row r="86" spans="1:47" ht="14.25" customHeight="1">
      <c r="A86" s="1">
        <v>36</v>
      </c>
      <c r="B86" s="3" t="s">
        <v>229</v>
      </c>
      <c r="C86" s="1">
        <v>2020</v>
      </c>
      <c r="D86" s="13">
        <f>VLOOKUP(B86,Population!$B$1:$O$48,4,FALSE)</f>
        <v>266256.5001249999</v>
      </c>
      <c r="E86" s="13" t="str">
        <f t="shared" si="17"/>
        <v>Medium</v>
      </c>
      <c r="F86" s="54">
        <f>VLOOKUP(B86,'Household Information'!$B$1:$E$48,2,FALSE)</f>
        <v>2.7303604631507774</v>
      </c>
      <c r="G86" s="54">
        <f t="shared" si="0"/>
        <v>97516.977599999969</v>
      </c>
      <c r="H86" s="55">
        <f>IF(D86&gt;Variables!$C$6,H39,H39*(1+Variables!$C$9))</f>
        <v>25.407115316792478</v>
      </c>
      <c r="I86" s="55"/>
      <c r="J86" s="13">
        <f>H86*Variables!$C$21</f>
        <v>457.32807570226458</v>
      </c>
      <c r="K86" s="13">
        <f t="shared" si="12"/>
        <v>457.32807570226458</v>
      </c>
      <c r="L86" s="54">
        <f t="shared" si="1"/>
        <v>0</v>
      </c>
      <c r="M86" s="56"/>
      <c r="N86" s="57"/>
      <c r="O86" s="57"/>
      <c r="P86" s="57"/>
      <c r="Q86" s="57"/>
      <c r="R86" s="57"/>
      <c r="S86" s="58">
        <v>0</v>
      </c>
      <c r="T86" s="59">
        <f>$L86*Variables!$C$22/100</f>
        <v>0</v>
      </c>
      <c r="U86" s="59">
        <f>$L86*Variables!$C$23/100</f>
        <v>0</v>
      </c>
      <c r="V86" s="59">
        <f>$L86*Variables!$C$24/100</f>
        <v>0</v>
      </c>
      <c r="W86" s="59">
        <f>$L86*Variables!$C$25/100</f>
        <v>0</v>
      </c>
      <c r="X86" s="62">
        <f>T86*Variables!$E$26*Variables!$C$18+'Cost Calculations'!U86*Variables!$E$27*Variables!$C$18+'Cost Calculations'!V86*Variables!$E$28*Variables!$C$18+W86*Variables!$E$29*Variables!$C$18</f>
        <v>0</v>
      </c>
      <c r="Y86" s="58">
        <f>J86*Variables!$E$30</f>
        <v>299549.88958498329</v>
      </c>
      <c r="Z86" s="1"/>
      <c r="AA86" s="245">
        <f>D86*(IF(D86&lt;Variables!$C$7,Variables!$C$38,IF(D86&gt;Variables!$C$6,Variables!$C$36,Variables!$C$37)))</f>
        <v>319.50780014999987</v>
      </c>
      <c r="AB86" s="64">
        <f t="shared" si="13"/>
        <v>315</v>
      </c>
      <c r="AC86" s="66">
        <f t="shared" si="2"/>
        <v>5</v>
      </c>
      <c r="AD86" s="62">
        <f>AC86*Variables!$E$41</f>
        <v>2688000</v>
      </c>
      <c r="AE86" s="71">
        <f>ROUND((H86/(3.14*Variables!$C$35^2)),0)</f>
        <v>32</v>
      </c>
      <c r="AF86" s="57">
        <f t="shared" si="14"/>
        <v>32</v>
      </c>
      <c r="AG86" s="57">
        <f t="shared" si="3"/>
        <v>0</v>
      </c>
      <c r="AH86" s="58">
        <f>AG86*Variables!$E$42*Variables!$C$18</f>
        <v>0</v>
      </c>
      <c r="AI86" s="73">
        <f t="shared" si="4"/>
        <v>3</v>
      </c>
      <c r="AJ86" s="66">
        <f t="shared" si="15"/>
        <v>3</v>
      </c>
      <c r="AK86" s="66">
        <f t="shared" si="5"/>
        <v>0</v>
      </c>
      <c r="AL86" s="62">
        <f>IF(AK86*Variables!$E$43*Variables!$C$18&lt;0,0,AK86*Variables!$E$43*Variables!$C$18)</f>
        <v>0</v>
      </c>
      <c r="AM86" s="58">
        <f>AA86*Variables!$E$39*Variables!$C$18</f>
        <v>92354469.167361677</v>
      </c>
      <c r="AN86" s="1"/>
      <c r="AO86" s="76">
        <f t="shared" si="16"/>
        <v>0.67714285714285716</v>
      </c>
      <c r="AP86" s="76">
        <f t="shared" si="6"/>
        <v>110.93064510286872</v>
      </c>
      <c r="AQ86" s="75">
        <f>VLOOKUP(B86,'Household Information'!$B$2:$E$48,4,FALSE)</f>
        <v>27.28</v>
      </c>
      <c r="AR86" s="79">
        <f>IF(12*(AP86-Variables!$C$45*AQ86*F86)*(G86/5)&lt;0,0,12*(AP86-Variables!$C$45*AQ86*F86)*(G86/5))</f>
        <v>23347439.124332394</v>
      </c>
      <c r="AS86" s="1"/>
      <c r="AT86" s="62">
        <v>0</v>
      </c>
      <c r="AU86" s="1"/>
    </row>
    <row r="87" spans="1:47" ht="14.25" customHeight="1">
      <c r="A87" s="1">
        <v>37</v>
      </c>
      <c r="B87" s="3" t="s">
        <v>230</v>
      </c>
      <c r="C87" s="1">
        <v>2020</v>
      </c>
      <c r="D87" s="13">
        <f>VLOOKUP(B87,Population!$B$1:$O$48,4,FALSE)</f>
        <v>124102.96394999996</v>
      </c>
      <c r="E87" s="13" t="str">
        <f t="shared" si="17"/>
        <v>Medium</v>
      </c>
      <c r="F87" s="54">
        <f>VLOOKUP(B87,'Household Information'!$B$1:$E$48,2,FALSE)</f>
        <v>2.4882673717260184</v>
      </c>
      <c r="G87" s="54">
        <f t="shared" si="0"/>
        <v>49875.252699999983</v>
      </c>
      <c r="H87" s="55">
        <f>IF(D87&gt;Variables!$C$6,H40,H40*(1+Variables!$C$9))</f>
        <v>33.664331695979989</v>
      </c>
      <c r="I87" s="55"/>
      <c r="J87" s="13">
        <f>H87*Variables!$C$21</f>
        <v>605.95797052763976</v>
      </c>
      <c r="K87" s="13">
        <f t="shared" si="12"/>
        <v>605.95797052763976</v>
      </c>
      <c r="L87" s="54">
        <f t="shared" si="1"/>
        <v>0</v>
      </c>
      <c r="M87" s="56"/>
      <c r="N87" s="57"/>
      <c r="O87" s="57"/>
      <c r="P87" s="57"/>
      <c r="Q87" s="57"/>
      <c r="R87" s="57"/>
      <c r="S87" s="58">
        <v>0</v>
      </c>
      <c r="T87" s="59">
        <f>$L87*Variables!$C$22/100</f>
        <v>0</v>
      </c>
      <c r="U87" s="59">
        <f>$L87*Variables!$C$23/100</f>
        <v>0</v>
      </c>
      <c r="V87" s="59">
        <f>$L87*Variables!$C$24/100</f>
        <v>0</v>
      </c>
      <c r="W87" s="59">
        <f>$L87*Variables!$C$25/100</f>
        <v>0</v>
      </c>
      <c r="X87" s="62">
        <f>T87*Variables!$E$26*Variables!$C$18+'Cost Calculations'!U87*Variables!$E$27*Variables!$C$18+'Cost Calculations'!V87*Variables!$E$28*Variables!$C$18+W87*Variables!$E$29*Variables!$C$18</f>
        <v>0</v>
      </c>
      <c r="Y87" s="58">
        <f>J87*Variables!$E$30</f>
        <v>396902.47069560405</v>
      </c>
      <c r="Z87" s="1"/>
      <c r="AA87" s="245">
        <f>D87*(IF(D87&lt;Variables!$C$7,Variables!$C$38,IF(D87&gt;Variables!$C$6,Variables!$C$36,Variables!$C$37)))</f>
        <v>148.92355673999995</v>
      </c>
      <c r="AB87" s="64">
        <f t="shared" si="13"/>
        <v>147</v>
      </c>
      <c r="AC87" s="66">
        <f t="shared" si="2"/>
        <v>2</v>
      </c>
      <c r="AD87" s="62">
        <f>AC87*Variables!$E$41</f>
        <v>1075200</v>
      </c>
      <c r="AE87" s="71">
        <f>ROUND((H87/(3.14*Variables!$C$35^2)),0)</f>
        <v>43</v>
      </c>
      <c r="AF87" s="57">
        <f t="shared" si="14"/>
        <v>43</v>
      </c>
      <c r="AG87" s="57">
        <f t="shared" si="3"/>
        <v>0</v>
      </c>
      <c r="AH87" s="58">
        <f>AG87*Variables!$E$42*Variables!$C$18</f>
        <v>0</v>
      </c>
      <c r="AI87" s="73">
        <f t="shared" si="4"/>
        <v>1</v>
      </c>
      <c r="AJ87" s="66">
        <f t="shared" si="15"/>
        <v>1</v>
      </c>
      <c r="AK87" s="66">
        <f t="shared" si="5"/>
        <v>0</v>
      </c>
      <c r="AL87" s="62">
        <f>IF(AK87*Variables!$E$43*Variables!$C$18&lt;0,0,AK87*Variables!$E$43*Variables!$C$18)</f>
        <v>0</v>
      </c>
      <c r="AM87" s="58">
        <f>AA87*Variables!$E$39*Variables!$C$18</f>
        <v>43046698.774744041</v>
      </c>
      <c r="AN87" s="1"/>
      <c r="AO87" s="76">
        <f t="shared" si="16"/>
        <v>0.67714285714285716</v>
      </c>
      <c r="AP87" s="76">
        <f t="shared" si="6"/>
        <v>101.09474864555423</v>
      </c>
      <c r="AQ87" s="75">
        <f>VLOOKUP(B87,'Household Information'!$B$2:$E$48,4,FALSE)</f>
        <v>40.760000000000005</v>
      </c>
      <c r="AR87" s="79">
        <f>IF(12*(AP87-Variables!$C$45*AQ87*F87)*(G87/5)&lt;0,0,12*(AP87-Variables!$C$45*AQ87*F87)*(G87/5))</f>
        <v>10280065.472999277</v>
      </c>
      <c r="AS87" s="1"/>
      <c r="AT87" s="62">
        <v>0</v>
      </c>
      <c r="AU87" s="1"/>
    </row>
    <row r="88" spans="1:47" ht="14.25" customHeight="1">
      <c r="A88" s="1">
        <v>38</v>
      </c>
      <c r="B88" s="3" t="s">
        <v>231</v>
      </c>
      <c r="C88" s="1">
        <v>2020</v>
      </c>
      <c r="D88" s="13">
        <f>VLOOKUP(B88,Population!$B$1:$O$48,4,FALSE)</f>
        <v>36630.68009999999</v>
      </c>
      <c r="E88" s="13" t="str">
        <f t="shared" si="17"/>
        <v>Small</v>
      </c>
      <c r="F88" s="54">
        <f>VLOOKUP(B88,'Household Information'!$B$1:$E$48,2,FALSE)</f>
        <v>3.5815854318168161</v>
      </c>
      <c r="G88" s="54">
        <f t="shared" si="0"/>
        <v>10227.504214919283</v>
      </c>
      <c r="H88" s="55">
        <f>IF(D88&gt;Variables!$C$6,H41,H41*(1+Variables!$C$9))</f>
        <v>3.7187999999999999</v>
      </c>
      <c r="I88" s="55"/>
      <c r="J88" s="13">
        <f>H88*Variables!$C$21</f>
        <v>66.938400000000001</v>
      </c>
      <c r="K88" s="13">
        <f t="shared" si="12"/>
        <v>66.8</v>
      </c>
      <c r="L88" s="54">
        <f t="shared" si="1"/>
        <v>0.1384000000000043</v>
      </c>
      <c r="M88" s="56"/>
      <c r="N88" s="57"/>
      <c r="O88" s="57"/>
      <c r="P88" s="57"/>
      <c r="Q88" s="57"/>
      <c r="R88" s="57"/>
      <c r="S88" s="58">
        <v>0</v>
      </c>
      <c r="T88" s="59">
        <f>$L88*Variables!$C$22/100</f>
        <v>7.5149321266970645E-3</v>
      </c>
      <c r="U88" s="59">
        <f>$L88*Variables!$C$23/100</f>
        <v>1.3151131221719865E-2</v>
      </c>
      <c r="V88" s="59">
        <f>$L88*Variables!$C$24/100</f>
        <v>1.3777375565611287E-2</v>
      </c>
      <c r="W88" s="59">
        <f>$L88*Variables!$C$25/100</f>
        <v>0.10019909502262754</v>
      </c>
      <c r="X88" s="62">
        <f>T88*Variables!$E$26*Variables!$C$18+'Cost Calculations'!U88*Variables!$E$27*Variables!$C$18+'Cost Calculations'!V88*Variables!$E$28*Variables!$C$18+W88*Variables!$E$29*Variables!$C$18</f>
        <v>157323.15206878315</v>
      </c>
      <c r="Y88" s="58">
        <f>J88*Variables!$E$30</f>
        <v>43844.652000000002</v>
      </c>
      <c r="Z88" s="1"/>
      <c r="AA88" s="245">
        <f>D88*(IF(D88&lt;Variables!$C$7,Variables!$C$38,IF(D88&gt;Variables!$C$6,Variables!$C$36,Variables!$C$37)))</f>
        <v>18.315340049999996</v>
      </c>
      <c r="AB88" s="64">
        <f t="shared" si="13"/>
        <v>19</v>
      </c>
      <c r="AC88" s="66">
        <f t="shared" si="2"/>
        <v>0</v>
      </c>
      <c r="AD88" s="62">
        <f>AC88*Variables!$E$41</f>
        <v>0</v>
      </c>
      <c r="AE88" s="71">
        <f>ROUND((H88/(3.14*Variables!$C$35^2)),0)</f>
        <v>5</v>
      </c>
      <c r="AF88" s="57">
        <f t="shared" si="14"/>
        <v>5</v>
      </c>
      <c r="AG88" s="57">
        <f t="shared" si="3"/>
        <v>0</v>
      </c>
      <c r="AH88" s="58">
        <f>AG88*Variables!$E$42*Variables!$C$18</f>
        <v>0</v>
      </c>
      <c r="AI88" s="73">
        <f t="shared" si="4"/>
        <v>0</v>
      </c>
      <c r="AJ88" s="66">
        <f t="shared" si="15"/>
        <v>0</v>
      </c>
      <c r="AK88" s="66">
        <f t="shared" si="5"/>
        <v>0</v>
      </c>
      <c r="AL88" s="62">
        <f>IF(AK88*Variables!$E$43*Variables!$C$18&lt;0,0,AK88*Variables!$E$43*Variables!$C$18)</f>
        <v>0</v>
      </c>
      <c r="AM88" s="58">
        <f>AA88*Variables!$E$39*Variables!$C$18</f>
        <v>5294091.4342102325</v>
      </c>
      <c r="AN88" s="1"/>
      <c r="AO88" s="76">
        <f t="shared" si="16"/>
        <v>0.67714285714285716</v>
      </c>
      <c r="AP88" s="76">
        <f t="shared" si="6"/>
        <v>145.51469954410035</v>
      </c>
      <c r="AQ88" s="75">
        <f>VLOOKUP(B88,'Household Information'!$B$2:$E$48,4,FALSE)</f>
        <v>40.760000000000005</v>
      </c>
      <c r="AR88" s="79">
        <f>IF(12*(AP88-Variables!$C$45*AQ88*F88)*(G88/5)&lt;0,0,12*(AP88-Variables!$C$45*AQ88*F88)*(G88/5))</f>
        <v>3034301.3394926386</v>
      </c>
      <c r="AS88" s="1"/>
      <c r="AT88" s="62">
        <v>0</v>
      </c>
      <c r="AU88" s="1"/>
    </row>
    <row r="89" spans="1:47" ht="14.25" customHeight="1">
      <c r="A89" s="1">
        <v>39</v>
      </c>
      <c r="B89" s="3" t="s">
        <v>232</v>
      </c>
      <c r="C89" s="1">
        <v>2020</v>
      </c>
      <c r="D89" s="13">
        <f>VLOOKUP(B89,Population!$B$1:$O$48,4,FALSE)</f>
        <v>69146.641549999986</v>
      </c>
      <c r="E89" s="13" t="str">
        <f t="shared" si="17"/>
        <v>Small</v>
      </c>
      <c r="F89" s="54">
        <f>VLOOKUP(B89,'Household Information'!$B$1:$E$48,2,FALSE)</f>
        <v>3.4614749871067563</v>
      </c>
      <c r="G89" s="54">
        <f t="shared" si="0"/>
        <v>19976.062749999994</v>
      </c>
      <c r="H89" s="55">
        <f>IF(D89&gt;Variables!$C$6,H42,H42*(1+Variables!$C$9))</f>
        <v>6.0637099999999995</v>
      </c>
      <c r="I89" s="55"/>
      <c r="J89" s="13">
        <f>H89*Variables!$C$21</f>
        <v>109.14677999999999</v>
      </c>
      <c r="K89" s="13">
        <f t="shared" si="12"/>
        <v>105.66</v>
      </c>
      <c r="L89" s="54">
        <f t="shared" si="1"/>
        <v>3.486779999999996</v>
      </c>
      <c r="M89" s="56"/>
      <c r="N89" s="57"/>
      <c r="O89" s="57"/>
      <c r="P89" s="57"/>
      <c r="Q89" s="57"/>
      <c r="R89" s="57"/>
      <c r="S89" s="58">
        <v>0</v>
      </c>
      <c r="T89" s="59">
        <f>$L89*Variables!$C$22/100</f>
        <v>0.1893274208144794</v>
      </c>
      <c r="U89" s="59">
        <f>$L89*Variables!$C$23/100</f>
        <v>0.33132298642533897</v>
      </c>
      <c r="V89" s="59">
        <f>$L89*Variables!$C$24/100</f>
        <v>0.34710027149321226</v>
      </c>
      <c r="W89" s="59">
        <f>$L89*Variables!$C$25/100</f>
        <v>2.5243656108597254</v>
      </c>
      <c r="X89" s="62">
        <f>T89*Variables!$E$26*Variables!$C$18+'Cost Calculations'!U89*Variables!$E$27*Variables!$C$18+'Cost Calculations'!V89*Variables!$E$28*Variables!$C$18+W89*Variables!$E$29*Variables!$C$18</f>
        <v>3963520.3769535702</v>
      </c>
      <c r="Y89" s="58">
        <f>J89*Variables!$E$30</f>
        <v>71491.140899999999</v>
      </c>
      <c r="Z89" s="1"/>
      <c r="AA89" s="245">
        <f>D89*(IF(D89&lt;Variables!$C$7,Variables!$C$38,IF(D89&gt;Variables!$C$6,Variables!$C$36,Variables!$C$37)))</f>
        <v>55.31731323999999</v>
      </c>
      <c r="AB89" s="64">
        <f t="shared" si="13"/>
        <v>54</v>
      </c>
      <c r="AC89" s="66">
        <f t="shared" si="2"/>
        <v>1</v>
      </c>
      <c r="AD89" s="62">
        <f>AC89*Variables!$E$41</f>
        <v>537600</v>
      </c>
      <c r="AE89" s="71">
        <f>ROUND((H89/(3.14*Variables!$C$35^2)),0)</f>
        <v>8</v>
      </c>
      <c r="AF89" s="57">
        <f t="shared" si="14"/>
        <v>7</v>
      </c>
      <c r="AG89" s="57">
        <f t="shared" si="3"/>
        <v>1</v>
      </c>
      <c r="AH89" s="58">
        <f>AG89*Variables!$E$42*Variables!$C$18</f>
        <v>1148.2560000000001</v>
      </c>
      <c r="AI89" s="73">
        <f t="shared" si="4"/>
        <v>0</v>
      </c>
      <c r="AJ89" s="66">
        <f t="shared" si="15"/>
        <v>3</v>
      </c>
      <c r="AK89" s="66">
        <f t="shared" si="5"/>
        <v>0</v>
      </c>
      <c r="AL89" s="62">
        <f>IF(AK89*Variables!$E$43*Variables!$C$18&lt;0,0,AK89*Variables!$E$43*Variables!$C$18)</f>
        <v>0</v>
      </c>
      <c r="AM89" s="58">
        <f>AA89*Variables!$E$39*Variables!$C$18</f>
        <v>15989597.429691637</v>
      </c>
      <c r="AN89" s="1"/>
      <c r="AO89" s="76">
        <f t="shared" si="16"/>
        <v>0.67714285714285716</v>
      </c>
      <c r="AP89" s="76">
        <f t="shared" si="6"/>
        <v>140.63478376188021</v>
      </c>
      <c r="AQ89" s="75">
        <f>VLOOKUP(B89,'Household Information'!$B$2:$E$48,4,FALSE)</f>
        <v>40.760000000000005</v>
      </c>
      <c r="AR89" s="79">
        <f>IF(12*(AP89-Variables!$C$45*AQ89*F89)*(G89/5)&lt;0,0,12*(AP89-Variables!$C$45*AQ89*F89)*(G89/5))</f>
        <v>5727760.077175919</v>
      </c>
      <c r="AS89" s="1"/>
      <c r="AT89" s="62">
        <v>0</v>
      </c>
      <c r="AU89" s="1"/>
    </row>
    <row r="90" spans="1:47" ht="14.25" customHeight="1">
      <c r="A90" s="1">
        <v>40</v>
      </c>
      <c r="B90" s="3" t="s">
        <v>233</v>
      </c>
      <c r="C90" s="1">
        <v>2020</v>
      </c>
      <c r="D90" s="13">
        <f>VLOOKUP(B90,Population!$B$1:$O$48,4,FALSE)</f>
        <v>3127.7630999999992</v>
      </c>
      <c r="E90" s="13" t="str">
        <f t="shared" si="17"/>
        <v>Small</v>
      </c>
      <c r="F90" s="54">
        <f>VLOOKUP(B90,'Household Information'!$B$1:$E$48,2,FALSE)</f>
        <v>3.9153259949195598</v>
      </c>
      <c r="G90" s="54">
        <f t="shared" si="0"/>
        <v>798.8512588884081</v>
      </c>
      <c r="H90" s="55">
        <f>IF(D90&gt;Variables!$C$6,H43,H43*(1+Variables!$C$9))</f>
        <v>0.20660000000000001</v>
      </c>
      <c r="I90" s="55"/>
      <c r="J90" s="13">
        <f>H90*Variables!$C$21</f>
        <v>3.7187999999999999</v>
      </c>
      <c r="K90" s="13">
        <f t="shared" si="12"/>
        <v>21.97</v>
      </c>
      <c r="L90" s="54">
        <f t="shared" si="1"/>
        <v>0</v>
      </c>
      <c r="M90" s="56"/>
      <c r="N90" s="57"/>
      <c r="O90" s="57"/>
      <c r="P90" s="57"/>
      <c r="Q90" s="57"/>
      <c r="R90" s="57"/>
      <c r="S90" s="58">
        <v>0</v>
      </c>
      <c r="T90" s="59">
        <f>$L90*Variables!$C$22/100</f>
        <v>0</v>
      </c>
      <c r="U90" s="59">
        <f>$L90*Variables!$C$23/100</f>
        <v>0</v>
      </c>
      <c r="V90" s="59">
        <f>$L90*Variables!$C$24/100</f>
        <v>0</v>
      </c>
      <c r="W90" s="59">
        <f>$L90*Variables!$C$25/100</f>
        <v>0</v>
      </c>
      <c r="X90" s="62">
        <f>T90*Variables!$E$26*Variables!$C$18+'Cost Calculations'!U90*Variables!$E$27*Variables!$C$18+'Cost Calculations'!V90*Variables!$E$28*Variables!$C$18+W90*Variables!$E$29*Variables!$C$18</f>
        <v>0</v>
      </c>
      <c r="Y90" s="58">
        <f>J90*Variables!$E$30</f>
        <v>2435.8139999999999</v>
      </c>
      <c r="Z90" s="1"/>
      <c r="AA90" s="245">
        <f>D90*(IF(D90&lt;Variables!$C$7,Variables!$C$38,IF(D90&gt;Variables!$C$6,Variables!$C$36,Variables!$C$37)))</f>
        <v>1.5638815499999996</v>
      </c>
      <c r="AB90" s="64">
        <f t="shared" si="13"/>
        <v>2</v>
      </c>
      <c r="AC90" s="66">
        <f t="shared" si="2"/>
        <v>0</v>
      </c>
      <c r="AD90" s="62">
        <f>AC90*Variables!$E$41</f>
        <v>0</v>
      </c>
      <c r="AE90" s="71">
        <f>ROUND((H90/(3.14*Variables!$C$35^2)),0)</f>
        <v>0</v>
      </c>
      <c r="AF90" s="57">
        <f t="shared" si="14"/>
        <v>0</v>
      </c>
      <c r="AG90" s="57">
        <f t="shared" si="3"/>
        <v>0</v>
      </c>
      <c r="AH90" s="58">
        <f>AG90*Variables!$E$42*Variables!$C$18</f>
        <v>0</v>
      </c>
      <c r="AI90" s="73">
        <f t="shared" si="4"/>
        <v>0</v>
      </c>
      <c r="AJ90" s="66">
        <f t="shared" si="15"/>
        <v>0</v>
      </c>
      <c r="AK90" s="66">
        <f t="shared" si="5"/>
        <v>0</v>
      </c>
      <c r="AL90" s="62">
        <f>IF(AK90*Variables!$E$43*Variables!$C$18&lt;0,0,AK90*Variables!$E$43*Variables!$C$18)</f>
        <v>0</v>
      </c>
      <c r="AM90" s="58">
        <f>AA90*Variables!$E$39*Variables!$C$18</f>
        <v>452043.58179385384</v>
      </c>
      <c r="AN90" s="1"/>
      <c r="AO90" s="76">
        <f t="shared" si="16"/>
        <v>0.67714285714285716</v>
      </c>
      <c r="AP90" s="76">
        <f t="shared" si="6"/>
        <v>159.07410185073181</v>
      </c>
      <c r="AQ90" s="75">
        <f>VLOOKUP(B90,'Household Information'!$B$2:$E$48,4,FALSE)</f>
        <v>40.760000000000005</v>
      </c>
      <c r="AR90" s="79">
        <f>IF(12*(AP90-Variables!$C$45*AQ90*F90)*(G90/5)&lt;0,0,12*(AP90-Variables!$C$45*AQ90*F90)*(G90/5))</f>
        <v>259088.16702383989</v>
      </c>
      <c r="AS90" s="1"/>
      <c r="AT90" s="62">
        <v>0</v>
      </c>
      <c r="AU90" s="1"/>
    </row>
    <row r="91" spans="1:47" ht="14.25" customHeight="1">
      <c r="A91" s="1">
        <v>41</v>
      </c>
      <c r="B91" s="3" t="s">
        <v>234</v>
      </c>
      <c r="C91" s="1">
        <v>2020</v>
      </c>
      <c r="D91" s="13">
        <f>VLOOKUP(B91,Population!$B$1:$O$48,4,FALSE)</f>
        <v>53902.402224999983</v>
      </c>
      <c r="E91" s="13" t="str">
        <f t="shared" si="17"/>
        <v>Small</v>
      </c>
      <c r="F91" s="54">
        <f>VLOOKUP(B91,'Household Information'!$B$1:$E$48,2,FALSE)</f>
        <v>2.524</v>
      </c>
      <c r="G91" s="54">
        <f t="shared" si="0"/>
        <v>21355.943829239295</v>
      </c>
      <c r="H91" s="55">
        <f>IF(D91&gt;Variables!$C$6,H44,H44*(1+Variables!$C$9))</f>
        <v>4.1319999999999997</v>
      </c>
      <c r="I91" s="55"/>
      <c r="J91" s="13">
        <f>H91*Variables!$C$21</f>
        <v>74.375999999999991</v>
      </c>
      <c r="K91" s="13">
        <f t="shared" si="12"/>
        <v>105</v>
      </c>
      <c r="L91" s="54">
        <f t="shared" si="1"/>
        <v>0</v>
      </c>
      <c r="M91" s="56"/>
      <c r="N91" s="57"/>
      <c r="O91" s="57"/>
      <c r="P91" s="57"/>
      <c r="Q91" s="57"/>
      <c r="R91" s="57"/>
      <c r="S91" s="58">
        <v>0</v>
      </c>
      <c r="T91" s="59">
        <f>$L91*Variables!$C$22/100</f>
        <v>0</v>
      </c>
      <c r="U91" s="59">
        <f>$L91*Variables!$C$23/100</f>
        <v>0</v>
      </c>
      <c r="V91" s="59">
        <f>$L91*Variables!$C$24/100</f>
        <v>0</v>
      </c>
      <c r="W91" s="59">
        <f>$L91*Variables!$C$25/100</f>
        <v>0</v>
      </c>
      <c r="X91" s="62">
        <f>T91*Variables!$E$26*Variables!$C$18+'Cost Calculations'!U91*Variables!$E$27*Variables!$C$18+'Cost Calculations'!V91*Variables!$E$28*Variables!$C$18+W91*Variables!$E$29*Variables!$C$18</f>
        <v>0</v>
      </c>
      <c r="Y91" s="58">
        <f>J91*Variables!$E$30</f>
        <v>48716.279999999992</v>
      </c>
      <c r="Z91" s="1"/>
      <c r="AA91" s="245">
        <f>D91*(IF(D91&lt;Variables!$C$7,Variables!$C$38,IF(D91&gt;Variables!$C$6,Variables!$C$36,Variables!$C$37)))</f>
        <v>43.121921779999987</v>
      </c>
      <c r="AB91" s="64">
        <f t="shared" si="13"/>
        <v>42</v>
      </c>
      <c r="AC91" s="66">
        <f t="shared" si="2"/>
        <v>1</v>
      </c>
      <c r="AD91" s="62">
        <f>AC91*Variables!$E$41</f>
        <v>537600</v>
      </c>
      <c r="AE91" s="71">
        <f>ROUND((H91/(3.14*Variables!$C$35^2)),0)</f>
        <v>5</v>
      </c>
      <c r="AF91" s="57">
        <f t="shared" si="14"/>
        <v>5</v>
      </c>
      <c r="AG91" s="57">
        <f t="shared" si="3"/>
        <v>0</v>
      </c>
      <c r="AH91" s="58">
        <f>AG91*Variables!$E$42*Variables!$C$18</f>
        <v>0</v>
      </c>
      <c r="AI91" s="73">
        <f t="shared" si="4"/>
        <v>0</v>
      </c>
      <c r="AJ91" s="66">
        <f t="shared" si="15"/>
        <v>2</v>
      </c>
      <c r="AK91" s="66">
        <f t="shared" si="5"/>
        <v>0</v>
      </c>
      <c r="AL91" s="62">
        <f>IF(AK91*Variables!$E$43*Variables!$C$18&lt;0,0,AK91*Variables!$E$43*Variables!$C$18)</f>
        <v>0</v>
      </c>
      <c r="AM91" s="58">
        <f>AA91*Variables!$E$39*Variables!$C$18</f>
        <v>12464491.300677853</v>
      </c>
      <c r="AN91" s="1"/>
      <c r="AO91" s="76">
        <f t="shared" si="16"/>
        <v>0.67714285714285716</v>
      </c>
      <c r="AP91" s="76">
        <f t="shared" si="6"/>
        <v>102.54651428571428</v>
      </c>
      <c r="AQ91" s="75">
        <f>VLOOKUP(B91,'Household Information'!$B$2:$E$48,4,FALSE)</f>
        <v>40.760000000000005</v>
      </c>
      <c r="AR91" s="79">
        <f>IF(12*(AP91-Variables!$C$45*AQ91*F91)*(G91/5)&lt;0,0,12*(AP91-Variables!$C$45*AQ91*F91)*(G91/5))</f>
        <v>4465003.948239238</v>
      </c>
      <c r="AS91" s="1"/>
      <c r="AT91" s="62">
        <v>0</v>
      </c>
      <c r="AU91" s="1"/>
    </row>
    <row r="92" spans="1:47" ht="14.25" customHeight="1">
      <c r="A92" s="1">
        <v>42</v>
      </c>
      <c r="B92" s="3" t="s">
        <v>235</v>
      </c>
      <c r="C92" s="1">
        <v>2020</v>
      </c>
      <c r="D92" s="13">
        <f>VLOOKUP(B92,Population!$B$1:$O$48,4,FALSE)</f>
        <v>46896.872224999985</v>
      </c>
      <c r="E92" s="13" t="str">
        <f t="shared" si="17"/>
        <v>Small</v>
      </c>
      <c r="F92" s="54">
        <f>VLOOKUP(B92,'Household Information'!$B$1:$E$48,2,FALSE)</f>
        <v>2.7236881469514751</v>
      </c>
      <c r="G92" s="54">
        <f t="shared" si="0"/>
        <v>17218.150424999993</v>
      </c>
      <c r="H92" s="55">
        <f>IF(D92&gt;Variables!$C$6,H45,H45*(1+Variables!$C$9))</f>
        <v>5.2682999999999991</v>
      </c>
      <c r="I92" s="55"/>
      <c r="J92" s="13">
        <f>H92*Variables!$C$21</f>
        <v>94.829399999999978</v>
      </c>
      <c r="K92" s="13">
        <f t="shared" si="12"/>
        <v>91.8</v>
      </c>
      <c r="L92" s="54">
        <f t="shared" si="1"/>
        <v>3.0293999999999812</v>
      </c>
      <c r="M92" s="56"/>
      <c r="N92" s="57"/>
      <c r="O92" s="57"/>
      <c r="P92" s="57"/>
      <c r="Q92" s="57"/>
      <c r="R92" s="57"/>
      <c r="S92" s="58">
        <v>0</v>
      </c>
      <c r="T92" s="59">
        <f>$L92*Variables!$C$22/100</f>
        <v>0.16449230769230666</v>
      </c>
      <c r="U92" s="59">
        <f>$L92*Variables!$C$23/100</f>
        <v>0.28786153846153667</v>
      </c>
      <c r="V92" s="59">
        <f>$L92*Variables!$C$24/100</f>
        <v>0.30156923076922892</v>
      </c>
      <c r="W92" s="59">
        <f>$L92*Variables!$C$25/100</f>
        <v>2.1932307692307553</v>
      </c>
      <c r="X92" s="62">
        <f>T92*Variables!$E$26*Variables!$C$18+'Cost Calculations'!U92*Variables!$E$27*Variables!$C$18+'Cost Calculations'!V92*Variables!$E$28*Variables!$C$18+W92*Variables!$E$29*Variables!$C$18</f>
        <v>3443603.7346615167</v>
      </c>
      <c r="Y92" s="58">
        <f>J92*Variables!$E$30</f>
        <v>62113.256999999983</v>
      </c>
      <c r="Z92" s="1"/>
      <c r="AA92" s="245">
        <f>D92*(IF(D92&lt;Variables!$C$7,Variables!$C$38,IF(D92&gt;Variables!$C$6,Variables!$C$36,Variables!$C$37)))</f>
        <v>23.448436112499994</v>
      </c>
      <c r="AB92" s="64">
        <f t="shared" si="13"/>
        <v>23</v>
      </c>
      <c r="AC92" s="66">
        <f t="shared" si="2"/>
        <v>0</v>
      </c>
      <c r="AD92" s="62">
        <f>AC92*Variables!$E$41</f>
        <v>0</v>
      </c>
      <c r="AE92" s="71">
        <f>ROUND((H92/(3.14*Variables!$C$35^2)),0)</f>
        <v>7</v>
      </c>
      <c r="AF92" s="57">
        <f t="shared" si="14"/>
        <v>6</v>
      </c>
      <c r="AG92" s="57">
        <f t="shared" si="3"/>
        <v>1</v>
      </c>
      <c r="AH92" s="58">
        <f>AG92*Variables!$E$42*Variables!$C$18</f>
        <v>1148.2560000000001</v>
      </c>
      <c r="AI92" s="73">
        <f t="shared" si="4"/>
        <v>0</v>
      </c>
      <c r="AJ92" s="66">
        <f t="shared" si="15"/>
        <v>0</v>
      </c>
      <c r="AK92" s="66">
        <f t="shared" si="5"/>
        <v>0</v>
      </c>
      <c r="AL92" s="62">
        <f>IF(AK92*Variables!$E$43*Variables!$C$18&lt;0,0,AK92*Variables!$E$43*Variables!$C$18)</f>
        <v>0</v>
      </c>
      <c r="AM92" s="58">
        <f>AA92*Variables!$E$39*Variables!$C$18</f>
        <v>6777824.7321600858</v>
      </c>
      <c r="AN92" s="1"/>
      <c r="AO92" s="76">
        <f t="shared" si="16"/>
        <v>0.67714285714285716</v>
      </c>
      <c r="AP92" s="76">
        <f t="shared" si="6"/>
        <v>110.65955842757135</v>
      </c>
      <c r="AQ92" s="75">
        <f>VLOOKUP(B92,'Household Information'!$B$2:$E$48,4,FALSE)</f>
        <v>40.760000000000005</v>
      </c>
      <c r="AR92" s="79">
        <f>IF(12*(AP92-Variables!$C$45*AQ92*F92)*(G92/5)&lt;0,0,12*(AP92-Variables!$C$45*AQ92*F92)*(G92/5))</f>
        <v>3884701.0708472379</v>
      </c>
      <c r="AS92" s="1"/>
      <c r="AT92" s="62">
        <v>0</v>
      </c>
      <c r="AU92" s="1"/>
    </row>
    <row r="93" spans="1:47" ht="14.25" customHeight="1">
      <c r="A93" s="1">
        <v>43</v>
      </c>
      <c r="B93" s="3" t="s">
        <v>236</v>
      </c>
      <c r="C93" s="1">
        <v>2020</v>
      </c>
      <c r="D93" s="13">
        <f>VLOOKUP(B93,Population!$B$1:$O$48,4,FALSE)</f>
        <v>24763.518324999994</v>
      </c>
      <c r="E93" s="13" t="str">
        <f t="shared" si="17"/>
        <v>Small</v>
      </c>
      <c r="F93" s="54">
        <f>VLOOKUP(B93,'Household Information'!$B$1:$E$48,2,FALSE)</f>
        <v>3.4114391143911438</v>
      </c>
      <c r="G93" s="54">
        <f t="shared" si="0"/>
        <v>7258.9653499999986</v>
      </c>
      <c r="H93" s="55">
        <f>IF(D93&gt;Variables!$C$6,H46,H46*(1+Variables!$C$9))</f>
        <v>4.5054682995479327</v>
      </c>
      <c r="I93" s="55"/>
      <c r="J93" s="13">
        <f>H93*Variables!$C$21</f>
        <v>81.098429391862794</v>
      </c>
      <c r="K93" s="13">
        <f t="shared" si="12"/>
        <v>78.507676081183732</v>
      </c>
      <c r="L93" s="54">
        <f t="shared" si="1"/>
        <v>2.5907533106790623</v>
      </c>
      <c r="M93" s="56"/>
      <c r="N93" s="57"/>
      <c r="O93" s="57"/>
      <c r="P93" s="57"/>
      <c r="Q93" s="57"/>
      <c r="R93" s="57"/>
      <c r="S93" s="58">
        <v>0</v>
      </c>
      <c r="T93" s="59">
        <f>$L93*Variables!$C$22/100</f>
        <v>0.14067438791017531</v>
      </c>
      <c r="U93" s="59">
        <f>$L93*Variables!$C$23/100</f>
        <v>0.24618017884280682</v>
      </c>
      <c r="V93" s="59">
        <f>$L93*Variables!$C$24/100</f>
        <v>0.25790304450198809</v>
      </c>
      <c r="W93" s="59">
        <f>$L93*Variables!$C$25/100</f>
        <v>1.8756585054690043</v>
      </c>
      <c r="X93" s="62">
        <f>T93*Variables!$E$26*Variables!$C$18+'Cost Calculations'!U93*Variables!$E$27*Variables!$C$18+'Cost Calculations'!V93*Variables!$E$28*Variables!$C$18+W93*Variables!$E$29*Variables!$C$18</f>
        <v>2944981.7707272605</v>
      </c>
      <c r="Y93" s="58">
        <f>J93*Variables!$E$30</f>
        <v>53119.471251670133</v>
      </c>
      <c r="Z93" s="1"/>
      <c r="AA93" s="245">
        <f>D93*(IF(D93&lt;Variables!$C$7,Variables!$C$38,IF(D93&gt;Variables!$C$6,Variables!$C$36,Variables!$C$37)))</f>
        <v>12.381759162499996</v>
      </c>
      <c r="AB93" s="64">
        <f t="shared" si="13"/>
        <v>12</v>
      </c>
      <c r="AC93" s="66">
        <f t="shared" si="2"/>
        <v>0</v>
      </c>
      <c r="AD93" s="62">
        <f>AC93*Variables!$E$41</f>
        <v>0</v>
      </c>
      <c r="AE93" s="71">
        <f>ROUND((H93/(3.14*Variables!$C$35^2)),0)</f>
        <v>6</v>
      </c>
      <c r="AF93" s="57">
        <f t="shared" si="14"/>
        <v>6</v>
      </c>
      <c r="AG93" s="57">
        <f t="shared" si="3"/>
        <v>0</v>
      </c>
      <c r="AH93" s="58">
        <f>AG93*Variables!$E$42*Variables!$C$18</f>
        <v>0</v>
      </c>
      <c r="AI93" s="73">
        <f t="shared" si="4"/>
        <v>0</v>
      </c>
      <c r="AJ93" s="66">
        <f t="shared" si="15"/>
        <v>0</v>
      </c>
      <c r="AK93" s="66">
        <f t="shared" si="5"/>
        <v>0</v>
      </c>
      <c r="AL93" s="62">
        <f>IF(AK93*Variables!$E$43*Variables!$C$18&lt;0,0,AK93*Variables!$E$43*Variables!$C$18)</f>
        <v>0</v>
      </c>
      <c r="AM93" s="58">
        <f>AA93*Variables!$E$39*Variables!$C$18</f>
        <v>3578976.1447888217</v>
      </c>
      <c r="AN93" s="1"/>
      <c r="AO93" s="76">
        <f t="shared" si="16"/>
        <v>0.67714285714285716</v>
      </c>
      <c r="AP93" s="76">
        <f t="shared" si="6"/>
        <v>138.60189773326303</v>
      </c>
      <c r="AQ93" s="75">
        <f>VLOOKUP(B93,'Household Information'!$B$2:$E$48,4,FALSE)</f>
        <v>40.760000000000005</v>
      </c>
      <c r="AR93" s="79">
        <f>IF(12*(AP93-Variables!$C$45*AQ93*F93)*(G93/5)&lt;0,0,12*(AP93-Variables!$C$45*AQ93*F93)*(G93/5))</f>
        <v>2051285.3329222794</v>
      </c>
      <c r="AS93" s="1"/>
      <c r="AT93" s="62">
        <v>0</v>
      </c>
      <c r="AU93" s="1"/>
    </row>
    <row r="94" spans="1:47" ht="14.25" customHeight="1">
      <c r="A94" s="1">
        <v>44</v>
      </c>
      <c r="B94" s="3" t="s">
        <v>241</v>
      </c>
      <c r="C94" s="1">
        <v>2020</v>
      </c>
      <c r="D94" s="13">
        <f>VLOOKUP(B94,Population!$B$1:$O$48,4,FALSE)</f>
        <v>95779.166217351943</v>
      </c>
      <c r="E94" s="13" t="str">
        <f t="shared" si="17"/>
        <v>Small</v>
      </c>
      <c r="F94" s="54">
        <f>VLOOKUP(B94,'Household Information'!$B$1:$E$48,2,FALSE)</f>
        <v>2.919</v>
      </c>
      <c r="G94" s="54">
        <f t="shared" si="0"/>
        <v>32812.32141738676</v>
      </c>
      <c r="H94" s="55">
        <f>IF(D94&gt;Variables!$C$6,H47,H47*(1+Variables!$C$9))</f>
        <v>10.986224863835265</v>
      </c>
      <c r="I94" s="55"/>
      <c r="J94" s="13">
        <f>H94*Variables!$C$21</f>
        <v>197.75204754903476</v>
      </c>
      <c r="K94" s="13">
        <f t="shared" si="12"/>
        <v>191.43470237079845</v>
      </c>
      <c r="L94" s="54">
        <f t="shared" si="1"/>
        <v>6.3173451782363088</v>
      </c>
      <c r="M94" s="56"/>
      <c r="N94" s="57"/>
      <c r="O94" s="57"/>
      <c r="P94" s="57"/>
      <c r="Q94" s="57"/>
      <c r="R94" s="57"/>
      <c r="S94" s="58">
        <v>0</v>
      </c>
      <c r="T94" s="59">
        <f>$L94*Variables!$C$22/100</f>
        <v>0.34302326759654167</v>
      </c>
      <c r="U94" s="59">
        <f>$L94*Variables!$C$23/100</f>
        <v>0.60029071829394787</v>
      </c>
      <c r="V94" s="59">
        <f>$L94*Variables!$C$24/100</f>
        <v>0.62887599059365973</v>
      </c>
      <c r="W94" s="59">
        <f>$L94*Variables!$C$25/100</f>
        <v>4.5736435679538889</v>
      </c>
      <c r="X94" s="62">
        <f>T94*Variables!$E$26*Variables!$C$18+'Cost Calculations'!U94*Variables!$E$27*Variables!$C$18+'Cost Calculations'!V94*Variables!$E$28*Variables!$C$18+W94*Variables!$E$29*Variables!$C$18</f>
        <v>7181103.0068398416</v>
      </c>
      <c r="Y94" s="58">
        <f>J94*Variables!$E$30</f>
        <v>129527.59114461776</v>
      </c>
      <c r="Z94" s="1"/>
      <c r="AA94" s="245">
        <f>D94*(IF(D94&lt;Variables!$C$7,Variables!$C$38,IF(D94&gt;Variables!$C$6,Variables!$C$36,Variables!$C$37)))</f>
        <v>76.62333297388156</v>
      </c>
      <c r="AB94" s="64">
        <f t="shared" si="13"/>
        <v>74</v>
      </c>
      <c r="AC94" s="66">
        <f t="shared" si="2"/>
        <v>3</v>
      </c>
      <c r="AD94" s="62">
        <f>AC94*Variables!$E$41</f>
        <v>1612800</v>
      </c>
      <c r="AE94" s="71">
        <f>ROUND((H94/(3.14*Variables!$C$35^2)),0)</f>
        <v>14</v>
      </c>
      <c r="AF94" s="57">
        <f t="shared" si="14"/>
        <v>14</v>
      </c>
      <c r="AG94" s="57">
        <f t="shared" si="3"/>
        <v>0</v>
      </c>
      <c r="AH94" s="58">
        <f>AG94*Variables!$E$42*Variables!$C$18</f>
        <v>0</v>
      </c>
      <c r="AI94" s="73">
        <f t="shared" si="4"/>
        <v>1</v>
      </c>
      <c r="AJ94" s="66">
        <f t="shared" si="15"/>
        <v>1</v>
      </c>
      <c r="AK94" s="66">
        <f t="shared" si="5"/>
        <v>0</v>
      </c>
      <c r="AL94" s="62">
        <f>IF(AK94*Variables!$E$43*Variables!$C$18&lt;0,0,AK94*Variables!$E$43*Variables!$C$18)</f>
        <v>0</v>
      </c>
      <c r="AM94" s="58">
        <f>AA94*Variables!$E$39*Variables!$C$18</f>
        <v>22148151.748766735</v>
      </c>
      <c r="AN94" s="1"/>
      <c r="AO94" s="76">
        <f t="shared" si="16"/>
        <v>0.67714285714285716</v>
      </c>
      <c r="AP94" s="76">
        <f t="shared" si="6"/>
        <v>118.59479999999999</v>
      </c>
      <c r="AQ94" s="75">
        <f>VLOOKUP(B94,'Household Information'!$B$2:$E$48,4,FALSE)</f>
        <v>40.760000000000005</v>
      </c>
      <c r="AR94" s="79">
        <f>IF(12*(AP94-Variables!$C$45*AQ94*F94)*(G94/5)&lt;0,0,12*(AP94-Variables!$C$45*AQ94*F94)*(G94/5))</f>
        <v>7933864.4970667427</v>
      </c>
      <c r="AS94" s="1"/>
      <c r="AT94" s="62">
        <v>0</v>
      </c>
      <c r="AU94" s="1"/>
    </row>
    <row r="95" spans="1:47" ht="14.25" customHeight="1">
      <c r="A95" s="1">
        <v>45</v>
      </c>
      <c r="B95" s="3" t="s">
        <v>242</v>
      </c>
      <c r="C95" s="1">
        <v>2020</v>
      </c>
      <c r="D95" s="13">
        <f>VLOOKUP(B95,Population!$B$1:$O$48,4,FALSE)</f>
        <v>24329.793599999994</v>
      </c>
      <c r="E95" s="13" t="str">
        <f t="shared" si="17"/>
        <v>Small</v>
      </c>
      <c r="F95" s="54">
        <f>VLOOKUP(B95,'Household Information'!$B$1:$E$48,2,FALSE)</f>
        <v>2.377290114757399</v>
      </c>
      <c r="G95" s="54">
        <f t="shared" si="0"/>
        <v>10234.255149999997</v>
      </c>
      <c r="H95" s="55">
        <f>IF(D95&gt;Variables!$C$6,H48,H48*(1+Variables!$C$9))</f>
        <v>3.9253999999999993</v>
      </c>
      <c r="I95" s="55"/>
      <c r="J95" s="13">
        <f>H95*Variables!$C$21</f>
        <v>70.657199999999989</v>
      </c>
      <c r="K95" s="13">
        <f t="shared" si="12"/>
        <v>68.399999999999991</v>
      </c>
      <c r="L95" s="54">
        <f t="shared" si="1"/>
        <v>2.2571999999999974</v>
      </c>
      <c r="M95" s="56"/>
      <c r="N95" s="57"/>
      <c r="O95" s="57"/>
      <c r="P95" s="57"/>
      <c r="Q95" s="57"/>
      <c r="R95" s="57"/>
      <c r="S95" s="58">
        <v>0</v>
      </c>
      <c r="T95" s="59">
        <f>$L95*Variables!$C$22/100</f>
        <v>0.12256289592760165</v>
      </c>
      <c r="U95" s="59">
        <f>$L95*Variables!$C$23/100</f>
        <v>0.2144850678733029</v>
      </c>
      <c r="V95" s="59">
        <f>$L95*Variables!$C$24/100</f>
        <v>0.22469864253393643</v>
      </c>
      <c r="W95" s="59">
        <f>$L95*Variables!$C$25/100</f>
        <v>1.6341719457013557</v>
      </c>
      <c r="X95" s="62">
        <f>T95*Variables!$E$26*Variables!$C$18+'Cost Calculations'!U95*Variables!$E$27*Variables!$C$18+'Cost Calculations'!V95*Variables!$E$28*Variables!$C$18+W95*Variables!$E$29*Variables!$C$18</f>
        <v>2565822.3905321239</v>
      </c>
      <c r="Y95" s="58">
        <f>J95*Variables!$E$30</f>
        <v>46280.465999999993</v>
      </c>
      <c r="Z95" s="1"/>
      <c r="AA95" s="245">
        <f>D95*(IF(D95&lt;Variables!$C$7,Variables!$C$38,IF(D95&gt;Variables!$C$6,Variables!$C$36,Variables!$C$37)))</f>
        <v>12.164896799999998</v>
      </c>
      <c r="AB95" s="64">
        <f t="shared" si="13"/>
        <v>12</v>
      </c>
      <c r="AC95" s="66">
        <f t="shared" si="2"/>
        <v>0</v>
      </c>
      <c r="AD95" s="62">
        <f>AC95*Variables!$E$41</f>
        <v>0</v>
      </c>
      <c r="AE95" s="71">
        <f>ROUND((H95/(3.14*Variables!$C$35^2)),0)</f>
        <v>5</v>
      </c>
      <c r="AF95" s="57">
        <f t="shared" si="14"/>
        <v>5</v>
      </c>
      <c r="AG95" s="57">
        <f t="shared" si="3"/>
        <v>0</v>
      </c>
      <c r="AH95" s="58">
        <f>AG95*Variables!$E$42*Variables!$C$18</f>
        <v>0</v>
      </c>
      <c r="AI95" s="73">
        <f t="shared" si="4"/>
        <v>0</v>
      </c>
      <c r="AJ95" s="66">
        <f t="shared" si="15"/>
        <v>0</v>
      </c>
      <c r="AK95" s="66">
        <f t="shared" si="5"/>
        <v>0</v>
      </c>
      <c r="AL95" s="62">
        <f>IF(AK95*Variables!$E$43*Variables!$C$18&lt;0,0,AK95*Variables!$E$43*Variables!$C$18)</f>
        <v>0</v>
      </c>
      <c r="AM95" s="58">
        <f>AA95*Variables!$E$39*Variables!$C$18</f>
        <v>3516291.5769577245</v>
      </c>
      <c r="AN95" s="1"/>
      <c r="AO95" s="76">
        <f t="shared" si="16"/>
        <v>0.67714285714285716</v>
      </c>
      <c r="AP95" s="76">
        <f t="shared" si="6"/>
        <v>96.585901233857754</v>
      </c>
      <c r="AQ95" s="75">
        <f>VLOOKUP(B95,'Household Information'!$B$2:$E$48,4,FALSE)</f>
        <v>40.760000000000005</v>
      </c>
      <c r="AR95" s="79">
        <f>IF(12*(AP95-Variables!$C$45*AQ95*F95)*(G95/5)&lt;0,0,12*(AP95-Variables!$C$45*AQ95*F95)*(G95/5))</f>
        <v>2015357.7577190395</v>
      </c>
      <c r="AS95" s="1"/>
      <c r="AT95" s="62">
        <v>0</v>
      </c>
      <c r="AU95" s="1"/>
    </row>
    <row r="96" spans="1:47" ht="14.25" customHeight="1">
      <c r="A96" s="1">
        <v>46</v>
      </c>
      <c r="B96" s="3" t="s">
        <v>243</v>
      </c>
      <c r="C96" s="1">
        <v>2020</v>
      </c>
      <c r="D96" s="13">
        <f>VLOOKUP(B96,Population!$B$1:$O$48,4,FALSE)</f>
        <v>31095.281174999993</v>
      </c>
      <c r="E96" s="13" t="str">
        <f t="shared" si="17"/>
        <v>Small</v>
      </c>
      <c r="F96" s="54">
        <f>VLOOKUP(B96,'Household Information'!$B$1:$E$48,2,FALSE)</f>
        <v>2.6682284299858559</v>
      </c>
      <c r="G96" s="54">
        <f t="shared" si="0"/>
        <v>11653.905199999997</v>
      </c>
      <c r="H96" s="55">
        <f>IF(D96&gt;Variables!$C$6,H49,H49*(1+Variables!$C$9))</f>
        <v>3.8259612179745583</v>
      </c>
      <c r="I96" s="55"/>
      <c r="J96" s="13">
        <f>H96*Variables!$C$21</f>
        <v>68.867301923542044</v>
      </c>
      <c r="K96" s="13">
        <f t="shared" si="12"/>
        <v>66.667281629759984</v>
      </c>
      <c r="L96" s="54">
        <f t="shared" si="1"/>
        <v>2.2000202937820603</v>
      </c>
      <c r="M96" s="56"/>
      <c r="N96" s="57"/>
      <c r="O96" s="57"/>
      <c r="P96" s="57"/>
      <c r="Q96" s="57"/>
      <c r="R96" s="57"/>
      <c r="S96" s="58">
        <v>0</v>
      </c>
      <c r="T96" s="59">
        <f>$L96*Variables!$C$22/100</f>
        <v>0.11945811549947838</v>
      </c>
      <c r="U96" s="59">
        <f>$L96*Variables!$C$23/100</f>
        <v>0.20905170212408716</v>
      </c>
      <c r="V96" s="59">
        <f>$L96*Variables!$C$24/100</f>
        <v>0.21900654508237705</v>
      </c>
      <c r="W96" s="59">
        <f>$L96*Variables!$C$25/100</f>
        <v>1.5927748733263787</v>
      </c>
      <c r="X96" s="62">
        <f>T96*Variables!$E$26*Variables!$C$18+'Cost Calculations'!U96*Variables!$E$27*Variables!$C$18+'Cost Calculations'!V96*Variables!$E$28*Variables!$C$18+W96*Variables!$E$29*Variables!$C$18</f>
        <v>2500824.6187360794</v>
      </c>
      <c r="Y96" s="58">
        <f>J96*Variables!$E$30</f>
        <v>45108.082759920042</v>
      </c>
      <c r="Z96" s="1"/>
      <c r="AA96" s="245">
        <f>D96*(IF(D96&lt;Variables!$C$7,Variables!$C$38,IF(D96&gt;Variables!$C$6,Variables!$C$36,Variables!$C$37)))</f>
        <v>15.547640587499997</v>
      </c>
      <c r="AB96" s="64">
        <f t="shared" si="13"/>
        <v>15</v>
      </c>
      <c r="AC96" s="66">
        <f t="shared" si="2"/>
        <v>1</v>
      </c>
      <c r="AD96" s="62">
        <f>AC96*Variables!$E$41</f>
        <v>537600</v>
      </c>
      <c r="AE96" s="71">
        <f>ROUND((H96/(3.14*Variables!$C$35^2)),0)</f>
        <v>5</v>
      </c>
      <c r="AF96" s="57">
        <f t="shared" si="14"/>
        <v>5</v>
      </c>
      <c r="AG96" s="57">
        <f t="shared" si="3"/>
        <v>0</v>
      </c>
      <c r="AH96" s="58">
        <f>AG96*Variables!$E$42*Variables!$C$18</f>
        <v>0</v>
      </c>
      <c r="AI96" s="73">
        <f t="shared" si="4"/>
        <v>0</v>
      </c>
      <c r="AJ96" s="66">
        <f t="shared" si="15"/>
        <v>0</v>
      </c>
      <c r="AK96" s="66">
        <f t="shared" si="5"/>
        <v>0</v>
      </c>
      <c r="AL96" s="62">
        <f>IF(AK96*Variables!$E$43*Variables!$C$18&lt;0,0,AK96*Variables!$E$43*Variables!$C$18)</f>
        <v>0</v>
      </c>
      <c r="AM96" s="58">
        <f>AA96*Variables!$E$39*Variables!$C$18</f>
        <v>4494081.4984466042</v>
      </c>
      <c r="AN96" s="1"/>
      <c r="AO96" s="76">
        <f t="shared" si="16"/>
        <v>0.67714285714285716</v>
      </c>
      <c r="AP96" s="76">
        <f t="shared" si="6"/>
        <v>108.40630935542534</v>
      </c>
      <c r="AQ96" s="75">
        <f>VLOOKUP(B96,'Household Information'!$B$2:$E$48,4,FALSE)</f>
        <v>40.760000000000005</v>
      </c>
      <c r="AR96" s="79">
        <f>IF(12*(AP96-Variables!$C$45*AQ96*F96)*(G96/5)&lt;0,0,12*(AP96-Variables!$C$45*AQ96*F96)*(G96/5))</f>
        <v>2575776.7276945193</v>
      </c>
      <c r="AS96" s="1"/>
      <c r="AT96" s="62">
        <v>0</v>
      </c>
      <c r="AU96" s="1"/>
    </row>
    <row r="97" spans="1:47" ht="14.25" customHeight="1">
      <c r="A97" s="1">
        <v>47</v>
      </c>
      <c r="B97" s="3" t="s">
        <v>244</v>
      </c>
      <c r="C97" s="1">
        <v>2020</v>
      </c>
      <c r="D97" s="13">
        <f>VLOOKUP(B97,Population!$B$1:$O$48,4,FALSE)</f>
        <v>65897.311899999986</v>
      </c>
      <c r="E97" s="13" t="str">
        <f t="shared" si="17"/>
        <v>Small</v>
      </c>
      <c r="F97" s="54">
        <f>VLOOKUP(B97,'Household Information'!$B$1:$E$48,2,FALSE)</f>
        <v>3.4580000000000002</v>
      </c>
      <c r="G97" s="54">
        <f t="shared" si="0"/>
        <v>19056.481174089065</v>
      </c>
      <c r="H97" s="55">
        <f>IF(D97&gt;Variables!$C$6,H50,H50*(1+Variables!$C$9))</f>
        <v>4.3385999999999996</v>
      </c>
      <c r="I97" s="55"/>
      <c r="J97" s="13">
        <f>H97*Variables!$C$21</f>
        <v>78.094799999999992</v>
      </c>
      <c r="K97" s="13">
        <f t="shared" si="12"/>
        <v>94.147999999999996</v>
      </c>
      <c r="L97" s="54">
        <f t="shared" si="1"/>
        <v>0</v>
      </c>
      <c r="M97" s="56"/>
      <c r="N97" s="57"/>
      <c r="O97" s="57"/>
      <c r="P97" s="57"/>
      <c r="Q97" s="57"/>
      <c r="R97" s="57"/>
      <c r="S97" s="58">
        <v>0</v>
      </c>
      <c r="T97" s="59">
        <f>$L97*Variables!$C$22/100</f>
        <v>0</v>
      </c>
      <c r="U97" s="59">
        <f>$L97*Variables!$C$23/100</f>
        <v>0</v>
      </c>
      <c r="V97" s="59">
        <f>$L97*Variables!$C$24/100</f>
        <v>0</v>
      </c>
      <c r="W97" s="59">
        <f>$L97*Variables!$C$25/100</f>
        <v>0</v>
      </c>
      <c r="X97" s="62">
        <f>T97*Variables!$E$26*Variables!$C$18+'Cost Calculations'!U97*Variables!$E$27*Variables!$C$18+'Cost Calculations'!V97*Variables!$E$28*Variables!$C$18+W97*Variables!$E$29*Variables!$C$18</f>
        <v>0</v>
      </c>
      <c r="Y97" s="58">
        <f>J97*Variables!$E$30</f>
        <v>51152.093999999997</v>
      </c>
      <c r="Z97" s="1"/>
      <c r="AA97" s="245">
        <f>D97*(IF(D97&lt;Variables!$C$7,Variables!$C$38,IF(D97&gt;Variables!$C$6,Variables!$C$36,Variables!$C$37)))</f>
        <v>52.717849519999994</v>
      </c>
      <c r="AB97" s="64">
        <f t="shared" si="13"/>
        <v>51</v>
      </c>
      <c r="AC97" s="66">
        <f t="shared" si="2"/>
        <v>2</v>
      </c>
      <c r="AD97" s="62">
        <f>AC97*Variables!$E$41</f>
        <v>1075200</v>
      </c>
      <c r="AE97" s="71">
        <f>ROUND((H97/(3.14*Variables!$C$35^2)),0)</f>
        <v>6</v>
      </c>
      <c r="AF97" s="57">
        <f t="shared" si="14"/>
        <v>5</v>
      </c>
      <c r="AG97" s="57">
        <f t="shared" si="3"/>
        <v>1</v>
      </c>
      <c r="AH97" s="58">
        <f>AG97*Variables!$E$42*Variables!$C$18</f>
        <v>1148.2560000000001</v>
      </c>
      <c r="AI97" s="73">
        <f t="shared" si="4"/>
        <v>0</v>
      </c>
      <c r="AJ97" s="66">
        <f t="shared" si="15"/>
        <v>0</v>
      </c>
      <c r="AK97" s="66">
        <f t="shared" si="5"/>
        <v>0</v>
      </c>
      <c r="AL97" s="62">
        <f>IF(AK97*Variables!$E$43*Variables!$C$18&lt;0,0,AK97*Variables!$E$43*Variables!$C$18)</f>
        <v>0</v>
      </c>
      <c r="AM97" s="58">
        <f>AA97*Variables!$E$39*Variables!$C$18</f>
        <v>15238216.424696743</v>
      </c>
      <c r="AN97" s="1"/>
      <c r="AO97" s="76">
        <f t="shared" si="16"/>
        <v>0.67714285714285716</v>
      </c>
      <c r="AP97" s="76">
        <f t="shared" si="6"/>
        <v>140.49359999999999</v>
      </c>
      <c r="AQ97" s="75">
        <f>VLOOKUP(B97,'Household Information'!$B$2:$E$48,4,FALSE)</f>
        <v>40.760000000000005</v>
      </c>
      <c r="AR97" s="79">
        <f>IF(12*(AP97-Variables!$C$45*AQ97*F97)*(G97/5)&lt;0,0,12*(AP97-Variables!$C$45*AQ97*F97)*(G97/5))</f>
        <v>5458601.9484561579</v>
      </c>
      <c r="AS97" s="1"/>
      <c r="AT97" s="62">
        <v>0</v>
      </c>
      <c r="AU97" s="1"/>
    </row>
    <row r="98" spans="1:47" ht="14.25" customHeight="1">
      <c r="A98" s="1">
        <v>1</v>
      </c>
      <c r="B98" s="3" t="s">
        <v>76</v>
      </c>
      <c r="C98" s="1">
        <v>2021</v>
      </c>
      <c r="D98" s="13">
        <f>VLOOKUP(B98,Population!$B$1:$O$48,5,FALSE)</f>
        <v>7509506.8340328718</v>
      </c>
      <c r="E98" s="13" t="str">
        <f t="shared" si="17"/>
        <v>Large</v>
      </c>
      <c r="F98" s="54">
        <f>VLOOKUP(B98,'Household Information'!$B$1:$E$48,2,FALSE)</f>
        <v>2.8458153079093123</v>
      </c>
      <c r="G98" s="54">
        <f t="shared" si="0"/>
        <v>2638789.2472016239</v>
      </c>
      <c r="H98" s="55">
        <f>IF(D98&gt;Variables!$C$6,H51,H51*(1+Variables!$C$9))</f>
        <v>418.2688494446499</v>
      </c>
      <c r="I98" s="55"/>
      <c r="J98" s="13">
        <f>H98*Variables!$C$21</f>
        <v>7528.8392900036979</v>
      </c>
      <c r="K98" s="13">
        <f t="shared" si="12"/>
        <v>13984</v>
      </c>
      <c r="L98" s="54">
        <f t="shared" si="1"/>
        <v>0</v>
      </c>
      <c r="M98" s="56"/>
      <c r="N98" s="57"/>
      <c r="O98" s="57"/>
      <c r="P98" s="57"/>
      <c r="Q98" s="57"/>
      <c r="R98" s="57"/>
      <c r="S98" s="58">
        <v>0</v>
      </c>
      <c r="T98" s="59">
        <f>$L98*Variables!$C$22/100</f>
        <v>0</v>
      </c>
      <c r="U98" s="59">
        <f>$L98*Variables!$C$23/100</f>
        <v>0</v>
      </c>
      <c r="V98" s="59">
        <f>$L98*Variables!$C$24/100</f>
        <v>0</v>
      </c>
      <c r="W98" s="59">
        <f>$L98*Variables!$C$25/100</f>
        <v>0</v>
      </c>
      <c r="X98" s="62">
        <f>T98*Variables!$E$26*Variables!$C$18+'Cost Calculations'!U98*Variables!$E$27*Variables!$C$18+'Cost Calculations'!V98*Variables!$E$28*Variables!$C$18+W98*Variables!$E$29*Variables!$C$18</f>
        <v>0</v>
      </c>
      <c r="Y98" s="58">
        <f>J98*Variables!$E$30</f>
        <v>4931389.7349524219</v>
      </c>
      <c r="Z98" s="1"/>
      <c r="AA98" s="245">
        <f>D98*(IF(D98&lt;Variables!$C$7,Variables!$C$38,IF(D98&gt;Variables!$C$6,Variables!$C$36,Variables!$C$37)))</f>
        <v>9011.4082008394453</v>
      </c>
      <c r="AB98" s="64">
        <f t="shared" si="13"/>
        <v>8878</v>
      </c>
      <c r="AC98" s="66">
        <f t="shared" si="2"/>
        <v>133</v>
      </c>
      <c r="AD98" s="62">
        <f>AC98*Variables!$E$41</f>
        <v>71500800</v>
      </c>
      <c r="AE98" s="71">
        <f>ROUND((H98/(3.14*Variables!$C$35^2)),0)</f>
        <v>533</v>
      </c>
      <c r="AF98" s="57">
        <f t="shared" si="14"/>
        <v>853</v>
      </c>
      <c r="AG98" s="57">
        <f t="shared" si="3"/>
        <v>0</v>
      </c>
      <c r="AH98" s="58">
        <f>AG98*Variables!$E$42*Variables!$C$18</f>
        <v>0</v>
      </c>
      <c r="AI98" s="73">
        <f t="shared" si="4"/>
        <v>75</v>
      </c>
      <c r="AJ98" s="66">
        <f t="shared" si="15"/>
        <v>74</v>
      </c>
      <c r="AK98" s="66">
        <f t="shared" si="5"/>
        <v>1</v>
      </c>
      <c r="AL98" s="62">
        <f>IF(AK98*Variables!$E$43*Variables!$C$18&lt;0,0,AK98*Variables!$E$43*Variables!$C$18)</f>
        <v>945381.49199999997</v>
      </c>
      <c r="AM98" s="58">
        <f>AA98*Variables!$E$39*Variables!$C$18</f>
        <v>2604768398.2933183</v>
      </c>
      <c r="AN98" s="1"/>
      <c r="AO98" s="76">
        <f t="shared" si="16"/>
        <v>0.68340000000000001</v>
      </c>
      <c r="AP98" s="76">
        <f t="shared" si="6"/>
        <v>116.68981088551344</v>
      </c>
      <c r="AQ98" s="75">
        <f>VLOOKUP(B98,'Household Information'!$B$2:$E$48,4,FALSE)</f>
        <v>91.36</v>
      </c>
      <c r="AR98" s="79">
        <f>IF(12*(AP98-Variables!$C$45*AQ98*F98)*(G98/5)&lt;0,0,12*(AP98-Variables!$C$45*AQ98*F98)*(G98/5))</f>
        <v>492022887.76583385</v>
      </c>
      <c r="AS98" s="1"/>
      <c r="AT98" s="62">
        <v>0</v>
      </c>
      <c r="AU98" s="1"/>
    </row>
    <row r="99" spans="1:47" ht="14.25" customHeight="1">
      <c r="A99" s="1">
        <v>2</v>
      </c>
      <c r="B99" s="3" t="s">
        <v>87</v>
      </c>
      <c r="C99" s="1">
        <v>2021</v>
      </c>
      <c r="D99" s="13">
        <f>VLOOKUP(B99,Population!$B$1:$O$48,5,FALSE)</f>
        <v>2480694.179363749</v>
      </c>
      <c r="E99" s="13" t="str">
        <f t="shared" si="17"/>
        <v>Large</v>
      </c>
      <c r="F99" s="54">
        <f>VLOOKUP(B99,'Household Information'!$B$1:$E$48,2,FALSE)</f>
        <v>2.6591126390039355</v>
      </c>
      <c r="G99" s="54">
        <f t="shared" si="0"/>
        <v>932903.00793462456</v>
      </c>
      <c r="H99" s="55">
        <f>IF(D99&gt;Variables!$C$6,H52,H52*(1+Variables!$C$9))</f>
        <v>119.58406164038337</v>
      </c>
      <c r="I99" s="55"/>
      <c r="J99" s="13">
        <f>H99*Variables!$C$21</f>
        <v>2152.5131095269007</v>
      </c>
      <c r="K99" s="13">
        <f t="shared" si="12"/>
        <v>2152.5131095269007</v>
      </c>
      <c r="L99" s="54">
        <f t="shared" si="1"/>
        <v>0</v>
      </c>
      <c r="M99" s="56"/>
      <c r="N99" s="57"/>
      <c r="O99" s="57"/>
      <c r="P99" s="57"/>
      <c r="Q99" s="57"/>
      <c r="R99" s="57"/>
      <c r="S99" s="58">
        <v>0</v>
      </c>
      <c r="T99" s="59">
        <f>$L99*Variables!$C$22/100</f>
        <v>0</v>
      </c>
      <c r="U99" s="59">
        <f>$L99*Variables!$C$23/100</f>
        <v>0</v>
      </c>
      <c r="V99" s="59">
        <f>$L99*Variables!$C$24/100</f>
        <v>0</v>
      </c>
      <c r="W99" s="59">
        <f>$L99*Variables!$C$25/100</f>
        <v>0</v>
      </c>
      <c r="X99" s="62">
        <f>T99*Variables!$E$26*Variables!$C$18+'Cost Calculations'!U99*Variables!$E$27*Variables!$C$18+'Cost Calculations'!V99*Variables!$E$28*Variables!$C$18+W99*Variables!$E$29*Variables!$C$18</f>
        <v>0</v>
      </c>
      <c r="Y99" s="58">
        <f>J99*Variables!$E$30</f>
        <v>1409896.0867401201</v>
      </c>
      <c r="Z99" s="1"/>
      <c r="AA99" s="245">
        <f>D99*(IF(D99&lt;Variables!$C$7,Variables!$C$38,IF(D99&gt;Variables!$C$6,Variables!$C$36,Variables!$C$37)))</f>
        <v>2976.8330152364983</v>
      </c>
      <c r="AB99" s="64">
        <f t="shared" si="13"/>
        <v>4664</v>
      </c>
      <c r="AC99" s="66">
        <f t="shared" si="2"/>
        <v>0</v>
      </c>
      <c r="AD99" s="62">
        <f>AC99*Variables!$E$41</f>
        <v>0</v>
      </c>
      <c r="AE99" s="71">
        <f>ROUND((H99/(3.14*Variables!$C$35^2)),0)</f>
        <v>152</v>
      </c>
      <c r="AF99" s="57">
        <f t="shared" si="14"/>
        <v>152</v>
      </c>
      <c r="AG99" s="57">
        <f t="shared" si="3"/>
        <v>0</v>
      </c>
      <c r="AH99" s="58">
        <f>AG99*Variables!$E$42*Variables!$C$18</f>
        <v>0</v>
      </c>
      <c r="AI99" s="73">
        <f t="shared" si="4"/>
        <v>25</v>
      </c>
      <c r="AJ99" s="66">
        <f t="shared" si="15"/>
        <v>24</v>
      </c>
      <c r="AK99" s="66">
        <f t="shared" si="5"/>
        <v>1</v>
      </c>
      <c r="AL99" s="62">
        <f>IF(AK99*Variables!$E$43*Variables!$C$18&lt;0,0,AK99*Variables!$E$43*Variables!$C$18)</f>
        <v>945381.49199999997</v>
      </c>
      <c r="AM99" s="58">
        <f>AA99*Variables!$E$39*Variables!$C$18</f>
        <v>860460473.24345303</v>
      </c>
      <c r="AN99" s="1"/>
      <c r="AO99" s="76">
        <f t="shared" si="16"/>
        <v>0.75480000000000003</v>
      </c>
      <c r="AP99" s="76">
        <f t="shared" si="6"/>
        <v>120.42589319521024</v>
      </c>
      <c r="AQ99" s="75">
        <f>VLOOKUP(B99,'Household Information'!$B$2:$E$48,4,FALSE)</f>
        <v>73.64</v>
      </c>
      <c r="AR99" s="79">
        <f>IF(12*(AP99-Variables!$C$45*AQ99*F99)*(G99/5)&lt;0,0,12*(AP99-Variables!$C$45*AQ99*F99)*(G99/5))</f>
        <v>203865432.21545643</v>
      </c>
      <c r="AS99" s="1"/>
      <c r="AT99" s="62">
        <v>0</v>
      </c>
      <c r="AU99" s="1"/>
    </row>
    <row r="100" spans="1:47" ht="14.25" customHeight="1">
      <c r="A100" s="1">
        <v>3</v>
      </c>
      <c r="B100" s="3" t="s">
        <v>103</v>
      </c>
      <c r="C100" s="1">
        <v>2021</v>
      </c>
      <c r="D100" s="13">
        <f>VLOOKUP(B100,Population!$B$1:$O$48,5,FALSE)</f>
        <v>1906134.6937578742</v>
      </c>
      <c r="E100" s="13" t="str">
        <f t="shared" si="17"/>
        <v>Large</v>
      </c>
      <c r="F100" s="54">
        <f>VLOOKUP(B100,'Household Information'!$B$1:$E$48,2,FALSE)</f>
        <v>2.6407866430045996</v>
      </c>
      <c r="G100" s="54">
        <f t="shared" si="0"/>
        <v>721805.64030312467</v>
      </c>
      <c r="H100" s="55">
        <f>IF(D100&gt;Variables!$C$6,H53,H53*(1+Variables!$C$9))</f>
        <v>224.70642399999997</v>
      </c>
      <c r="I100" s="55"/>
      <c r="J100" s="13">
        <f>H100*Variables!$C$21</f>
        <v>4044.7156319999995</v>
      </c>
      <c r="K100" s="13">
        <f t="shared" si="12"/>
        <v>4044.7156319999995</v>
      </c>
      <c r="L100" s="54">
        <f t="shared" si="1"/>
        <v>0</v>
      </c>
      <c r="M100" s="56"/>
      <c r="N100" s="57"/>
      <c r="O100" s="57"/>
      <c r="P100" s="57"/>
      <c r="Q100" s="57"/>
      <c r="R100" s="57"/>
      <c r="S100" s="58">
        <v>0</v>
      </c>
      <c r="T100" s="59">
        <f>$L100*Variables!$C$22/100</f>
        <v>0</v>
      </c>
      <c r="U100" s="59">
        <f>$L100*Variables!$C$23/100</f>
        <v>0</v>
      </c>
      <c r="V100" s="59">
        <f>$L100*Variables!$C$24/100</f>
        <v>0</v>
      </c>
      <c r="W100" s="59">
        <f>$L100*Variables!$C$25/100</f>
        <v>0</v>
      </c>
      <c r="X100" s="62">
        <f>T100*Variables!$E$26*Variables!$C$18+'Cost Calculations'!U100*Variables!$E$27*Variables!$C$18+'Cost Calculations'!V100*Variables!$E$28*Variables!$C$18+W100*Variables!$E$29*Variables!$C$18</f>
        <v>0</v>
      </c>
      <c r="Y100" s="58">
        <f>J100*Variables!$E$30</f>
        <v>2649288.7389599998</v>
      </c>
      <c r="Z100" s="1"/>
      <c r="AA100" s="245">
        <f>D100*(IF(D100&lt;Variables!$C$7,Variables!$C$38,IF(D100&gt;Variables!$C$6,Variables!$C$36,Variables!$C$37)))</f>
        <v>2287.361632509449</v>
      </c>
      <c r="AB100" s="64">
        <f t="shared" si="13"/>
        <v>2254</v>
      </c>
      <c r="AC100" s="66">
        <f t="shared" si="2"/>
        <v>33</v>
      </c>
      <c r="AD100" s="62">
        <f>AC100*Variables!$E$41</f>
        <v>17740800</v>
      </c>
      <c r="AE100" s="71">
        <f>ROUND((H100/(3.14*Variables!$C$35^2)),0)</f>
        <v>286</v>
      </c>
      <c r="AF100" s="57">
        <f t="shared" si="14"/>
        <v>286</v>
      </c>
      <c r="AG100" s="57">
        <f t="shared" si="3"/>
        <v>0</v>
      </c>
      <c r="AH100" s="58">
        <f>AG100*Variables!$E$42*Variables!$C$18</f>
        <v>0</v>
      </c>
      <c r="AI100" s="73">
        <f t="shared" si="4"/>
        <v>19</v>
      </c>
      <c r="AJ100" s="66">
        <f t="shared" si="15"/>
        <v>19</v>
      </c>
      <c r="AK100" s="66">
        <f t="shared" si="5"/>
        <v>0</v>
      </c>
      <c r="AL100" s="62">
        <f>IF(AK100*Variables!$E$43*Variables!$C$18&lt;0,0,AK100*Variables!$E$43*Variables!$C$18)</f>
        <v>0</v>
      </c>
      <c r="AM100" s="58">
        <f>AA100*Variables!$E$39*Variables!$C$18</f>
        <v>661167174.21303952</v>
      </c>
      <c r="AN100" s="1"/>
      <c r="AO100" s="76">
        <f t="shared" si="16"/>
        <v>0.61199999999999999</v>
      </c>
      <c r="AP100" s="76">
        <f t="shared" si="6"/>
        <v>96.969685531128903</v>
      </c>
      <c r="AQ100" s="75">
        <f>VLOOKUP(B100,'Household Information'!$B$2:$E$48,4,FALSE)</f>
        <v>61.12</v>
      </c>
      <c r="AR100" s="79">
        <f>IF(12*(AP100-Variables!$C$45*AQ100*F100)*(G100/5)&lt;0,0,12*(AP100-Variables!$C$45*AQ100*F100)*(G100/5))</f>
        <v>126042775.39780068</v>
      </c>
      <c r="AS100" s="1"/>
      <c r="AT100" s="62">
        <v>0</v>
      </c>
      <c r="AU100" s="1"/>
    </row>
    <row r="101" spans="1:47" ht="14.25" customHeight="1">
      <c r="A101" s="1">
        <v>4</v>
      </c>
      <c r="B101" s="3" t="s">
        <v>104</v>
      </c>
      <c r="C101" s="1">
        <v>2021</v>
      </c>
      <c r="D101" s="13">
        <f>VLOOKUP(B101,Population!$B$1:$O$48,5,FALSE)</f>
        <v>1171267.4848726245</v>
      </c>
      <c r="E101" s="13" t="str">
        <f t="shared" si="17"/>
        <v>Large</v>
      </c>
      <c r="F101" s="54">
        <f>VLOOKUP(B101,'Household Information'!$B$1:$E$48,2,FALSE)</f>
        <v>3.2280741697119208</v>
      </c>
      <c r="G101" s="54">
        <f t="shared" si="0"/>
        <v>362837.84798449988</v>
      </c>
      <c r="H101" s="55">
        <f>IF(D101&gt;Variables!$C$6,H54,H54*(1+Variables!$C$9))</f>
        <v>154</v>
      </c>
      <c r="I101" s="55"/>
      <c r="J101" s="13">
        <f>H101*Variables!$C$21</f>
        <v>2772</v>
      </c>
      <c r="K101" s="13">
        <f t="shared" si="12"/>
        <v>3916</v>
      </c>
      <c r="L101" s="54">
        <f t="shared" si="1"/>
        <v>0</v>
      </c>
      <c r="M101" s="56"/>
      <c r="N101" s="57"/>
      <c r="O101" s="57"/>
      <c r="P101" s="57"/>
      <c r="Q101" s="57"/>
      <c r="R101" s="57"/>
      <c r="S101" s="58">
        <v>0</v>
      </c>
      <c r="T101" s="59">
        <f>$L101*Variables!$C$22/100</f>
        <v>0</v>
      </c>
      <c r="U101" s="59">
        <f>$L101*Variables!$C$23/100</f>
        <v>0</v>
      </c>
      <c r="V101" s="59">
        <f>$L101*Variables!$C$24/100</f>
        <v>0</v>
      </c>
      <c r="W101" s="59">
        <f>$L101*Variables!$C$25/100</f>
        <v>0</v>
      </c>
      <c r="X101" s="62">
        <f>T101*Variables!$E$26*Variables!$C$18+'Cost Calculations'!U101*Variables!$E$27*Variables!$C$18+'Cost Calculations'!V101*Variables!$E$28*Variables!$C$18+W101*Variables!$E$29*Variables!$C$18</f>
        <v>0</v>
      </c>
      <c r="Y101" s="58">
        <f>J101*Variables!$E$30</f>
        <v>1815660</v>
      </c>
      <c r="Z101" s="1"/>
      <c r="AA101" s="245">
        <f>D101*(IF(D101&lt;Variables!$C$7,Variables!$C$38,IF(D101&gt;Variables!$C$6,Variables!$C$36,Variables!$C$37)))</f>
        <v>1405.5209818471492</v>
      </c>
      <c r="AB101" s="64">
        <f t="shared" si="13"/>
        <v>2043</v>
      </c>
      <c r="AC101" s="66">
        <f t="shared" si="2"/>
        <v>0</v>
      </c>
      <c r="AD101" s="62">
        <f>AC101*Variables!$E$41</f>
        <v>0</v>
      </c>
      <c r="AE101" s="71">
        <f>ROUND((H101/(3.14*Variables!$C$35^2)),0)</f>
        <v>196</v>
      </c>
      <c r="AF101" s="57">
        <f t="shared" si="14"/>
        <v>196</v>
      </c>
      <c r="AG101" s="57">
        <f t="shared" si="3"/>
        <v>0</v>
      </c>
      <c r="AH101" s="58">
        <f>AG101*Variables!$E$42*Variables!$C$18</f>
        <v>0</v>
      </c>
      <c r="AI101" s="73">
        <f t="shared" si="4"/>
        <v>12</v>
      </c>
      <c r="AJ101" s="66">
        <f t="shared" si="15"/>
        <v>12</v>
      </c>
      <c r="AK101" s="66">
        <f t="shared" si="5"/>
        <v>0</v>
      </c>
      <c r="AL101" s="62">
        <f>IF(AK101*Variables!$E$43*Variables!$C$18&lt;0,0,AK101*Variables!$E$43*Variables!$C$18)</f>
        <v>0</v>
      </c>
      <c r="AM101" s="58">
        <f>AA101*Variables!$E$39*Variables!$C$18</f>
        <v>406269093.02728182</v>
      </c>
      <c r="AN101" s="1"/>
      <c r="AO101" s="76">
        <f t="shared" si="16"/>
        <v>0.6804</v>
      </c>
      <c r="AP101" s="76">
        <f t="shared" si="6"/>
        <v>131.78289990431946</v>
      </c>
      <c r="AQ101" s="75">
        <f>VLOOKUP(B101,'Household Information'!$B$2:$E$48,4,FALSE)</f>
        <v>42.71</v>
      </c>
      <c r="AR101" s="79">
        <f>IF(12*(AP101-Variables!$C$45*AQ101*F101)*(G101/5)&lt;0,0,12*(AP101-Variables!$C$45*AQ101*F101)*(G101/5))</f>
        <v>96749036.785448566</v>
      </c>
      <c r="AS101" s="1"/>
      <c r="AT101" s="62">
        <v>0</v>
      </c>
      <c r="AU101" s="1"/>
    </row>
    <row r="102" spans="1:47" ht="14.25" customHeight="1">
      <c r="A102" s="1">
        <v>5</v>
      </c>
      <c r="B102" s="3" t="s">
        <v>105</v>
      </c>
      <c r="C102" s="1">
        <v>2021</v>
      </c>
      <c r="D102" s="13">
        <f>VLOOKUP(B102,Population!$B$1:$O$48,5,FALSE)</f>
        <v>553012.23701062484</v>
      </c>
      <c r="E102" s="13" t="str">
        <f t="shared" si="17"/>
        <v>Medium</v>
      </c>
      <c r="F102" s="54">
        <f>VLOOKUP(B102,'Household Information'!$B$1:$E$48,2,FALSE)</f>
        <v>2.791645991913092</v>
      </c>
      <c r="G102" s="54">
        <f t="shared" si="0"/>
        <v>198095.40271674996</v>
      </c>
      <c r="H102" s="55">
        <f>IF(D102&gt;Variables!$C$6,H55,H55*(1+Variables!$C$9))</f>
        <v>76.806648999999993</v>
      </c>
      <c r="I102" s="55"/>
      <c r="J102" s="13">
        <f>H102*Variables!$C$21</f>
        <v>1382.5196819999999</v>
      </c>
      <c r="K102" s="13">
        <f t="shared" si="12"/>
        <v>1382.5196819999999</v>
      </c>
      <c r="L102" s="54">
        <f t="shared" si="1"/>
        <v>0</v>
      </c>
      <c r="M102" s="56"/>
      <c r="N102" s="57"/>
      <c r="O102" s="57"/>
      <c r="P102" s="57"/>
      <c r="Q102" s="57"/>
      <c r="R102" s="57"/>
      <c r="S102" s="58">
        <v>0</v>
      </c>
      <c r="T102" s="59">
        <f>$L102*Variables!$C$22/100</f>
        <v>0</v>
      </c>
      <c r="U102" s="59">
        <f>$L102*Variables!$C$23/100</f>
        <v>0</v>
      </c>
      <c r="V102" s="59">
        <f>$L102*Variables!$C$24/100</f>
        <v>0</v>
      </c>
      <c r="W102" s="59">
        <f>$L102*Variables!$C$25/100</f>
        <v>0</v>
      </c>
      <c r="X102" s="62">
        <f>T102*Variables!$E$26*Variables!$C$18+'Cost Calculations'!U102*Variables!$E$27*Variables!$C$18+'Cost Calculations'!V102*Variables!$E$28*Variables!$C$18+W102*Variables!$E$29*Variables!$C$18</f>
        <v>0</v>
      </c>
      <c r="Y102" s="58">
        <f>J102*Variables!$E$30</f>
        <v>905550.39170999988</v>
      </c>
      <c r="Z102" s="1"/>
      <c r="AA102" s="245">
        <f>D102*(IF(D102&lt;Variables!$C$7,Variables!$C$38,IF(D102&gt;Variables!$C$6,Variables!$C$36,Variables!$C$37)))</f>
        <v>663.61468441274974</v>
      </c>
      <c r="AB102" s="64">
        <f t="shared" si="13"/>
        <v>654</v>
      </c>
      <c r="AC102" s="66">
        <f t="shared" si="2"/>
        <v>10</v>
      </c>
      <c r="AD102" s="62">
        <f>AC102*Variables!$E$41</f>
        <v>5376000</v>
      </c>
      <c r="AE102" s="71">
        <f>ROUND((H102/(3.14*Variables!$C$35^2)),0)</f>
        <v>98</v>
      </c>
      <c r="AF102" s="57">
        <f t="shared" si="14"/>
        <v>98</v>
      </c>
      <c r="AG102" s="57">
        <f t="shared" si="3"/>
        <v>0</v>
      </c>
      <c r="AH102" s="58">
        <f>AG102*Variables!$E$42*Variables!$C$18</f>
        <v>0</v>
      </c>
      <c r="AI102" s="73">
        <f t="shared" si="4"/>
        <v>6</v>
      </c>
      <c r="AJ102" s="66">
        <f t="shared" si="15"/>
        <v>5</v>
      </c>
      <c r="AK102" s="66">
        <f t="shared" si="5"/>
        <v>1</v>
      </c>
      <c r="AL102" s="62">
        <f>IF(AK102*Variables!$E$43*Variables!$C$18&lt;0,0,AK102*Variables!$E$43*Variables!$C$18)</f>
        <v>945381.49199999997</v>
      </c>
      <c r="AM102" s="58">
        <f>AA102*Variables!$E$39*Variables!$C$18</f>
        <v>191819360.53465009</v>
      </c>
      <c r="AN102" s="1"/>
      <c r="AO102" s="76">
        <f t="shared" si="16"/>
        <v>0.71399999999999997</v>
      </c>
      <c r="AP102" s="76">
        <f t="shared" si="6"/>
        <v>119.59411429355686</v>
      </c>
      <c r="AQ102" s="75">
        <f>VLOOKUP(B102,'Household Information'!$B$2:$E$48,4,FALSE)</f>
        <v>61.2</v>
      </c>
      <c r="AR102" s="79">
        <f>IF(12*(AP102-Variables!$C$45*AQ102*F102)*(G102/5)&lt;0,0,12*(AP102-Variables!$C$45*AQ102*F102)*(G102/5))</f>
        <v>44674540.554666311</v>
      </c>
      <c r="AS102" s="1"/>
      <c r="AT102" s="62">
        <v>0</v>
      </c>
      <c r="AU102" s="1"/>
    </row>
    <row r="103" spans="1:47" ht="14.25" customHeight="1">
      <c r="A103" s="1">
        <v>6</v>
      </c>
      <c r="B103" s="3" t="s">
        <v>106</v>
      </c>
      <c r="C103" s="1">
        <v>2021</v>
      </c>
      <c r="D103" s="13">
        <f>VLOOKUP(B103,Population!$B$1:$O$48,5,FALSE)</f>
        <v>928505.93036774965</v>
      </c>
      <c r="E103" s="13" t="str">
        <f t="shared" si="17"/>
        <v>Medium</v>
      </c>
      <c r="F103" s="54">
        <f>VLOOKUP(B103,'Household Information'!$B$1:$E$48,2,FALSE)</f>
        <v>3.0151582035627214</v>
      </c>
      <c r="G103" s="54">
        <f t="shared" si="0"/>
        <v>307946.00736724987</v>
      </c>
      <c r="H103" s="55">
        <f>IF(D103&gt;Variables!$C$6,H56,H56*(1+Variables!$C$9))</f>
        <v>116.91803899999999</v>
      </c>
      <c r="I103" s="55"/>
      <c r="J103" s="13">
        <f>H103*Variables!$C$21</f>
        <v>2104.5247019999997</v>
      </c>
      <c r="K103" s="13">
        <f t="shared" si="12"/>
        <v>2104.5247019999997</v>
      </c>
      <c r="L103" s="54">
        <f t="shared" si="1"/>
        <v>0</v>
      </c>
      <c r="M103" s="56"/>
      <c r="N103" s="57"/>
      <c r="O103" s="57"/>
      <c r="P103" s="57"/>
      <c r="Q103" s="57"/>
      <c r="R103" s="57"/>
      <c r="S103" s="58">
        <v>0</v>
      </c>
      <c r="T103" s="59">
        <f>$L103*Variables!$C$22/100</f>
        <v>0</v>
      </c>
      <c r="U103" s="59">
        <f>$L103*Variables!$C$23/100</f>
        <v>0</v>
      </c>
      <c r="V103" s="59">
        <f>$L103*Variables!$C$24/100</f>
        <v>0</v>
      </c>
      <c r="W103" s="59">
        <f>$L103*Variables!$C$25/100</f>
        <v>0</v>
      </c>
      <c r="X103" s="62">
        <f>T103*Variables!$E$26*Variables!$C$18+'Cost Calculations'!U103*Variables!$E$27*Variables!$C$18+'Cost Calculations'!V103*Variables!$E$28*Variables!$C$18+W103*Variables!$E$29*Variables!$C$18</f>
        <v>0</v>
      </c>
      <c r="Y103" s="58">
        <f>J103*Variables!$E$30</f>
        <v>1378463.6798099999</v>
      </c>
      <c r="Z103" s="1"/>
      <c r="AA103" s="245">
        <f>D103*(IF(D103&lt;Variables!$C$7,Variables!$C$38,IF(D103&gt;Variables!$C$6,Variables!$C$36,Variables!$C$37)))</f>
        <v>1114.2071164412994</v>
      </c>
      <c r="AB103" s="64">
        <f t="shared" si="13"/>
        <v>1098</v>
      </c>
      <c r="AC103" s="66">
        <f t="shared" si="2"/>
        <v>16</v>
      </c>
      <c r="AD103" s="62">
        <f>AC103*Variables!$E$41</f>
        <v>8601600</v>
      </c>
      <c r="AE103" s="71">
        <f>ROUND((H103/(3.14*Variables!$C$35^2)),0)</f>
        <v>149</v>
      </c>
      <c r="AF103" s="57">
        <f t="shared" si="14"/>
        <v>149</v>
      </c>
      <c r="AG103" s="57">
        <f t="shared" si="3"/>
        <v>0</v>
      </c>
      <c r="AH103" s="58">
        <f>AG103*Variables!$E$42*Variables!$C$18</f>
        <v>0</v>
      </c>
      <c r="AI103" s="73">
        <f t="shared" si="4"/>
        <v>9</v>
      </c>
      <c r="AJ103" s="66">
        <f t="shared" si="15"/>
        <v>9</v>
      </c>
      <c r="AK103" s="66">
        <f t="shared" si="5"/>
        <v>0</v>
      </c>
      <c r="AL103" s="62">
        <f>IF(AK103*Variables!$E$43*Variables!$C$18&lt;0,0,AK103*Variables!$E$43*Variables!$C$18)</f>
        <v>0</v>
      </c>
      <c r="AM103" s="58">
        <f>AA103*Variables!$E$39*Variables!$C$18</f>
        <v>322064145.95550835</v>
      </c>
      <c r="AN103" s="1"/>
      <c r="AO103" s="76">
        <f t="shared" si="16"/>
        <v>0.68340000000000001</v>
      </c>
      <c r="AP103" s="76">
        <f t="shared" si="6"/>
        <v>123.63354697888582</v>
      </c>
      <c r="AQ103" s="75">
        <f>VLOOKUP(B103,'Household Information'!$B$2:$E$48,4,FALSE)</f>
        <v>55.55</v>
      </c>
      <c r="AR103" s="79">
        <f>IF(12*(AP103-Variables!$C$45*AQ103*F103)*(G103/5)&lt;0,0,12*(AP103-Variables!$C$45*AQ103*F103)*(G103/5))</f>
        <v>72805635.609623834</v>
      </c>
      <c r="AS103" s="1"/>
      <c r="AT103" s="62">
        <v>0</v>
      </c>
      <c r="AU103" s="1"/>
    </row>
    <row r="104" spans="1:47" ht="14.25" customHeight="1">
      <c r="A104" s="1">
        <v>7</v>
      </c>
      <c r="B104" s="3" t="s">
        <v>107</v>
      </c>
      <c r="C104" s="1">
        <v>2021</v>
      </c>
      <c r="D104" s="13">
        <f>VLOOKUP(B104,Population!$B$1:$O$48,5,FALSE)</f>
        <v>658164.60872224974</v>
      </c>
      <c r="E104" s="13" t="str">
        <f t="shared" si="17"/>
        <v>Medium</v>
      </c>
      <c r="F104" s="54">
        <f>VLOOKUP(B104,'Household Information'!$B$1:$E$48,2,FALSE)</f>
        <v>2.7144187891908675</v>
      </c>
      <c r="G104" s="54">
        <f t="shared" si="0"/>
        <v>242469.81023824992</v>
      </c>
      <c r="H104" s="55">
        <f>IF(D104&gt;Variables!$C$6,H57,H57*(1+Variables!$C$9))</f>
        <v>92.766498999999996</v>
      </c>
      <c r="I104" s="55"/>
      <c r="J104" s="13">
        <f>H104*Variables!$C$21</f>
        <v>1669.7969819999998</v>
      </c>
      <c r="K104" s="13">
        <f t="shared" si="12"/>
        <v>1669.7969819999998</v>
      </c>
      <c r="L104" s="54">
        <f t="shared" si="1"/>
        <v>0</v>
      </c>
      <c r="M104" s="56"/>
      <c r="N104" s="57"/>
      <c r="O104" s="57"/>
      <c r="P104" s="57"/>
      <c r="Q104" s="57"/>
      <c r="R104" s="57"/>
      <c r="S104" s="58">
        <v>0</v>
      </c>
      <c r="T104" s="59">
        <f>$L104*Variables!$C$22/100</f>
        <v>0</v>
      </c>
      <c r="U104" s="59">
        <f>$L104*Variables!$C$23/100</f>
        <v>0</v>
      </c>
      <c r="V104" s="59">
        <f>$L104*Variables!$C$24/100</f>
        <v>0</v>
      </c>
      <c r="W104" s="59">
        <f>$L104*Variables!$C$25/100</f>
        <v>0</v>
      </c>
      <c r="X104" s="62">
        <f>T104*Variables!$E$26*Variables!$C$18+'Cost Calculations'!U104*Variables!$E$27*Variables!$C$18+'Cost Calculations'!V104*Variables!$E$28*Variables!$C$18+W104*Variables!$E$29*Variables!$C$18</f>
        <v>0</v>
      </c>
      <c r="Y104" s="58">
        <f>J104*Variables!$E$30</f>
        <v>1093717.0232099998</v>
      </c>
      <c r="Z104" s="1"/>
      <c r="AA104" s="245">
        <f>D104*(IF(D104&lt;Variables!$C$7,Variables!$C$38,IF(D104&gt;Variables!$C$6,Variables!$C$36,Variables!$C$37)))</f>
        <v>789.79753046669964</v>
      </c>
      <c r="AB104" s="64">
        <f t="shared" si="13"/>
        <v>778</v>
      </c>
      <c r="AC104" s="66">
        <f t="shared" si="2"/>
        <v>12</v>
      </c>
      <c r="AD104" s="62">
        <f>AC104*Variables!$E$41</f>
        <v>6451200</v>
      </c>
      <c r="AE104" s="71">
        <f>ROUND((H104/(3.14*Variables!$C$35^2)),0)</f>
        <v>118</v>
      </c>
      <c r="AF104" s="57">
        <f t="shared" si="14"/>
        <v>118</v>
      </c>
      <c r="AG104" s="57">
        <f t="shared" si="3"/>
        <v>0</v>
      </c>
      <c r="AH104" s="58">
        <f>AG104*Variables!$E$42*Variables!$C$18</f>
        <v>0</v>
      </c>
      <c r="AI104" s="73">
        <f t="shared" si="4"/>
        <v>7</v>
      </c>
      <c r="AJ104" s="66">
        <f t="shared" si="15"/>
        <v>6</v>
      </c>
      <c r="AK104" s="66">
        <f t="shared" si="5"/>
        <v>1</v>
      </c>
      <c r="AL104" s="62">
        <f>IF(AK104*Variables!$E$43*Variables!$C$18&lt;0,0,AK104*Variables!$E$43*Variables!$C$18)</f>
        <v>945381.49199999997</v>
      </c>
      <c r="AM104" s="58">
        <f>AA104*Variables!$E$39*Variables!$C$18</f>
        <v>228292804.24985343</v>
      </c>
      <c r="AN104" s="1"/>
      <c r="AO104" s="76">
        <f t="shared" si="16"/>
        <v>0.67714285714285716</v>
      </c>
      <c r="AP104" s="76">
        <f t="shared" si="6"/>
        <v>110.28295766369753</v>
      </c>
      <c r="AQ104" s="75">
        <f>VLOOKUP(B104,'Household Information'!$B$2:$E$48,4,FALSE)</f>
        <v>59.47</v>
      </c>
      <c r="AR104" s="79">
        <f>IF(12*(AP104-Variables!$C$45*AQ104*F104)*(G104/5)&lt;0,0,12*(AP104-Variables!$C$45*AQ104*F104)*(G104/5))</f>
        <v>50085913.020294867</v>
      </c>
      <c r="AS104" s="1"/>
      <c r="AT104" s="62">
        <v>0</v>
      </c>
      <c r="AU104" s="1"/>
    </row>
    <row r="105" spans="1:47" ht="14.25" customHeight="1">
      <c r="A105" s="1">
        <v>8</v>
      </c>
      <c r="B105" s="3" t="s">
        <v>108</v>
      </c>
      <c r="C105" s="1">
        <v>2021</v>
      </c>
      <c r="D105" s="13">
        <f>VLOOKUP(B105,Population!$B$1:$O$48,5,FALSE)</f>
        <v>428383.05988624983</v>
      </c>
      <c r="E105" s="13" t="str">
        <f t="shared" si="17"/>
        <v>Medium</v>
      </c>
      <c r="F105" s="54">
        <f>VLOOKUP(B105,'Household Information'!$B$1:$E$48,2,FALSE)</f>
        <v>2.3617684870776379</v>
      </c>
      <c r="G105" s="54">
        <f t="shared" si="0"/>
        <v>181382.32524912493</v>
      </c>
      <c r="H105" s="55">
        <f>IF(D105&gt;Variables!$C$6,H58,H58*(1+Variables!$C$9))</f>
        <v>39.199250999999997</v>
      </c>
      <c r="I105" s="55"/>
      <c r="J105" s="13">
        <f>H105*Variables!$C$21</f>
        <v>705.58651799999996</v>
      </c>
      <c r="K105" s="13">
        <f t="shared" si="12"/>
        <v>705.58651799999996</v>
      </c>
      <c r="L105" s="54">
        <f t="shared" si="1"/>
        <v>0</v>
      </c>
      <c r="M105" s="56"/>
      <c r="N105" s="57"/>
      <c r="O105" s="57"/>
      <c r="P105" s="57"/>
      <c r="Q105" s="57"/>
      <c r="R105" s="57"/>
      <c r="S105" s="58">
        <v>0</v>
      </c>
      <c r="T105" s="59">
        <f>$L105*Variables!$C$22/100</f>
        <v>0</v>
      </c>
      <c r="U105" s="59">
        <f>$L105*Variables!$C$23/100</f>
        <v>0</v>
      </c>
      <c r="V105" s="59">
        <f>$L105*Variables!$C$24/100</f>
        <v>0</v>
      </c>
      <c r="W105" s="59">
        <f>$L105*Variables!$C$25/100</f>
        <v>0</v>
      </c>
      <c r="X105" s="62">
        <f>T105*Variables!$E$26*Variables!$C$18+'Cost Calculations'!U105*Variables!$E$27*Variables!$C$18+'Cost Calculations'!V105*Variables!$E$28*Variables!$C$18+W105*Variables!$E$29*Variables!$C$18</f>
        <v>0</v>
      </c>
      <c r="Y105" s="58">
        <f>J105*Variables!$E$30</f>
        <v>462159.16928999999</v>
      </c>
      <c r="Z105" s="1"/>
      <c r="AA105" s="245">
        <f>D105*(IF(D105&lt;Variables!$C$7,Variables!$C$38,IF(D105&gt;Variables!$C$6,Variables!$C$36,Variables!$C$37)))</f>
        <v>514.05967186349972</v>
      </c>
      <c r="AB105" s="64">
        <f t="shared" si="13"/>
        <v>978</v>
      </c>
      <c r="AC105" s="66">
        <f t="shared" si="2"/>
        <v>0</v>
      </c>
      <c r="AD105" s="62">
        <f>AC105*Variables!$E$41</f>
        <v>0</v>
      </c>
      <c r="AE105" s="71">
        <f>ROUND((H105/(3.14*Variables!$C$35^2)),0)</f>
        <v>50</v>
      </c>
      <c r="AF105" s="57">
        <f t="shared" si="14"/>
        <v>50</v>
      </c>
      <c r="AG105" s="57">
        <f t="shared" si="3"/>
        <v>0</v>
      </c>
      <c r="AH105" s="58">
        <f>AG105*Variables!$E$42*Variables!$C$18</f>
        <v>0</v>
      </c>
      <c r="AI105" s="73">
        <f t="shared" si="4"/>
        <v>4</v>
      </c>
      <c r="AJ105" s="66">
        <f t="shared" si="15"/>
        <v>4</v>
      </c>
      <c r="AK105" s="66">
        <f t="shared" si="5"/>
        <v>0</v>
      </c>
      <c r="AL105" s="62">
        <f>IF(AK105*Variables!$E$43*Variables!$C$18&lt;0,0,AK105*Variables!$E$43*Variables!$C$18)</f>
        <v>0</v>
      </c>
      <c r="AM105" s="58">
        <f>AA105*Variables!$E$39*Variables!$C$18</f>
        <v>148590137.99667221</v>
      </c>
      <c r="AN105" s="1"/>
      <c r="AO105" s="76">
        <f t="shared" si="16"/>
        <v>0.61199999999999999</v>
      </c>
      <c r="AP105" s="76">
        <f t="shared" si="6"/>
        <v>86.724138845490856</v>
      </c>
      <c r="AQ105" s="75">
        <f>VLOOKUP(B105,'Household Information'!$B$2:$E$48,4,FALSE)</f>
        <v>75.66</v>
      </c>
      <c r="AR105" s="79">
        <f>IF(12*(AP105-Variables!$C$45*AQ105*F105)*(G105/5)&lt;0,0,12*(AP105-Variables!$C$45*AQ105*F105)*(G105/5))</f>
        <v>26084415.869697705</v>
      </c>
      <c r="AS105" s="1"/>
      <c r="AT105" s="62">
        <v>0</v>
      </c>
      <c r="AU105" s="1"/>
    </row>
    <row r="106" spans="1:47" ht="14.25" customHeight="1">
      <c r="A106" s="1">
        <v>9</v>
      </c>
      <c r="B106" s="3" t="s">
        <v>109</v>
      </c>
      <c r="C106" s="1">
        <v>2021</v>
      </c>
      <c r="D106" s="13">
        <f>VLOOKUP(B106,Population!$B$1:$O$48,5,FALSE)</f>
        <v>501771.90527887479</v>
      </c>
      <c r="E106" s="13" t="str">
        <f t="shared" si="17"/>
        <v>Medium</v>
      </c>
      <c r="F106" s="54">
        <f>VLOOKUP(B106,'Household Information'!$B$1:$E$48,2,FALSE)</f>
        <v>2.7429262269780841</v>
      </c>
      <c r="G106" s="54">
        <f t="shared" si="0"/>
        <v>182933.06627924994</v>
      </c>
      <c r="H106" s="55">
        <f>IF(D106&gt;Variables!$C$6,H59,H59*(1+Variables!$C$9))</f>
        <v>47.234957999999992</v>
      </c>
      <c r="I106" s="55"/>
      <c r="J106" s="13">
        <f>H106*Variables!$C$21</f>
        <v>850.22924399999988</v>
      </c>
      <c r="K106" s="13">
        <f t="shared" si="12"/>
        <v>850.22924399999988</v>
      </c>
      <c r="L106" s="54">
        <f t="shared" si="1"/>
        <v>0</v>
      </c>
      <c r="M106" s="56"/>
      <c r="N106" s="57"/>
      <c r="O106" s="57"/>
      <c r="P106" s="57"/>
      <c r="Q106" s="57"/>
      <c r="R106" s="57"/>
      <c r="S106" s="58">
        <v>0</v>
      </c>
      <c r="T106" s="59">
        <f>$L106*Variables!$C$22/100</f>
        <v>0</v>
      </c>
      <c r="U106" s="59">
        <f>$L106*Variables!$C$23/100</f>
        <v>0</v>
      </c>
      <c r="V106" s="59">
        <f>$L106*Variables!$C$24/100</f>
        <v>0</v>
      </c>
      <c r="W106" s="59">
        <f>$L106*Variables!$C$25/100</f>
        <v>0</v>
      </c>
      <c r="X106" s="62">
        <f>T106*Variables!$E$26*Variables!$C$18+'Cost Calculations'!U106*Variables!$E$27*Variables!$C$18+'Cost Calculations'!V106*Variables!$E$28*Variables!$C$18+W106*Variables!$E$29*Variables!$C$18</f>
        <v>0</v>
      </c>
      <c r="Y106" s="58">
        <f>J106*Variables!$E$30</f>
        <v>556900.15481999994</v>
      </c>
      <c r="Z106" s="1"/>
      <c r="AA106" s="245">
        <f>D106*(IF(D106&lt;Variables!$C$7,Variables!$C$38,IF(D106&gt;Variables!$C$6,Variables!$C$36,Variables!$C$37)))</f>
        <v>602.12628633464965</v>
      </c>
      <c r="AB106" s="64">
        <f t="shared" si="13"/>
        <v>593</v>
      </c>
      <c r="AC106" s="66">
        <f t="shared" si="2"/>
        <v>9</v>
      </c>
      <c r="AD106" s="62">
        <f>AC106*Variables!$E$41</f>
        <v>4838400</v>
      </c>
      <c r="AE106" s="71">
        <f>ROUND((H106/(3.14*Variables!$C$35^2)),0)</f>
        <v>60</v>
      </c>
      <c r="AF106" s="57">
        <f t="shared" si="14"/>
        <v>60</v>
      </c>
      <c r="AG106" s="57">
        <f t="shared" si="3"/>
        <v>0</v>
      </c>
      <c r="AH106" s="58">
        <f>AG106*Variables!$E$42*Variables!$C$18</f>
        <v>0</v>
      </c>
      <c r="AI106" s="73">
        <f t="shared" si="4"/>
        <v>5</v>
      </c>
      <c r="AJ106" s="66">
        <f t="shared" si="15"/>
        <v>5</v>
      </c>
      <c r="AK106" s="66">
        <f t="shared" si="5"/>
        <v>0</v>
      </c>
      <c r="AL106" s="62">
        <f>IF(AK106*Variables!$E$43*Variables!$C$18&lt;0,0,AK106*Variables!$E$43*Variables!$C$18)</f>
        <v>0</v>
      </c>
      <c r="AM106" s="58">
        <f>AA106*Variables!$E$39*Variables!$C$18</f>
        <v>174045996.74888849</v>
      </c>
      <c r="AN106" s="1"/>
      <c r="AO106" s="76">
        <f t="shared" si="16"/>
        <v>0.67714285714285716</v>
      </c>
      <c r="AP106" s="76">
        <f t="shared" si="6"/>
        <v>111.44117413608102</v>
      </c>
      <c r="AQ106" s="75">
        <f>VLOOKUP(B106,'Household Information'!$B$2:$E$48,4,FALSE)</f>
        <v>65.935833333333335</v>
      </c>
      <c r="AR106" s="79">
        <f>IF(12*(AP106-Variables!$C$45*AQ106*F106)*(G106/5)&lt;0,0,12*(AP106-Variables!$C$45*AQ106*F106)*(G106/5))</f>
        <v>37016552.128321424</v>
      </c>
      <c r="AS106" s="1"/>
      <c r="AT106" s="62">
        <v>0</v>
      </c>
      <c r="AU106" s="1"/>
    </row>
    <row r="107" spans="1:47" ht="14.25" customHeight="1">
      <c r="A107" s="1">
        <v>10</v>
      </c>
      <c r="B107" s="3" t="s">
        <v>110</v>
      </c>
      <c r="C107" s="1">
        <v>2021</v>
      </c>
      <c r="D107" s="13">
        <f>VLOOKUP(B107,Population!$B$1:$O$48,5,FALSE)</f>
        <v>523556.52286524978</v>
      </c>
      <c r="E107" s="13" t="str">
        <f t="shared" si="17"/>
        <v>Medium</v>
      </c>
      <c r="F107" s="54">
        <f>VLOOKUP(B107,'Household Information'!$B$1:$E$48,2,FALSE)</f>
        <v>2.5116430728482135</v>
      </c>
      <c r="G107" s="54">
        <f t="shared" si="0"/>
        <v>208451.80134274991</v>
      </c>
      <c r="H107" s="55">
        <f>IF(D107&gt;Variables!$C$6,H60,H60*(1+Variables!$C$9))</f>
        <v>27.319750999999997</v>
      </c>
      <c r="I107" s="55"/>
      <c r="J107" s="13">
        <f>H107*Variables!$C$21</f>
        <v>491.75551799999994</v>
      </c>
      <c r="K107" s="13">
        <f t="shared" si="12"/>
        <v>491.75551799999994</v>
      </c>
      <c r="L107" s="54">
        <f t="shared" si="1"/>
        <v>0</v>
      </c>
      <c r="M107" s="56"/>
      <c r="N107" s="57"/>
      <c r="O107" s="57"/>
      <c r="P107" s="57"/>
      <c r="Q107" s="57"/>
      <c r="R107" s="57"/>
      <c r="S107" s="58">
        <v>0</v>
      </c>
      <c r="T107" s="59">
        <f>$L107*Variables!$C$22/100</f>
        <v>0</v>
      </c>
      <c r="U107" s="59">
        <f>$L107*Variables!$C$23/100</f>
        <v>0</v>
      </c>
      <c r="V107" s="59">
        <f>$L107*Variables!$C$24/100</f>
        <v>0</v>
      </c>
      <c r="W107" s="59">
        <f>$L107*Variables!$C$25/100</f>
        <v>0</v>
      </c>
      <c r="X107" s="62">
        <f>T107*Variables!$E$26*Variables!$C$18+'Cost Calculations'!U107*Variables!$E$27*Variables!$C$18+'Cost Calculations'!V107*Variables!$E$28*Variables!$C$18+W107*Variables!$E$29*Variables!$C$18</f>
        <v>0</v>
      </c>
      <c r="Y107" s="58">
        <f>J107*Variables!$E$30</f>
        <v>322099.86428999994</v>
      </c>
      <c r="Z107" s="1"/>
      <c r="AA107" s="245">
        <f>D107*(IF(D107&lt;Variables!$C$7,Variables!$C$38,IF(D107&gt;Variables!$C$6,Variables!$C$36,Variables!$C$37)))</f>
        <v>628.26782743829972</v>
      </c>
      <c r="AB107" s="64">
        <f t="shared" si="13"/>
        <v>619</v>
      </c>
      <c r="AC107" s="66">
        <f t="shared" si="2"/>
        <v>9</v>
      </c>
      <c r="AD107" s="62">
        <f>AC107*Variables!$E$41</f>
        <v>4838400</v>
      </c>
      <c r="AE107" s="71">
        <f>ROUND((H107/(3.14*Variables!$C$35^2)),0)</f>
        <v>35</v>
      </c>
      <c r="AF107" s="57">
        <f t="shared" si="14"/>
        <v>35</v>
      </c>
      <c r="AG107" s="57">
        <f t="shared" si="3"/>
        <v>0</v>
      </c>
      <c r="AH107" s="58">
        <f>AG107*Variables!$E$42*Variables!$C$18</f>
        <v>0</v>
      </c>
      <c r="AI107" s="73">
        <f t="shared" si="4"/>
        <v>5</v>
      </c>
      <c r="AJ107" s="66">
        <f t="shared" si="15"/>
        <v>5</v>
      </c>
      <c r="AK107" s="66">
        <f t="shared" si="5"/>
        <v>0</v>
      </c>
      <c r="AL107" s="62">
        <f>IF(AK107*Variables!$E$43*Variables!$C$18&lt;0,0,AK107*Variables!$E$43*Variables!$C$18)</f>
        <v>0</v>
      </c>
      <c r="AM107" s="58">
        <f>AA107*Variables!$E$39*Variables!$C$18</f>
        <v>181602269.71221188</v>
      </c>
      <c r="AN107" s="1"/>
      <c r="AO107" s="76">
        <f t="shared" si="16"/>
        <v>0.67714285714285716</v>
      </c>
      <c r="AP107" s="76">
        <f t="shared" si="6"/>
        <v>102.04446998829027</v>
      </c>
      <c r="AQ107" s="75">
        <f>VLOOKUP(B107,'Household Information'!$B$2:$E$48,4,FALSE)</f>
        <v>62.81</v>
      </c>
      <c r="AR107" s="79">
        <f>IF(12*(AP107-Variables!$C$45*AQ107*F107)*(G107/5)&lt;0,0,12*(AP107-Variables!$C$45*AQ107*F107)*(G107/5))</f>
        <v>39212797.934280813</v>
      </c>
      <c r="AS107" s="1"/>
      <c r="AT107" s="62">
        <v>0</v>
      </c>
      <c r="AU107" s="1"/>
    </row>
    <row r="108" spans="1:47" ht="14.25" customHeight="1">
      <c r="A108" s="1">
        <v>11</v>
      </c>
      <c r="B108" s="3" t="s">
        <v>125</v>
      </c>
      <c r="C108" s="1">
        <v>2021</v>
      </c>
      <c r="D108" s="13">
        <f>VLOOKUP(B108,Population!$B$1:$O$48,5,FALSE)</f>
        <v>368419.67915024987</v>
      </c>
      <c r="E108" s="13" t="str">
        <f t="shared" si="17"/>
        <v>Medium</v>
      </c>
      <c r="F108" s="54">
        <f>VLOOKUP(B108,'Household Information'!$B$1:$E$48,2,FALSE)</f>
        <v>2.693850400263019</v>
      </c>
      <c r="G108" s="54">
        <f t="shared" si="0"/>
        <v>136763.22898787496</v>
      </c>
      <c r="H108" s="55">
        <f>IF(D108&gt;Variables!$C$6,H61,H61*(1+Variables!$C$9))</f>
        <v>28.674206300180991</v>
      </c>
      <c r="I108" s="55"/>
      <c r="J108" s="13">
        <f>H108*Variables!$C$21</f>
        <v>516.1357134032578</v>
      </c>
      <c r="K108" s="13">
        <f t="shared" si="12"/>
        <v>516.1357134032578</v>
      </c>
      <c r="L108" s="54">
        <f t="shared" si="1"/>
        <v>0</v>
      </c>
      <c r="M108" s="56"/>
      <c r="N108" s="57"/>
      <c r="O108" s="57"/>
      <c r="P108" s="57"/>
      <c r="Q108" s="57"/>
      <c r="R108" s="57"/>
      <c r="S108" s="58">
        <v>0</v>
      </c>
      <c r="T108" s="59">
        <f>$L108*Variables!$C$22/100</f>
        <v>0</v>
      </c>
      <c r="U108" s="59">
        <f>$L108*Variables!$C$23/100</f>
        <v>0</v>
      </c>
      <c r="V108" s="59">
        <f>$L108*Variables!$C$24/100</f>
        <v>0</v>
      </c>
      <c r="W108" s="59">
        <f>$L108*Variables!$C$25/100</f>
        <v>0</v>
      </c>
      <c r="X108" s="62">
        <f>T108*Variables!$E$26*Variables!$C$18+'Cost Calculations'!U108*Variables!$E$27*Variables!$C$18+'Cost Calculations'!V108*Variables!$E$28*Variables!$C$18+W108*Variables!$E$29*Variables!$C$18</f>
        <v>0</v>
      </c>
      <c r="Y108" s="58">
        <f>J108*Variables!$E$30</f>
        <v>338068.89227913384</v>
      </c>
      <c r="Z108" s="1"/>
      <c r="AA108" s="245">
        <f>D108*(IF(D108&lt;Variables!$C$7,Variables!$C$38,IF(D108&gt;Variables!$C$6,Variables!$C$36,Variables!$C$37)))</f>
        <v>442.10361498029982</v>
      </c>
      <c r="AB108" s="64">
        <f t="shared" si="13"/>
        <v>436</v>
      </c>
      <c r="AC108" s="66">
        <f t="shared" si="2"/>
        <v>6</v>
      </c>
      <c r="AD108" s="62">
        <f>AC108*Variables!$E$41</f>
        <v>3225600</v>
      </c>
      <c r="AE108" s="71">
        <f>ROUND((H108/(3.14*Variables!$C$35^2)),0)</f>
        <v>37</v>
      </c>
      <c r="AF108" s="57">
        <f t="shared" si="14"/>
        <v>37</v>
      </c>
      <c r="AG108" s="57">
        <f t="shared" si="3"/>
        <v>0</v>
      </c>
      <c r="AH108" s="58">
        <f>AG108*Variables!$E$42*Variables!$C$18</f>
        <v>0</v>
      </c>
      <c r="AI108" s="73">
        <f t="shared" si="4"/>
        <v>4</v>
      </c>
      <c r="AJ108" s="66">
        <f t="shared" si="15"/>
        <v>4</v>
      </c>
      <c r="AK108" s="66">
        <f t="shared" si="5"/>
        <v>0</v>
      </c>
      <c r="AL108" s="62">
        <f>IF(AK108*Variables!$E$43*Variables!$C$18&lt;0,0,AK108*Variables!$E$43*Variables!$C$18)</f>
        <v>0</v>
      </c>
      <c r="AM108" s="58">
        <f>AA108*Variables!$E$39*Variables!$C$18</f>
        <v>127791073.20481251</v>
      </c>
      <c r="AN108" s="1"/>
      <c r="AO108" s="76">
        <f t="shared" si="16"/>
        <v>0.67714285714285716</v>
      </c>
      <c r="AP108" s="76">
        <f t="shared" si="6"/>
        <v>109.4472934049718</v>
      </c>
      <c r="AQ108" s="75">
        <f>VLOOKUP(B108,'Household Information'!$B$2:$E$48,4,FALSE)</f>
        <v>65.935833333333335</v>
      </c>
      <c r="AR108" s="79">
        <f>IF(12*(AP108-Variables!$C$45*AQ108*F108)*(G108/5)&lt;0,0,12*(AP108-Variables!$C$45*AQ108*F108)*(G108/5))</f>
        <v>27178935.518091939</v>
      </c>
      <c r="AS108" s="1"/>
      <c r="AT108" s="62">
        <v>0</v>
      </c>
      <c r="AU108" s="1"/>
    </row>
    <row r="109" spans="1:47" ht="14.25" customHeight="1">
      <c r="A109" s="1">
        <v>12</v>
      </c>
      <c r="B109" s="3" t="s">
        <v>152</v>
      </c>
      <c r="C109" s="1">
        <v>2021</v>
      </c>
      <c r="D109" s="13">
        <f>VLOOKUP(B109,Population!$B$1:$O$48,5,FALSE)</f>
        <v>418727.26577149983</v>
      </c>
      <c r="E109" s="13" t="str">
        <f t="shared" si="17"/>
        <v>Medium</v>
      </c>
      <c r="F109" s="54">
        <f>VLOOKUP(B109,'Household Information'!$B$1:$E$48,2,FALSE)</f>
        <v>2.5280688906285511</v>
      </c>
      <c r="G109" s="54">
        <f t="shared" si="0"/>
        <v>165631.27188649995</v>
      </c>
      <c r="H109" s="55">
        <f>IF(D109&gt;Variables!$C$6,H62,H62*(1+Variables!$C$9))</f>
        <v>17.374026999999998</v>
      </c>
      <c r="I109" s="55"/>
      <c r="J109" s="13">
        <f>H109*Variables!$C$21</f>
        <v>312.73248599999999</v>
      </c>
      <c r="K109" s="13">
        <f t="shared" si="12"/>
        <v>639</v>
      </c>
      <c r="L109" s="54">
        <f t="shared" si="1"/>
        <v>0</v>
      </c>
      <c r="M109" s="56"/>
      <c r="N109" s="57"/>
      <c r="O109" s="57"/>
      <c r="P109" s="57"/>
      <c r="Q109" s="57"/>
      <c r="R109" s="57"/>
      <c r="S109" s="58">
        <v>0</v>
      </c>
      <c r="T109" s="59">
        <f>$L109*Variables!$C$22/100</f>
        <v>0</v>
      </c>
      <c r="U109" s="59">
        <f>$L109*Variables!$C$23/100</f>
        <v>0</v>
      </c>
      <c r="V109" s="59">
        <f>$L109*Variables!$C$24/100</f>
        <v>0</v>
      </c>
      <c r="W109" s="59">
        <f>$L109*Variables!$C$25/100</f>
        <v>0</v>
      </c>
      <c r="X109" s="62">
        <f>T109*Variables!$E$26*Variables!$C$18+'Cost Calculations'!U109*Variables!$E$27*Variables!$C$18+'Cost Calculations'!V109*Variables!$E$28*Variables!$C$18+W109*Variables!$E$29*Variables!$C$18</f>
        <v>0</v>
      </c>
      <c r="Y109" s="58">
        <f>J109*Variables!$E$30</f>
        <v>204839.77833</v>
      </c>
      <c r="Z109" s="1"/>
      <c r="AA109" s="245">
        <f>D109*(IF(D109&lt;Variables!$C$7,Variables!$C$38,IF(D109&gt;Variables!$C$6,Variables!$C$36,Variables!$C$37)))</f>
        <v>502.47271892579977</v>
      </c>
      <c r="AB109" s="64">
        <f t="shared" si="13"/>
        <v>495</v>
      </c>
      <c r="AC109" s="66">
        <f t="shared" si="2"/>
        <v>7</v>
      </c>
      <c r="AD109" s="62">
        <f>AC109*Variables!$E$41</f>
        <v>3763200</v>
      </c>
      <c r="AE109" s="71">
        <f>ROUND((H109/(3.14*Variables!$C$35^2)),0)</f>
        <v>22</v>
      </c>
      <c r="AF109" s="57">
        <f t="shared" si="14"/>
        <v>22</v>
      </c>
      <c r="AG109" s="57">
        <f t="shared" si="3"/>
        <v>0</v>
      </c>
      <c r="AH109" s="58">
        <f>AG109*Variables!$E$42*Variables!$C$18</f>
        <v>0</v>
      </c>
      <c r="AI109" s="73">
        <f t="shared" si="4"/>
        <v>4</v>
      </c>
      <c r="AJ109" s="66">
        <f t="shared" si="15"/>
        <v>4</v>
      </c>
      <c r="AK109" s="66">
        <f t="shared" si="5"/>
        <v>0</v>
      </c>
      <c r="AL109" s="62">
        <f>IF(AK109*Variables!$E$43*Variables!$C$18&lt;0,0,AK109*Variables!$E$43*Variables!$C$18)</f>
        <v>0</v>
      </c>
      <c r="AM109" s="58">
        <f>AA109*Variables!$E$39*Variables!$C$18</f>
        <v>145240902.43082345</v>
      </c>
      <c r="AN109" s="1"/>
      <c r="AO109" s="76">
        <f t="shared" si="16"/>
        <v>0.67714285714285716</v>
      </c>
      <c r="AP109" s="76">
        <f t="shared" si="6"/>
        <v>102.71182749925141</v>
      </c>
      <c r="AQ109" s="75">
        <f>VLOOKUP(B109,'Household Information'!$B$2:$E$48,4,FALSE)</f>
        <v>89.08</v>
      </c>
      <c r="AR109" s="79">
        <f>IF(12*(AP109-Variables!$C$45*AQ109*F109)*(G109/5)&lt;0,0,12*(AP109-Variables!$C$45*AQ109*F109)*(G109/5))</f>
        <v>27401416.562997628</v>
      </c>
      <c r="AS109" s="1"/>
      <c r="AT109" s="62">
        <v>0</v>
      </c>
      <c r="AU109" s="1"/>
    </row>
    <row r="110" spans="1:47" ht="14.25" customHeight="1">
      <c r="A110" s="1">
        <v>13</v>
      </c>
      <c r="B110" s="3" t="s">
        <v>181</v>
      </c>
      <c r="C110" s="1">
        <v>2021</v>
      </c>
      <c r="D110" s="13">
        <f>VLOOKUP(B110,Population!$B$1:$O$48,5,FALSE)</f>
        <v>471822.63094049983</v>
      </c>
      <c r="E110" s="13" t="str">
        <f t="shared" si="17"/>
        <v>Medium</v>
      </c>
      <c r="F110" s="54">
        <f>VLOOKUP(B110,'Household Information'!$B$1:$E$48,2,FALSE)</f>
        <v>2.4075040417460345</v>
      </c>
      <c r="G110" s="54">
        <f t="shared" si="0"/>
        <v>195979.99536412492</v>
      </c>
      <c r="H110" s="55">
        <f>IF(D110&gt;Variables!$C$6,H63,H63*(1+Variables!$C$9))</f>
        <v>82.9</v>
      </c>
      <c r="I110" s="55"/>
      <c r="J110" s="13">
        <f>H110*Variables!$C$21</f>
        <v>1492.2</v>
      </c>
      <c r="K110" s="13">
        <f t="shared" si="12"/>
        <v>1492.2</v>
      </c>
      <c r="L110" s="54">
        <f t="shared" si="1"/>
        <v>0</v>
      </c>
      <c r="M110" s="56"/>
      <c r="N110" s="57"/>
      <c r="O110" s="57"/>
      <c r="P110" s="57"/>
      <c r="Q110" s="57"/>
      <c r="R110" s="57"/>
      <c r="S110" s="58">
        <v>0</v>
      </c>
      <c r="T110" s="59">
        <f>$L110*Variables!$C$22/100</f>
        <v>0</v>
      </c>
      <c r="U110" s="59">
        <f>$L110*Variables!$C$23/100</f>
        <v>0</v>
      </c>
      <c r="V110" s="59">
        <f>$L110*Variables!$C$24/100</f>
        <v>0</v>
      </c>
      <c r="W110" s="59">
        <f>$L110*Variables!$C$25/100</f>
        <v>0</v>
      </c>
      <c r="X110" s="62">
        <f>T110*Variables!$E$26*Variables!$C$18+'Cost Calculations'!U110*Variables!$E$27*Variables!$C$18+'Cost Calculations'!V110*Variables!$E$28*Variables!$C$18+W110*Variables!$E$29*Variables!$C$18</f>
        <v>0</v>
      </c>
      <c r="Y110" s="58">
        <f>J110*Variables!$E$30</f>
        <v>977391</v>
      </c>
      <c r="Z110" s="1"/>
      <c r="AA110" s="245">
        <f>D110*(IF(D110&lt;Variables!$C$7,Variables!$C$38,IF(D110&gt;Variables!$C$6,Variables!$C$36,Variables!$C$37)))</f>
        <v>566.18715712859978</v>
      </c>
      <c r="AB110" s="64">
        <f t="shared" si="13"/>
        <v>558</v>
      </c>
      <c r="AC110" s="66">
        <f t="shared" si="2"/>
        <v>8</v>
      </c>
      <c r="AD110" s="62">
        <f>AC110*Variables!$E$41</f>
        <v>4300800</v>
      </c>
      <c r="AE110" s="71">
        <f>ROUND((H110/(3.14*Variables!$C$35^2)),0)</f>
        <v>106</v>
      </c>
      <c r="AF110" s="57">
        <f t="shared" si="14"/>
        <v>106</v>
      </c>
      <c r="AG110" s="57">
        <f t="shared" si="3"/>
        <v>0</v>
      </c>
      <c r="AH110" s="58">
        <f>AG110*Variables!$E$42*Variables!$C$18</f>
        <v>0</v>
      </c>
      <c r="AI110" s="73">
        <f t="shared" si="4"/>
        <v>5</v>
      </c>
      <c r="AJ110" s="66">
        <f t="shared" si="15"/>
        <v>5</v>
      </c>
      <c r="AK110" s="66">
        <f t="shared" si="5"/>
        <v>0</v>
      </c>
      <c r="AL110" s="62">
        <f>IF(AK110*Variables!$E$43*Variables!$C$18&lt;0,0,AK110*Variables!$E$43*Variables!$C$18)</f>
        <v>0</v>
      </c>
      <c r="AM110" s="58">
        <f>AA110*Variables!$E$39*Variables!$C$18</f>
        <v>163657708.26703072</v>
      </c>
      <c r="AN110" s="1"/>
      <c r="AO110" s="76">
        <f t="shared" si="16"/>
        <v>0.67714285714285716</v>
      </c>
      <c r="AP110" s="76">
        <f t="shared" si="6"/>
        <v>97.81344992465317</v>
      </c>
      <c r="AQ110" s="75">
        <f>VLOOKUP(B110,'Household Information'!$B$2:$E$48,4,FALSE)</f>
        <v>71.48</v>
      </c>
      <c r="AR110" s="79">
        <f>IF(12*(AP110-Variables!$C$45*AQ110*F110)*(G110/5)&lt;0,0,12*(AP110-Variables!$C$45*AQ110*F110)*(G110/5))</f>
        <v>33865433.313212536</v>
      </c>
      <c r="AS110" s="1"/>
      <c r="AT110" s="62">
        <v>0</v>
      </c>
      <c r="AU110" s="1"/>
    </row>
    <row r="111" spans="1:47" ht="14.25" customHeight="1">
      <c r="A111" s="1">
        <v>14</v>
      </c>
      <c r="B111" s="3" t="s">
        <v>206</v>
      </c>
      <c r="C111" s="1">
        <v>2021</v>
      </c>
      <c r="D111" s="13">
        <f>VLOOKUP(B111,Population!$B$1:$O$48,5,FALSE)</f>
        <v>328893.03657524986</v>
      </c>
      <c r="E111" s="13" t="str">
        <f t="shared" si="17"/>
        <v>Medium</v>
      </c>
      <c r="F111" s="54">
        <f>VLOOKUP(B111,'Household Information'!$B$1:$E$48,2,FALSE)</f>
        <v>2.4590017825311943</v>
      </c>
      <c r="G111" s="54">
        <f t="shared" si="0"/>
        <v>133750.62958949993</v>
      </c>
      <c r="H111" s="55">
        <f>IF(D111&gt;Variables!$C$6,H64,H64*(1+Variables!$C$9))</f>
        <v>25.496505999999997</v>
      </c>
      <c r="I111" s="55"/>
      <c r="J111" s="13">
        <f>H111*Variables!$C$21</f>
        <v>458.93710799999997</v>
      </c>
      <c r="K111" s="13">
        <f t="shared" si="12"/>
        <v>458.93710799999997</v>
      </c>
      <c r="L111" s="54">
        <f t="shared" si="1"/>
        <v>0</v>
      </c>
      <c r="M111" s="56"/>
      <c r="N111" s="57"/>
      <c r="O111" s="57"/>
      <c r="P111" s="57"/>
      <c r="Q111" s="57"/>
      <c r="R111" s="57"/>
      <c r="S111" s="58">
        <v>0</v>
      </c>
      <c r="T111" s="59">
        <f>$L111*Variables!$C$22/100</f>
        <v>0</v>
      </c>
      <c r="U111" s="59">
        <f>$L111*Variables!$C$23/100</f>
        <v>0</v>
      </c>
      <c r="V111" s="59">
        <f>$L111*Variables!$C$24/100</f>
        <v>0</v>
      </c>
      <c r="W111" s="59">
        <f>$L111*Variables!$C$25/100</f>
        <v>0</v>
      </c>
      <c r="X111" s="62">
        <f>T111*Variables!$E$26*Variables!$C$18+'Cost Calculations'!U111*Variables!$E$27*Variables!$C$18+'Cost Calculations'!V111*Variables!$E$28*Variables!$C$18+W111*Variables!$E$29*Variables!$C$18</f>
        <v>0</v>
      </c>
      <c r="Y111" s="58">
        <f>J111*Variables!$E$30</f>
        <v>300603.80573999998</v>
      </c>
      <c r="Z111" s="1"/>
      <c r="AA111" s="245">
        <f>D111*(IF(D111&lt;Variables!$C$7,Variables!$C$38,IF(D111&gt;Variables!$C$6,Variables!$C$36,Variables!$C$37)))</f>
        <v>394.67164389029978</v>
      </c>
      <c r="AB111" s="64">
        <f t="shared" si="13"/>
        <v>389</v>
      </c>
      <c r="AC111" s="66">
        <f t="shared" si="2"/>
        <v>6</v>
      </c>
      <c r="AD111" s="62">
        <f>AC111*Variables!$E$41</f>
        <v>3225600</v>
      </c>
      <c r="AE111" s="71">
        <f>ROUND((H111/(3.14*Variables!$C$35^2)),0)</f>
        <v>32</v>
      </c>
      <c r="AF111" s="57">
        <f t="shared" si="14"/>
        <v>32</v>
      </c>
      <c r="AG111" s="57">
        <f t="shared" si="3"/>
        <v>0</v>
      </c>
      <c r="AH111" s="58">
        <f>AG111*Variables!$E$42*Variables!$C$18</f>
        <v>0</v>
      </c>
      <c r="AI111" s="73">
        <f t="shared" si="4"/>
        <v>3</v>
      </c>
      <c r="AJ111" s="66">
        <f t="shared" si="15"/>
        <v>3</v>
      </c>
      <c r="AK111" s="66">
        <f t="shared" si="5"/>
        <v>0</v>
      </c>
      <c r="AL111" s="62">
        <f>IF(AK111*Variables!$E$43*Variables!$C$18&lt;0,0,AK111*Variables!$E$43*Variables!$C$18)</f>
        <v>0</v>
      </c>
      <c r="AM111" s="58">
        <f>AA111*Variables!$E$39*Variables!$C$18</f>
        <v>114080752.17502216</v>
      </c>
      <c r="AN111" s="1"/>
      <c r="AO111" s="76">
        <f t="shared" si="16"/>
        <v>0.67714285714285716</v>
      </c>
      <c r="AP111" s="76">
        <f t="shared" si="6"/>
        <v>99.905729564553084</v>
      </c>
      <c r="AQ111" s="75">
        <f>VLOOKUP(B111,'Household Information'!$B$2:$E$48,4,FALSE)</f>
        <v>65.935833333333335</v>
      </c>
      <c r="AR111" s="79">
        <f>IF(12*(AP111-Variables!$C$45*AQ111*F111)*(G111/5)&lt;0,0,12*(AP111-Variables!$C$45*AQ111*F111)*(G111/5))</f>
        <v>24262989.029374454</v>
      </c>
      <c r="AS111" s="1"/>
      <c r="AT111" s="62">
        <v>0</v>
      </c>
      <c r="AU111" s="1"/>
    </row>
    <row r="112" spans="1:47" ht="14.25" customHeight="1">
      <c r="A112" s="1">
        <v>15</v>
      </c>
      <c r="B112" s="3" t="s">
        <v>207</v>
      </c>
      <c r="C112" s="1">
        <v>2021</v>
      </c>
      <c r="D112" s="13">
        <f>VLOOKUP(B112,Population!$B$1:$O$48,5,FALSE)</f>
        <v>288231.83296337491</v>
      </c>
      <c r="E112" s="13" t="str">
        <f t="shared" si="17"/>
        <v>Medium</v>
      </c>
      <c r="F112" s="54">
        <f>VLOOKUP(B112,'Household Information'!$B$1:$E$48,2,FALSE)</f>
        <v>2.4536973570595619</v>
      </c>
      <c r="G112" s="54">
        <f t="shared" si="0"/>
        <v>117468.37161237496</v>
      </c>
      <c r="H112" s="55">
        <f>IF(D112&gt;Variables!$C$6,H65,H65*(1+Variables!$C$9))</f>
        <v>19.38</v>
      </c>
      <c r="I112" s="55"/>
      <c r="J112" s="13">
        <f>H112*Variables!$C$21</f>
        <v>348.84</v>
      </c>
      <c r="K112" s="13">
        <f t="shared" si="12"/>
        <v>348.84</v>
      </c>
      <c r="L112" s="54">
        <f t="shared" si="1"/>
        <v>0</v>
      </c>
      <c r="M112" s="56"/>
      <c r="N112" s="57"/>
      <c r="O112" s="57"/>
      <c r="P112" s="57"/>
      <c r="Q112" s="57"/>
      <c r="R112" s="57"/>
      <c r="S112" s="58">
        <v>0</v>
      </c>
      <c r="T112" s="59">
        <f>$L112*Variables!$C$22/100</f>
        <v>0</v>
      </c>
      <c r="U112" s="59">
        <f>$L112*Variables!$C$23/100</f>
        <v>0</v>
      </c>
      <c r="V112" s="59">
        <f>$L112*Variables!$C$24/100</f>
        <v>0</v>
      </c>
      <c r="W112" s="59">
        <f>$L112*Variables!$C$25/100</f>
        <v>0</v>
      </c>
      <c r="X112" s="62">
        <f>T112*Variables!$E$26*Variables!$C$18+'Cost Calculations'!U112*Variables!$E$27*Variables!$C$18+'Cost Calculations'!V112*Variables!$E$28*Variables!$C$18+W112*Variables!$E$29*Variables!$C$18</f>
        <v>0</v>
      </c>
      <c r="Y112" s="58">
        <f>J112*Variables!$E$30</f>
        <v>228490.19999999998</v>
      </c>
      <c r="Z112" s="1"/>
      <c r="AA112" s="245">
        <f>D112*(IF(D112&lt;Variables!$C$7,Variables!$C$38,IF(D112&gt;Variables!$C$6,Variables!$C$36,Variables!$C$37)))</f>
        <v>345.87819955604988</v>
      </c>
      <c r="AB112" s="64">
        <f t="shared" si="13"/>
        <v>341</v>
      </c>
      <c r="AC112" s="66">
        <f t="shared" si="2"/>
        <v>5</v>
      </c>
      <c r="AD112" s="62">
        <f>AC112*Variables!$E$41</f>
        <v>2688000</v>
      </c>
      <c r="AE112" s="71">
        <f>ROUND((H112/(3.14*Variables!$C$35^2)),0)</f>
        <v>25</v>
      </c>
      <c r="AF112" s="57">
        <f t="shared" si="14"/>
        <v>25</v>
      </c>
      <c r="AG112" s="57">
        <f t="shared" si="3"/>
        <v>0</v>
      </c>
      <c r="AH112" s="58">
        <f>AG112*Variables!$E$42*Variables!$C$18</f>
        <v>0</v>
      </c>
      <c r="AI112" s="73">
        <f t="shared" si="4"/>
        <v>3</v>
      </c>
      <c r="AJ112" s="66">
        <f t="shared" si="15"/>
        <v>3</v>
      </c>
      <c r="AK112" s="66">
        <f t="shared" si="5"/>
        <v>0</v>
      </c>
      <c r="AL112" s="62">
        <f>IF(AK112*Variables!$E$43*Variables!$C$18&lt;0,0,AK112*Variables!$E$43*Variables!$C$18)</f>
        <v>0</v>
      </c>
      <c r="AM112" s="58">
        <f>AA112*Variables!$E$39*Variables!$C$18</f>
        <v>99976894.15271008</v>
      </c>
      <c r="AN112" s="1"/>
      <c r="AO112" s="76">
        <f t="shared" si="16"/>
        <v>0.67714285714285716</v>
      </c>
      <c r="AP112" s="76">
        <f t="shared" si="6"/>
        <v>99.690218335391336</v>
      </c>
      <c r="AQ112" s="75">
        <f>VLOOKUP(B112,'Household Information'!$B$2:$E$48,4,FALSE)</f>
        <v>65.935833333333335</v>
      </c>
      <c r="AR112" s="79">
        <f>IF(12*(AP112-Variables!$C$45*AQ112*F112)*(G112/5)&lt;0,0,12*(AP112-Variables!$C$45*AQ112*F112)*(G112/5))</f>
        <v>21263344.076628976</v>
      </c>
      <c r="AS112" s="1"/>
      <c r="AT112" s="62">
        <v>0</v>
      </c>
      <c r="AU112" s="1"/>
    </row>
    <row r="113" spans="1:47" ht="14.25" customHeight="1">
      <c r="A113" s="1">
        <v>16</v>
      </c>
      <c r="B113" s="3" t="s">
        <v>208</v>
      </c>
      <c r="C113" s="1">
        <v>2021</v>
      </c>
      <c r="D113" s="13">
        <f>VLOOKUP(B113,Population!$B$1:$O$48,5,FALSE)</f>
        <v>480331.31587787485</v>
      </c>
      <c r="E113" s="13" t="str">
        <f t="shared" si="17"/>
        <v>Medium</v>
      </c>
      <c r="F113" s="54">
        <f>VLOOKUP(B113,'Household Information'!$B$1:$E$48,2,FALSE)</f>
        <v>3.2379076029492619</v>
      </c>
      <c r="G113" s="54">
        <f t="shared" si="0"/>
        <v>148346.20834774995</v>
      </c>
      <c r="H113" s="55">
        <f>IF(D113&gt;Variables!$C$6,H66,H66*(1+Variables!$C$9))</f>
        <v>31.656284999999997</v>
      </c>
      <c r="I113" s="55"/>
      <c r="J113" s="13">
        <f>H113*Variables!$C$21</f>
        <v>569.81313</v>
      </c>
      <c r="K113" s="13">
        <f t="shared" si="12"/>
        <v>582</v>
      </c>
      <c r="L113" s="54">
        <f t="shared" si="1"/>
        <v>0</v>
      </c>
      <c r="M113" s="56"/>
      <c r="N113" s="57"/>
      <c r="O113" s="57"/>
      <c r="P113" s="57"/>
      <c r="Q113" s="57"/>
      <c r="R113" s="57"/>
      <c r="S113" s="58">
        <v>0</v>
      </c>
      <c r="T113" s="59">
        <f>$L113*Variables!$C$22/100</f>
        <v>0</v>
      </c>
      <c r="U113" s="59">
        <f>$L113*Variables!$C$23/100</f>
        <v>0</v>
      </c>
      <c r="V113" s="59">
        <f>$L113*Variables!$C$24/100</f>
        <v>0</v>
      </c>
      <c r="W113" s="59">
        <f>$L113*Variables!$C$25/100</f>
        <v>0</v>
      </c>
      <c r="X113" s="62">
        <f>T113*Variables!$E$26*Variables!$C$18+'Cost Calculations'!U113*Variables!$E$27*Variables!$C$18+'Cost Calculations'!V113*Variables!$E$28*Variables!$C$18+W113*Variables!$E$29*Variables!$C$18</f>
        <v>0</v>
      </c>
      <c r="Y113" s="58">
        <f>J113*Variables!$E$30</f>
        <v>373227.60015000001</v>
      </c>
      <c r="Z113" s="1"/>
      <c r="AA113" s="245">
        <f>D113*(IF(D113&lt;Variables!$C$7,Variables!$C$38,IF(D113&gt;Variables!$C$6,Variables!$C$36,Variables!$C$37)))</f>
        <v>576.39757905344982</v>
      </c>
      <c r="AB113" s="64">
        <f t="shared" si="13"/>
        <v>568</v>
      </c>
      <c r="AC113" s="66">
        <f t="shared" si="2"/>
        <v>8</v>
      </c>
      <c r="AD113" s="62">
        <f>AC113*Variables!$E$41</f>
        <v>4300800</v>
      </c>
      <c r="AE113" s="71">
        <f>ROUND((H113/(3.14*Variables!$C$35^2)),0)</f>
        <v>40</v>
      </c>
      <c r="AF113" s="57">
        <f t="shared" si="14"/>
        <v>40</v>
      </c>
      <c r="AG113" s="57">
        <f t="shared" si="3"/>
        <v>0</v>
      </c>
      <c r="AH113" s="58">
        <f>AG113*Variables!$E$42*Variables!$C$18</f>
        <v>0</v>
      </c>
      <c r="AI113" s="73">
        <f t="shared" si="4"/>
        <v>5</v>
      </c>
      <c r="AJ113" s="66">
        <f t="shared" si="15"/>
        <v>5</v>
      </c>
      <c r="AK113" s="66">
        <f t="shared" si="5"/>
        <v>0</v>
      </c>
      <c r="AL113" s="62">
        <f>IF(AK113*Variables!$E$43*Variables!$C$18&lt;0,0,AK113*Variables!$E$43*Variables!$C$18)</f>
        <v>0</v>
      </c>
      <c r="AM113" s="58">
        <f>AA113*Variables!$E$39*Variables!$C$18</f>
        <v>166609054.35749117</v>
      </c>
      <c r="AN113" s="1"/>
      <c r="AO113" s="76">
        <f t="shared" si="16"/>
        <v>0.67714285714285716</v>
      </c>
      <c r="AP113" s="76">
        <f t="shared" si="6"/>
        <v>131.55156032553859</v>
      </c>
      <c r="AQ113" s="75">
        <f>VLOOKUP(B113,'Household Information'!$B$2:$E$48,4,FALSE)</f>
        <v>65.935833333333335</v>
      </c>
      <c r="AR113" s="79">
        <f>IF(12*(AP113-Variables!$C$45*AQ113*F113)*(G113/5)&lt;0,0,12*(AP113-Variables!$C$45*AQ113*F113)*(G113/5))</f>
        <v>35434844.011795945</v>
      </c>
      <c r="AS113" s="1"/>
      <c r="AT113" s="62">
        <v>0</v>
      </c>
      <c r="AU113" s="1"/>
    </row>
    <row r="114" spans="1:47" ht="14.25" customHeight="1">
      <c r="A114" s="1">
        <v>17</v>
      </c>
      <c r="B114" s="3" t="s">
        <v>209</v>
      </c>
      <c r="C114" s="1">
        <v>2021</v>
      </c>
      <c r="D114" s="13">
        <f>VLOOKUP(B114,Population!$B$1:$O$48,5,FALSE)</f>
        <v>453534.76184012485</v>
      </c>
      <c r="E114" s="13" t="str">
        <f t="shared" si="17"/>
        <v>Medium</v>
      </c>
      <c r="F114" s="54">
        <f>VLOOKUP(B114,'Household Information'!$B$1:$E$48,2,FALSE)</f>
        <v>3.2463324451363733</v>
      </c>
      <c r="G114" s="54">
        <f t="shared" si="0"/>
        <v>139706.81361349995</v>
      </c>
      <c r="H114" s="55">
        <f>IF(D114&gt;Variables!$C$6,H67,H67*(1+Variables!$C$9))</f>
        <v>25.896000000000001</v>
      </c>
      <c r="I114" s="55"/>
      <c r="J114" s="13">
        <f>H114*Variables!$C$21</f>
        <v>466.12800000000004</v>
      </c>
      <c r="K114" s="13">
        <f t="shared" si="12"/>
        <v>961.78647000000012</v>
      </c>
      <c r="L114" s="54">
        <f t="shared" si="1"/>
        <v>0</v>
      </c>
      <c r="M114" s="56"/>
      <c r="N114" s="57"/>
      <c r="O114" s="57"/>
      <c r="P114" s="57"/>
      <c r="Q114" s="57"/>
      <c r="R114" s="57"/>
      <c r="S114" s="58">
        <v>0</v>
      </c>
      <c r="T114" s="59">
        <f>$L114*Variables!$C$22/100</f>
        <v>0</v>
      </c>
      <c r="U114" s="59">
        <f>$L114*Variables!$C$23/100</f>
        <v>0</v>
      </c>
      <c r="V114" s="59">
        <f>$L114*Variables!$C$24/100</f>
        <v>0</v>
      </c>
      <c r="W114" s="59">
        <f>$L114*Variables!$C$25/100</f>
        <v>0</v>
      </c>
      <c r="X114" s="62">
        <f>T114*Variables!$E$26*Variables!$C$18+'Cost Calculations'!U114*Variables!$E$27*Variables!$C$18+'Cost Calculations'!V114*Variables!$E$28*Variables!$C$18+W114*Variables!$E$29*Variables!$C$18</f>
        <v>0</v>
      </c>
      <c r="Y114" s="58">
        <f>J114*Variables!$E$30</f>
        <v>305313.84000000003</v>
      </c>
      <c r="Z114" s="1"/>
      <c r="AA114" s="245">
        <f>D114*(IF(D114&lt;Variables!$C$7,Variables!$C$38,IF(D114&gt;Variables!$C$6,Variables!$C$36,Variables!$C$37)))</f>
        <v>544.2417142081498</v>
      </c>
      <c r="AB114" s="64">
        <f t="shared" si="13"/>
        <v>536</v>
      </c>
      <c r="AC114" s="66">
        <f t="shared" si="2"/>
        <v>8</v>
      </c>
      <c r="AD114" s="62">
        <f>AC114*Variables!$E$41</f>
        <v>4300800</v>
      </c>
      <c r="AE114" s="71">
        <f>ROUND((H114/(3.14*Variables!$C$35^2)),0)</f>
        <v>33</v>
      </c>
      <c r="AF114" s="57">
        <f t="shared" si="14"/>
        <v>33</v>
      </c>
      <c r="AG114" s="57">
        <f t="shared" si="3"/>
        <v>0</v>
      </c>
      <c r="AH114" s="58">
        <f>AG114*Variables!$E$42*Variables!$C$18</f>
        <v>0</v>
      </c>
      <c r="AI114" s="73">
        <f t="shared" si="4"/>
        <v>5</v>
      </c>
      <c r="AJ114" s="66">
        <f t="shared" si="15"/>
        <v>4</v>
      </c>
      <c r="AK114" s="66">
        <f t="shared" si="5"/>
        <v>1</v>
      </c>
      <c r="AL114" s="62">
        <f>IF(AK114*Variables!$E$43*Variables!$C$18&lt;0,0,AK114*Variables!$E$43*Variables!$C$18)</f>
        <v>945381.49199999997</v>
      </c>
      <c r="AM114" s="58">
        <f>AA114*Variables!$E$39*Variables!$C$18</f>
        <v>157314327.19586661</v>
      </c>
      <c r="AN114" s="1"/>
      <c r="AO114" s="76">
        <f t="shared" si="16"/>
        <v>0.67714285714285716</v>
      </c>
      <c r="AP114" s="76">
        <f t="shared" si="6"/>
        <v>131.89384962811206</v>
      </c>
      <c r="AQ114" s="75">
        <f>VLOOKUP(B114,'Household Information'!$B$2:$E$48,4,FALSE)</f>
        <v>47.15</v>
      </c>
      <c r="AR114" s="79">
        <f>IF(12*(AP114-Variables!$C$45*AQ114*F114)*(G114/5)&lt;0,0,12*(AP114-Variables!$C$45*AQ114*F114)*(G114/5))</f>
        <v>36525227.672753654</v>
      </c>
      <c r="AS114" s="1"/>
      <c r="AT114" s="62">
        <v>0</v>
      </c>
      <c r="AU114" s="1"/>
    </row>
    <row r="115" spans="1:47" ht="14.25" customHeight="1">
      <c r="A115" s="1">
        <v>18</v>
      </c>
      <c r="B115" s="3" t="s">
        <v>210</v>
      </c>
      <c r="C115" s="1">
        <v>2021</v>
      </c>
      <c r="D115" s="13">
        <f>VLOOKUP(B115,Population!$B$1:$O$48,5,FALSE)</f>
        <v>287166.28669924987</v>
      </c>
      <c r="E115" s="13" t="str">
        <f t="shared" si="17"/>
        <v>Medium</v>
      </c>
      <c r="F115" s="54">
        <f>VLOOKUP(B115,'Household Information'!$B$1:$E$48,2,FALSE)</f>
        <v>3.2199371541131225</v>
      </c>
      <c r="G115" s="54">
        <f t="shared" si="0"/>
        <v>89183.81724699997</v>
      </c>
      <c r="H115" s="55">
        <f>IF(D115&gt;Variables!$C$6,H68,H68*(1+Variables!$C$9))</f>
        <v>16.261485999999998</v>
      </c>
      <c r="I115" s="55"/>
      <c r="J115" s="13">
        <f>H115*Variables!$C$21</f>
        <v>292.70674799999995</v>
      </c>
      <c r="K115" s="13">
        <f t="shared" si="12"/>
        <v>512</v>
      </c>
      <c r="L115" s="54">
        <f t="shared" si="1"/>
        <v>0</v>
      </c>
      <c r="M115" s="56"/>
      <c r="N115" s="57"/>
      <c r="O115" s="57"/>
      <c r="P115" s="57"/>
      <c r="Q115" s="57"/>
      <c r="R115" s="57"/>
      <c r="S115" s="58">
        <v>0</v>
      </c>
      <c r="T115" s="59">
        <f>$L115*Variables!$C$22/100</f>
        <v>0</v>
      </c>
      <c r="U115" s="59">
        <f>$L115*Variables!$C$23/100</f>
        <v>0</v>
      </c>
      <c r="V115" s="59">
        <f>$L115*Variables!$C$24/100</f>
        <v>0</v>
      </c>
      <c r="W115" s="59">
        <f>$L115*Variables!$C$25/100</f>
        <v>0</v>
      </c>
      <c r="X115" s="62">
        <f>T115*Variables!$E$26*Variables!$C$18+'Cost Calculations'!U115*Variables!$E$27*Variables!$C$18+'Cost Calculations'!V115*Variables!$E$28*Variables!$C$18+W115*Variables!$E$29*Variables!$C$18</f>
        <v>0</v>
      </c>
      <c r="Y115" s="58">
        <f>J115*Variables!$E$30</f>
        <v>191722.91993999996</v>
      </c>
      <c r="Z115" s="1"/>
      <c r="AA115" s="245">
        <f>D115*(IF(D115&lt;Variables!$C$7,Variables!$C$38,IF(D115&gt;Variables!$C$6,Variables!$C$36,Variables!$C$37)))</f>
        <v>344.59954403909984</v>
      </c>
      <c r="AB115" s="64">
        <f t="shared" si="13"/>
        <v>340</v>
      </c>
      <c r="AC115" s="66">
        <f t="shared" si="2"/>
        <v>5</v>
      </c>
      <c r="AD115" s="62">
        <f>AC115*Variables!$E$41</f>
        <v>2688000</v>
      </c>
      <c r="AE115" s="71">
        <f>ROUND((H115/(3.14*Variables!$C$35^2)),0)</f>
        <v>21</v>
      </c>
      <c r="AF115" s="57">
        <f t="shared" si="14"/>
        <v>21</v>
      </c>
      <c r="AG115" s="57">
        <f t="shared" si="3"/>
        <v>0</v>
      </c>
      <c r="AH115" s="58">
        <f>AG115*Variables!$E$42*Variables!$C$18</f>
        <v>0</v>
      </c>
      <c r="AI115" s="73">
        <f t="shared" si="4"/>
        <v>3</v>
      </c>
      <c r="AJ115" s="66">
        <f t="shared" si="15"/>
        <v>3</v>
      </c>
      <c r="AK115" s="66">
        <f t="shared" si="5"/>
        <v>0</v>
      </c>
      <c r="AL115" s="62">
        <f>IF(AK115*Variables!$E$43*Variables!$C$18&lt;0,0,AK115*Variables!$E$43*Variables!$C$18)</f>
        <v>0</v>
      </c>
      <c r="AM115" s="58">
        <f>AA115*Variables!$E$39*Variables!$C$18</f>
        <v>99607295.815954611</v>
      </c>
      <c r="AN115" s="1"/>
      <c r="AO115" s="76">
        <f t="shared" si="16"/>
        <v>0.67714285714285716</v>
      </c>
      <c r="AP115" s="76">
        <f t="shared" si="6"/>
        <v>130.82144666139601</v>
      </c>
      <c r="AQ115" s="75">
        <f>VLOOKUP(B115,'Household Information'!$B$2:$E$48,4,FALSE)</f>
        <v>65.935833333333335</v>
      </c>
      <c r="AR115" s="79">
        <f>IF(12*(AP115-Variables!$C$45*AQ115*F115)*(G115/5)&lt;0,0,12*(AP115-Variables!$C$45*AQ115*F115)*(G115/5))</f>
        <v>21184736.947740007</v>
      </c>
      <c r="AS115" s="1"/>
      <c r="AT115" s="62">
        <v>0</v>
      </c>
      <c r="AU115" s="1"/>
    </row>
    <row r="116" spans="1:47" ht="14.25" customHeight="1">
      <c r="A116" s="1">
        <v>19</v>
      </c>
      <c r="B116" s="3" t="s">
        <v>211</v>
      </c>
      <c r="C116" s="1">
        <v>2021</v>
      </c>
      <c r="D116" s="13">
        <f>VLOOKUP(B116,Population!$B$1:$O$48,5,FALSE)</f>
        <v>289935.24303624989</v>
      </c>
      <c r="E116" s="13" t="str">
        <f t="shared" si="17"/>
        <v>Medium</v>
      </c>
      <c r="F116" s="54">
        <f>VLOOKUP(B116,'Household Information'!$B$1:$E$48,2,FALSE)</f>
        <v>2.5344143617118515</v>
      </c>
      <c r="G116" s="54">
        <f t="shared" si="0"/>
        <v>114399.30558174997</v>
      </c>
      <c r="H116" s="55">
        <f>IF(D116&gt;Variables!$C$6,H69,H69*(1+Variables!$C$9))</f>
        <v>33.110705594037988</v>
      </c>
      <c r="I116" s="55"/>
      <c r="J116" s="13">
        <f>H116*Variables!$C$21</f>
        <v>595.9927006926838</v>
      </c>
      <c r="K116" s="13">
        <f t="shared" si="12"/>
        <v>595.9927006926838</v>
      </c>
      <c r="L116" s="54">
        <f t="shared" si="1"/>
        <v>0</v>
      </c>
      <c r="M116" s="56"/>
      <c r="N116" s="57"/>
      <c r="O116" s="57"/>
      <c r="P116" s="57"/>
      <c r="Q116" s="57"/>
      <c r="R116" s="57"/>
      <c r="S116" s="58">
        <v>0</v>
      </c>
      <c r="T116" s="59">
        <f>$L116*Variables!$C$22/100</f>
        <v>0</v>
      </c>
      <c r="U116" s="59">
        <f>$L116*Variables!$C$23/100</f>
        <v>0</v>
      </c>
      <c r="V116" s="59">
        <f>$L116*Variables!$C$24/100</f>
        <v>0</v>
      </c>
      <c r="W116" s="59">
        <f>$L116*Variables!$C$25/100</f>
        <v>0</v>
      </c>
      <c r="X116" s="62">
        <f>T116*Variables!$E$26*Variables!$C$18+'Cost Calculations'!U116*Variables!$E$27*Variables!$C$18+'Cost Calculations'!V116*Variables!$E$28*Variables!$C$18+W116*Variables!$E$29*Variables!$C$18</f>
        <v>0</v>
      </c>
      <c r="Y116" s="58">
        <f>J116*Variables!$E$30</f>
        <v>390375.2189537079</v>
      </c>
      <c r="Z116" s="1"/>
      <c r="AA116" s="245">
        <f>D116*(IF(D116&lt;Variables!$C$7,Variables!$C$38,IF(D116&gt;Variables!$C$6,Variables!$C$36,Variables!$C$37)))</f>
        <v>347.92229164349982</v>
      </c>
      <c r="AB116" s="64">
        <f t="shared" si="13"/>
        <v>343</v>
      </c>
      <c r="AC116" s="66">
        <f t="shared" si="2"/>
        <v>5</v>
      </c>
      <c r="AD116" s="62">
        <f>AC116*Variables!$E$41</f>
        <v>2688000</v>
      </c>
      <c r="AE116" s="71">
        <f>ROUND((H116/(3.14*Variables!$C$35^2)),0)</f>
        <v>42</v>
      </c>
      <c r="AF116" s="57">
        <f t="shared" si="14"/>
        <v>42</v>
      </c>
      <c r="AG116" s="57">
        <f t="shared" si="3"/>
        <v>0</v>
      </c>
      <c r="AH116" s="58">
        <f>AG116*Variables!$E$42*Variables!$C$18</f>
        <v>0</v>
      </c>
      <c r="AI116" s="73">
        <f t="shared" si="4"/>
        <v>3</v>
      </c>
      <c r="AJ116" s="66">
        <f t="shared" si="15"/>
        <v>3</v>
      </c>
      <c r="AK116" s="66">
        <f t="shared" si="5"/>
        <v>0</v>
      </c>
      <c r="AL116" s="62">
        <f>IF(AK116*Variables!$E$43*Variables!$C$18&lt;0,0,AK116*Variables!$E$43*Variables!$C$18)</f>
        <v>0</v>
      </c>
      <c r="AM116" s="58">
        <f>AA116*Variables!$E$39*Variables!$C$18</f>
        <v>100567743.70185103</v>
      </c>
      <c r="AN116" s="1"/>
      <c r="AO116" s="76">
        <f t="shared" si="16"/>
        <v>0.67714285714285716</v>
      </c>
      <c r="AP116" s="76">
        <f t="shared" si="6"/>
        <v>102.96963492440722</v>
      </c>
      <c r="AQ116" s="75">
        <f>VLOOKUP(B116,'Household Information'!$B$2:$E$48,4,FALSE)</f>
        <v>65.935833333333335</v>
      </c>
      <c r="AR116" s="79">
        <f>IF(12*(AP116-Variables!$C$45*AQ116*F116)*(G116/5)&lt;0,0,12*(AP116-Variables!$C$45*AQ116*F116)*(G116/5))</f>
        <v>21389007.484833233</v>
      </c>
      <c r="AS116" s="1"/>
      <c r="AT116" s="62">
        <v>0</v>
      </c>
      <c r="AU116" s="1"/>
    </row>
    <row r="117" spans="1:47" ht="14.25" customHeight="1">
      <c r="A117" s="1">
        <v>20</v>
      </c>
      <c r="B117" s="3" t="s">
        <v>212</v>
      </c>
      <c r="C117" s="1">
        <v>2021</v>
      </c>
      <c r="D117" s="13">
        <f>VLOOKUP(B117,Population!$B$1:$O$48,5,FALSE)</f>
        <v>175664.55589462494</v>
      </c>
      <c r="E117" s="13" t="str">
        <f t="shared" si="17"/>
        <v>Medium</v>
      </c>
      <c r="F117" s="54">
        <f>VLOOKUP(B117,'Household Information'!$B$1:$E$48,2,FALSE)</f>
        <v>2.6024941905499612</v>
      </c>
      <c r="G117" s="54">
        <f t="shared" si="0"/>
        <v>67498.539106249984</v>
      </c>
      <c r="H117" s="55">
        <f>IF(D117&gt;Variables!$C$6,H70,H70*(1+Variables!$C$9))</f>
        <v>15</v>
      </c>
      <c r="I117" s="55"/>
      <c r="J117" s="13">
        <f>H117*Variables!$C$21</f>
        <v>270</v>
      </c>
      <c r="K117" s="13">
        <f t="shared" si="12"/>
        <v>270</v>
      </c>
      <c r="L117" s="54">
        <f t="shared" si="1"/>
        <v>0</v>
      </c>
      <c r="M117" s="56"/>
      <c r="N117" s="57"/>
      <c r="O117" s="57"/>
      <c r="P117" s="57"/>
      <c r="Q117" s="57"/>
      <c r="R117" s="57"/>
      <c r="S117" s="58">
        <v>0</v>
      </c>
      <c r="T117" s="59">
        <f>$L117*Variables!$C$22/100</f>
        <v>0</v>
      </c>
      <c r="U117" s="59">
        <f>$L117*Variables!$C$23/100</f>
        <v>0</v>
      </c>
      <c r="V117" s="59">
        <f>$L117*Variables!$C$24/100</f>
        <v>0</v>
      </c>
      <c r="W117" s="59">
        <f>$L117*Variables!$C$25/100</f>
        <v>0</v>
      </c>
      <c r="X117" s="62">
        <f>T117*Variables!$E$26*Variables!$C$18+'Cost Calculations'!U117*Variables!$E$27*Variables!$C$18+'Cost Calculations'!V117*Variables!$E$28*Variables!$C$18+W117*Variables!$E$29*Variables!$C$18</f>
        <v>0</v>
      </c>
      <c r="Y117" s="58">
        <f>J117*Variables!$E$30</f>
        <v>176850</v>
      </c>
      <c r="Z117" s="1"/>
      <c r="AA117" s="245">
        <f>D117*(IF(D117&lt;Variables!$C$7,Variables!$C$38,IF(D117&gt;Variables!$C$6,Variables!$C$36,Variables!$C$37)))</f>
        <v>210.79746707354991</v>
      </c>
      <c r="AB117" s="64">
        <f t="shared" si="13"/>
        <v>208</v>
      </c>
      <c r="AC117" s="66">
        <f t="shared" si="2"/>
        <v>3</v>
      </c>
      <c r="AD117" s="62">
        <f>AC117*Variables!$E$41</f>
        <v>1612800</v>
      </c>
      <c r="AE117" s="71">
        <f>ROUND((H117/(3.14*Variables!$C$35^2)),0)</f>
        <v>19</v>
      </c>
      <c r="AF117" s="57">
        <f t="shared" si="14"/>
        <v>19</v>
      </c>
      <c r="AG117" s="57">
        <f t="shared" si="3"/>
        <v>0</v>
      </c>
      <c r="AH117" s="58">
        <f>AG117*Variables!$E$42*Variables!$C$18</f>
        <v>0</v>
      </c>
      <c r="AI117" s="73">
        <f t="shared" si="4"/>
        <v>2</v>
      </c>
      <c r="AJ117" s="66">
        <f t="shared" si="15"/>
        <v>2</v>
      </c>
      <c r="AK117" s="66">
        <f t="shared" si="5"/>
        <v>0</v>
      </c>
      <c r="AL117" s="62">
        <f>IF(AK117*Variables!$E$43*Variables!$C$18&lt;0,0,AK117*Variables!$E$43*Variables!$C$18)</f>
        <v>0</v>
      </c>
      <c r="AM117" s="58">
        <f>AA117*Variables!$E$39*Variables!$C$18</f>
        <v>60931495.77025158</v>
      </c>
      <c r="AN117" s="1"/>
      <c r="AO117" s="76">
        <f t="shared" si="16"/>
        <v>0.67714285714285716</v>
      </c>
      <c r="AP117" s="76">
        <f t="shared" si="6"/>
        <v>105.73562111320128</v>
      </c>
      <c r="AQ117" s="75">
        <f>VLOOKUP(B117,'Household Information'!$B$2:$E$48,4,FALSE)</f>
        <v>65.935833333333335</v>
      </c>
      <c r="AR117" s="79">
        <f>IF(12*(AP117-Variables!$C$45*AQ117*F117)*(G117/5)&lt;0,0,12*(AP117-Variables!$C$45*AQ117*F117)*(G117/5))</f>
        <v>12959067.899104189</v>
      </c>
      <c r="AS117" s="1"/>
      <c r="AT117" s="62">
        <v>0</v>
      </c>
      <c r="AU117" s="1"/>
    </row>
    <row r="118" spans="1:47" ht="14.25" customHeight="1">
      <c r="A118" s="1">
        <v>21</v>
      </c>
      <c r="B118" s="3" t="s">
        <v>213</v>
      </c>
      <c r="C118" s="1">
        <v>2021</v>
      </c>
      <c r="D118" s="13">
        <f>VLOOKUP(B118,Population!$B$1:$O$48,5,FALSE)</f>
        <v>185684.24608387492</v>
      </c>
      <c r="E118" s="13" t="str">
        <f t="shared" si="17"/>
        <v>Medium</v>
      </c>
      <c r="F118" s="54">
        <f>VLOOKUP(B118,'Household Information'!$B$1:$E$48,2,FALSE)</f>
        <v>3.3084232295567606</v>
      </c>
      <c r="G118" s="54">
        <f t="shared" si="0"/>
        <v>56124.69542137497</v>
      </c>
      <c r="H118" s="55">
        <f>IF(D118&gt;Variables!$C$6,H71,H71*(1+Variables!$C$9))</f>
        <v>35.084811999999992</v>
      </c>
      <c r="I118" s="55"/>
      <c r="J118" s="13">
        <f>H118*Variables!$C$21</f>
        <v>631.52661599999988</v>
      </c>
      <c r="K118" s="13">
        <f t="shared" si="12"/>
        <v>631.52661599999988</v>
      </c>
      <c r="L118" s="54">
        <f t="shared" si="1"/>
        <v>0</v>
      </c>
      <c r="M118" s="56"/>
      <c r="N118" s="57"/>
      <c r="O118" s="57"/>
      <c r="P118" s="57"/>
      <c r="Q118" s="57"/>
      <c r="R118" s="57"/>
      <c r="S118" s="58">
        <v>0</v>
      </c>
      <c r="T118" s="59">
        <f>$L118*Variables!$C$22/100</f>
        <v>0</v>
      </c>
      <c r="U118" s="59">
        <f>$L118*Variables!$C$23/100</f>
        <v>0</v>
      </c>
      <c r="V118" s="59">
        <f>$L118*Variables!$C$24/100</f>
        <v>0</v>
      </c>
      <c r="W118" s="59">
        <f>$L118*Variables!$C$25/100</f>
        <v>0</v>
      </c>
      <c r="X118" s="62">
        <f>T118*Variables!$E$26*Variables!$C$18+'Cost Calculations'!U118*Variables!$E$27*Variables!$C$18+'Cost Calculations'!V118*Variables!$E$28*Variables!$C$18+W118*Variables!$E$29*Variables!$C$18</f>
        <v>0</v>
      </c>
      <c r="Y118" s="58">
        <f>J118*Variables!$E$30</f>
        <v>413649.93347999989</v>
      </c>
      <c r="Z118" s="1"/>
      <c r="AA118" s="245">
        <f>D118*(IF(D118&lt;Variables!$C$7,Variables!$C$38,IF(D118&gt;Variables!$C$6,Variables!$C$36,Variables!$C$37)))</f>
        <v>222.82109530064989</v>
      </c>
      <c r="AB118" s="64">
        <f t="shared" si="13"/>
        <v>220</v>
      </c>
      <c r="AC118" s="66">
        <f t="shared" si="2"/>
        <v>3</v>
      </c>
      <c r="AD118" s="62">
        <f>AC118*Variables!$E$41</f>
        <v>1612800</v>
      </c>
      <c r="AE118" s="71">
        <f>ROUND((H118/(3.14*Variables!$C$35^2)),0)</f>
        <v>45</v>
      </c>
      <c r="AF118" s="57">
        <f t="shared" si="14"/>
        <v>45</v>
      </c>
      <c r="AG118" s="57">
        <f t="shared" si="3"/>
        <v>0</v>
      </c>
      <c r="AH118" s="58">
        <f>AG118*Variables!$E$42*Variables!$C$18</f>
        <v>0</v>
      </c>
      <c r="AI118" s="73">
        <f t="shared" si="4"/>
        <v>2</v>
      </c>
      <c r="AJ118" s="66">
        <f t="shared" si="15"/>
        <v>2</v>
      </c>
      <c r="AK118" s="66">
        <f t="shared" si="5"/>
        <v>0</v>
      </c>
      <c r="AL118" s="62">
        <f>IF(AK118*Variables!$E$43*Variables!$C$18&lt;0,0,AK118*Variables!$E$43*Variables!$C$18)</f>
        <v>0</v>
      </c>
      <c r="AM118" s="58">
        <f>AA118*Variables!$E$39*Variables!$C$18</f>
        <v>64406953.339231759</v>
      </c>
      <c r="AN118" s="1"/>
      <c r="AO118" s="76">
        <f t="shared" si="16"/>
        <v>0.67714285714285716</v>
      </c>
      <c r="AP118" s="76">
        <f t="shared" si="6"/>
        <v>134.4165094979918</v>
      </c>
      <c r="AQ118" s="75">
        <f>VLOOKUP(B118,'Household Information'!$B$2:$E$48,4,FALSE)</f>
        <v>65.935833333333335</v>
      </c>
      <c r="AR118" s="79">
        <f>IF(12*(AP118-Variables!$C$45*AQ118*F118)*(G118/5)&lt;0,0,12*(AP118-Variables!$C$45*AQ118*F118)*(G118/5))</f>
        <v>13698237.191561619</v>
      </c>
      <c r="AS118" s="1"/>
      <c r="AT118" s="62">
        <v>0</v>
      </c>
      <c r="AU118" s="1"/>
    </row>
    <row r="119" spans="1:47" ht="14.25" customHeight="1">
      <c r="A119" s="1">
        <v>22</v>
      </c>
      <c r="B119" s="3" t="s">
        <v>214</v>
      </c>
      <c r="C119" s="1">
        <v>2021</v>
      </c>
      <c r="D119" s="13">
        <f>VLOOKUP(B119,Population!$B$1:$O$48,5,FALSE)</f>
        <v>163950.86673787495</v>
      </c>
      <c r="E119" s="13" t="str">
        <f t="shared" si="17"/>
        <v>Medium</v>
      </c>
      <c r="F119" s="54">
        <f>VLOOKUP(B119,'Household Information'!$B$1:$E$48,2,FALSE)</f>
        <v>2.4748082204754236</v>
      </c>
      <c r="G119" s="54">
        <f t="shared" si="0"/>
        <v>66247.907769749989</v>
      </c>
      <c r="H119" s="55">
        <f>IF(D119&gt;Variables!$C$6,H72,H72*(1+Variables!$C$9))</f>
        <v>31.3</v>
      </c>
      <c r="I119" s="55"/>
      <c r="J119" s="13">
        <f>H119*Variables!$C$21</f>
        <v>563.4</v>
      </c>
      <c r="K119" s="13">
        <f t="shared" si="12"/>
        <v>563.4</v>
      </c>
      <c r="L119" s="54">
        <f t="shared" si="1"/>
        <v>0</v>
      </c>
      <c r="M119" s="56"/>
      <c r="N119" s="57"/>
      <c r="O119" s="57"/>
      <c r="P119" s="57"/>
      <c r="Q119" s="57"/>
      <c r="R119" s="57"/>
      <c r="S119" s="58">
        <v>0</v>
      </c>
      <c r="T119" s="59">
        <f>$L119*Variables!$C$22/100</f>
        <v>0</v>
      </c>
      <c r="U119" s="59">
        <f>$L119*Variables!$C$23/100</f>
        <v>0</v>
      </c>
      <c r="V119" s="59">
        <f>$L119*Variables!$C$24/100</f>
        <v>0</v>
      </c>
      <c r="W119" s="59">
        <f>$L119*Variables!$C$25/100</f>
        <v>0</v>
      </c>
      <c r="X119" s="62">
        <f>T119*Variables!$E$26*Variables!$C$18+'Cost Calculations'!U119*Variables!$E$27*Variables!$C$18+'Cost Calculations'!V119*Variables!$E$28*Variables!$C$18+W119*Variables!$E$29*Variables!$C$18</f>
        <v>0</v>
      </c>
      <c r="Y119" s="58">
        <f>J119*Variables!$E$30</f>
        <v>369027</v>
      </c>
      <c r="Z119" s="1"/>
      <c r="AA119" s="245">
        <f>D119*(IF(D119&lt;Variables!$C$7,Variables!$C$38,IF(D119&gt;Variables!$C$6,Variables!$C$36,Variables!$C$37)))</f>
        <v>196.74104008544992</v>
      </c>
      <c r="AB119" s="64">
        <f t="shared" si="13"/>
        <v>194</v>
      </c>
      <c r="AC119" s="66">
        <f t="shared" si="2"/>
        <v>3</v>
      </c>
      <c r="AD119" s="62">
        <f>AC119*Variables!$E$41</f>
        <v>1612800</v>
      </c>
      <c r="AE119" s="71">
        <f>ROUND((H119/(3.14*Variables!$C$35^2)),0)</f>
        <v>40</v>
      </c>
      <c r="AF119" s="57">
        <f t="shared" si="14"/>
        <v>40</v>
      </c>
      <c r="AG119" s="57">
        <f t="shared" si="3"/>
        <v>0</v>
      </c>
      <c r="AH119" s="58">
        <f>AG119*Variables!$E$42*Variables!$C$18</f>
        <v>0</v>
      </c>
      <c r="AI119" s="73">
        <f t="shared" si="4"/>
        <v>2</v>
      </c>
      <c r="AJ119" s="66">
        <f t="shared" si="15"/>
        <v>2</v>
      </c>
      <c r="AK119" s="66">
        <f t="shared" si="5"/>
        <v>0</v>
      </c>
      <c r="AL119" s="62">
        <f>IF(AK119*Variables!$E$43*Variables!$C$18&lt;0,0,AK119*Variables!$E$43*Variables!$C$18)</f>
        <v>0</v>
      </c>
      <c r="AM119" s="58">
        <f>AA119*Variables!$E$39*Variables!$C$18</f>
        <v>56868453.014280379</v>
      </c>
      <c r="AN119" s="1"/>
      <c r="AO119" s="76">
        <f t="shared" si="16"/>
        <v>0.67714285714285716</v>
      </c>
      <c r="AP119" s="76">
        <f t="shared" si="6"/>
        <v>100.5479225576015</v>
      </c>
      <c r="AQ119" s="75">
        <f>VLOOKUP(B119,'Household Information'!$B$2:$E$48,4,FALSE)</f>
        <v>65.935833333333335</v>
      </c>
      <c r="AR119" s="79">
        <f>IF(12*(AP119-Variables!$C$45*AQ119*F119)*(G119/5)&lt;0,0,12*(AP119-Variables!$C$45*AQ119*F119)*(G119/5))</f>
        <v>12094929.471416011</v>
      </c>
      <c r="AS119" s="1"/>
      <c r="AT119" s="62">
        <v>0</v>
      </c>
      <c r="AU119" s="1"/>
    </row>
    <row r="120" spans="1:47" ht="14.25" customHeight="1">
      <c r="A120" s="1">
        <v>23</v>
      </c>
      <c r="B120" s="3" t="s">
        <v>215</v>
      </c>
      <c r="C120" s="1">
        <v>2021</v>
      </c>
      <c r="D120" s="13">
        <f>VLOOKUP(B120,Population!$B$1:$O$48,5,FALSE)</f>
        <v>126191.42061662495</v>
      </c>
      <c r="E120" s="13" t="str">
        <f t="shared" si="17"/>
        <v>Medium</v>
      </c>
      <c r="F120" s="54">
        <f>VLOOKUP(B120,'Household Information'!$B$1:$E$48,2,FALSE)</f>
        <v>2.7568018275271275</v>
      </c>
      <c r="G120" s="54">
        <f t="shared" si="0"/>
        <v>45774.570865624977</v>
      </c>
      <c r="H120" s="55">
        <f>IF(D120&gt;Variables!$C$6,H73,H73*(1+Variables!$C$9))</f>
        <v>14.881089649499996</v>
      </c>
      <c r="I120" s="55"/>
      <c r="J120" s="13">
        <f>H120*Variables!$C$21</f>
        <v>267.85961369099994</v>
      </c>
      <c r="K120" s="13">
        <f t="shared" si="12"/>
        <v>267.85961369099994</v>
      </c>
      <c r="L120" s="54">
        <f t="shared" si="1"/>
        <v>0</v>
      </c>
      <c r="M120" s="56"/>
      <c r="N120" s="57"/>
      <c r="O120" s="57"/>
      <c r="P120" s="57"/>
      <c r="Q120" s="57"/>
      <c r="R120" s="57"/>
      <c r="S120" s="58">
        <v>0</v>
      </c>
      <c r="T120" s="59">
        <f>$L120*Variables!$C$22/100</f>
        <v>0</v>
      </c>
      <c r="U120" s="59">
        <f>$L120*Variables!$C$23/100</f>
        <v>0</v>
      </c>
      <c r="V120" s="59">
        <f>$L120*Variables!$C$24/100</f>
        <v>0</v>
      </c>
      <c r="W120" s="59">
        <f>$L120*Variables!$C$25/100</f>
        <v>0</v>
      </c>
      <c r="X120" s="62">
        <f>T120*Variables!$E$26*Variables!$C$18+'Cost Calculations'!U120*Variables!$E$27*Variables!$C$18+'Cost Calculations'!V120*Variables!$E$28*Variables!$C$18+W120*Variables!$E$29*Variables!$C$18</f>
        <v>0</v>
      </c>
      <c r="Y120" s="58">
        <f>J120*Variables!$E$30</f>
        <v>175448.04696760495</v>
      </c>
      <c r="Z120" s="1"/>
      <c r="AA120" s="245">
        <f>D120*(IF(D120&lt;Variables!$C$7,Variables!$C$38,IF(D120&gt;Variables!$C$6,Variables!$C$36,Variables!$C$37)))</f>
        <v>151.42970473994993</v>
      </c>
      <c r="AB120" s="64">
        <f t="shared" si="13"/>
        <v>149</v>
      </c>
      <c r="AC120" s="66">
        <f t="shared" si="2"/>
        <v>2</v>
      </c>
      <c r="AD120" s="62">
        <f>AC120*Variables!$E$41</f>
        <v>1075200</v>
      </c>
      <c r="AE120" s="71">
        <f>ROUND((H120/(3.14*Variables!$C$35^2)),0)</f>
        <v>19</v>
      </c>
      <c r="AF120" s="57">
        <f t="shared" si="14"/>
        <v>19</v>
      </c>
      <c r="AG120" s="57">
        <f t="shared" si="3"/>
        <v>0</v>
      </c>
      <c r="AH120" s="58">
        <f>AG120*Variables!$E$42*Variables!$C$18</f>
        <v>0</v>
      </c>
      <c r="AI120" s="73">
        <f t="shared" si="4"/>
        <v>1</v>
      </c>
      <c r="AJ120" s="66">
        <f t="shared" si="15"/>
        <v>1</v>
      </c>
      <c r="AK120" s="66">
        <f t="shared" si="5"/>
        <v>0</v>
      </c>
      <c r="AL120" s="62">
        <f>IF(AK120*Variables!$E$43*Variables!$C$18&lt;0,0,AK120*Variables!$E$43*Variables!$C$18)</f>
        <v>0</v>
      </c>
      <c r="AM120" s="58">
        <f>AA120*Variables!$E$39*Variables!$C$18</f>
        <v>43771106.654869549</v>
      </c>
      <c r="AN120" s="1"/>
      <c r="AO120" s="76">
        <f t="shared" si="16"/>
        <v>0.67714285714285716</v>
      </c>
      <c r="AP120" s="76">
        <f t="shared" si="6"/>
        <v>112.00491996410214</v>
      </c>
      <c r="AQ120" s="75">
        <f>VLOOKUP(B120,'Household Information'!$B$2:$E$48,4,FALSE)</f>
        <v>65.935833333333335</v>
      </c>
      <c r="AR120" s="79">
        <f>IF(12*(AP120-Variables!$C$45*AQ120*F120)*(G120/5)&lt;0,0,12*(AP120-Variables!$C$45*AQ120*F120)*(G120/5))</f>
        <v>9309352.0188343097</v>
      </c>
      <c r="AS120" s="1"/>
      <c r="AT120" s="62">
        <v>0</v>
      </c>
      <c r="AU120" s="1"/>
    </row>
    <row r="121" spans="1:47" ht="14.25" customHeight="1">
      <c r="A121" s="1">
        <v>24</v>
      </c>
      <c r="B121" s="3" t="s">
        <v>216</v>
      </c>
      <c r="C121" s="1">
        <v>2021</v>
      </c>
      <c r="D121" s="13">
        <f>VLOOKUP(B121,Population!$B$1:$O$48,5,FALSE)</f>
        <v>79194.451730624976</v>
      </c>
      <c r="E121" s="13" t="str">
        <f t="shared" si="17"/>
        <v>Small</v>
      </c>
      <c r="F121" s="54">
        <f>VLOOKUP(B121,'Household Information'!$B$1:$E$48,2,FALSE)</f>
        <v>2.845682723378673</v>
      </c>
      <c r="G121" s="54">
        <f t="shared" si="0"/>
        <v>27829.68427224999</v>
      </c>
      <c r="H121" s="55">
        <f>IF(D121&gt;Variables!$C$6,H74,H74*(1+Variables!$C$9))</f>
        <v>9.0689286616884282</v>
      </c>
      <c r="I121" s="55"/>
      <c r="J121" s="13">
        <f>H121*Variables!$C$21</f>
        <v>163.24071591039171</v>
      </c>
      <c r="K121" s="13">
        <f t="shared" si="12"/>
        <v>158.02586244955634</v>
      </c>
      <c r="L121" s="54">
        <f t="shared" si="1"/>
        <v>5.2148534608353714</v>
      </c>
      <c r="M121" s="56"/>
      <c r="N121" s="57"/>
      <c r="O121" s="57"/>
      <c r="P121" s="57"/>
      <c r="Q121" s="57"/>
      <c r="R121" s="57"/>
      <c r="S121" s="58">
        <v>0</v>
      </c>
      <c r="T121" s="59">
        <f>$L121*Variables!$C$22/100</f>
        <v>0.28315946393676222</v>
      </c>
      <c r="U121" s="59">
        <f>$L121*Variables!$C$23/100</f>
        <v>0.49552906188933393</v>
      </c>
      <c r="V121" s="59">
        <f>$L121*Variables!$C$24/100</f>
        <v>0.5191256838840641</v>
      </c>
      <c r="W121" s="59">
        <f>$L121*Variables!$C$25/100</f>
        <v>3.7754595191568296</v>
      </c>
      <c r="X121" s="62">
        <f>T121*Variables!$E$26*Variables!$C$18+'Cost Calculations'!U121*Variables!$E$27*Variables!$C$18+'Cost Calculations'!V121*Variables!$E$28*Variables!$C$18+W121*Variables!$E$29*Variables!$C$18</f>
        <v>5927869.82684536</v>
      </c>
      <c r="Y121" s="58">
        <f>J121*Variables!$E$30</f>
        <v>106922.66892130657</v>
      </c>
      <c r="Z121" s="1"/>
      <c r="AA121" s="245">
        <f>D121*(IF(D121&lt;Variables!$C$7,Variables!$C$38,IF(D121&gt;Variables!$C$6,Variables!$C$36,Variables!$C$37)))</f>
        <v>63.355561384499985</v>
      </c>
      <c r="AB121" s="64">
        <f t="shared" si="13"/>
        <v>62</v>
      </c>
      <c r="AC121" s="66">
        <f t="shared" si="2"/>
        <v>1</v>
      </c>
      <c r="AD121" s="62">
        <f>AC121*Variables!$E$41</f>
        <v>537600</v>
      </c>
      <c r="AE121" s="71">
        <f>ROUND((H121/(3.14*Variables!$C$35^2)),0)</f>
        <v>12</v>
      </c>
      <c r="AF121" s="57">
        <f t="shared" si="14"/>
        <v>11</v>
      </c>
      <c r="AG121" s="57">
        <f t="shared" si="3"/>
        <v>1</v>
      </c>
      <c r="AH121" s="58">
        <f>AG121*Variables!$E$42*Variables!$C$18</f>
        <v>1148.2560000000001</v>
      </c>
      <c r="AI121" s="73">
        <f t="shared" si="4"/>
        <v>1</v>
      </c>
      <c r="AJ121" s="66">
        <f t="shared" si="15"/>
        <v>1</v>
      </c>
      <c r="AK121" s="66">
        <f t="shared" si="5"/>
        <v>0</v>
      </c>
      <c r="AL121" s="62">
        <f>IF(AK121*Variables!$E$43*Variables!$C$18&lt;0,0,AK121*Variables!$E$43*Variables!$C$18)</f>
        <v>0</v>
      </c>
      <c r="AM121" s="58">
        <f>AA121*Variables!$E$39*Variables!$C$18</f>
        <v>18313071.661219962</v>
      </c>
      <c r="AN121" s="1"/>
      <c r="AO121" s="76">
        <f t="shared" si="16"/>
        <v>0.67714285714285716</v>
      </c>
      <c r="AP121" s="76">
        <f t="shared" si="6"/>
        <v>115.61602378984207</v>
      </c>
      <c r="AQ121" s="75">
        <f>VLOOKUP(B121,'Household Information'!$B$2:$E$48,4,FALSE)</f>
        <v>65.935833333333335</v>
      </c>
      <c r="AR121" s="79">
        <f>IF(12*(AP121-Variables!$C$45*AQ121*F121)*(G121/5)&lt;0,0,12*(AP121-Variables!$C$45*AQ121*F121)*(G121/5))</f>
        <v>5842307.0720375255</v>
      </c>
      <c r="AS121" s="1"/>
      <c r="AT121" s="62">
        <v>0</v>
      </c>
      <c r="AU121" s="1"/>
    </row>
    <row r="122" spans="1:47" ht="14.25" customHeight="1">
      <c r="A122" s="1">
        <v>25</v>
      </c>
      <c r="B122" s="3" t="s">
        <v>217</v>
      </c>
      <c r="C122" s="1">
        <v>2021</v>
      </c>
      <c r="D122" s="13">
        <f>VLOOKUP(B122,Population!$B$1:$O$48,5,FALSE)</f>
        <v>164110.85552924994</v>
      </c>
      <c r="E122" s="13" t="str">
        <f t="shared" si="17"/>
        <v>Medium</v>
      </c>
      <c r="F122" s="54">
        <f>VLOOKUP(B122,'Household Information'!$B$1:$E$48,2,FALSE)</f>
        <v>2.502264030612245</v>
      </c>
      <c r="G122" s="54">
        <f t="shared" si="0"/>
        <v>65584.947679999968</v>
      </c>
      <c r="H122" s="55">
        <f>IF(D122&gt;Variables!$C$6,H75,H75*(1+Variables!$C$9))</f>
        <v>22.498002944169993</v>
      </c>
      <c r="I122" s="55"/>
      <c r="J122" s="13">
        <f>H122*Variables!$C$21</f>
        <v>404.96405299505989</v>
      </c>
      <c r="K122" s="13">
        <f t="shared" si="12"/>
        <v>404.96405299505989</v>
      </c>
      <c r="L122" s="54">
        <f t="shared" si="1"/>
        <v>0</v>
      </c>
      <c r="M122" s="56"/>
      <c r="N122" s="57"/>
      <c r="O122" s="57"/>
      <c r="P122" s="57"/>
      <c r="Q122" s="57"/>
      <c r="R122" s="57"/>
      <c r="S122" s="58">
        <v>0</v>
      </c>
      <c r="T122" s="59">
        <f>$L122*Variables!$C$22/100</f>
        <v>0</v>
      </c>
      <c r="U122" s="59">
        <f>$L122*Variables!$C$23/100</f>
        <v>0</v>
      </c>
      <c r="V122" s="59">
        <f>$L122*Variables!$C$24/100</f>
        <v>0</v>
      </c>
      <c r="W122" s="59">
        <f>$L122*Variables!$C$25/100</f>
        <v>0</v>
      </c>
      <c r="X122" s="62">
        <f>T122*Variables!$E$26*Variables!$C$18+'Cost Calculations'!U122*Variables!$E$27*Variables!$C$18+'Cost Calculations'!V122*Variables!$E$28*Variables!$C$18+W122*Variables!$E$29*Variables!$C$18</f>
        <v>0</v>
      </c>
      <c r="Y122" s="58">
        <f>J122*Variables!$E$30</f>
        <v>265251.45471176424</v>
      </c>
      <c r="Z122" s="1"/>
      <c r="AA122" s="245">
        <f>D122*(IF(D122&lt;Variables!$C$7,Variables!$C$38,IF(D122&gt;Variables!$C$6,Variables!$C$36,Variables!$C$37)))</f>
        <v>196.93302663509991</v>
      </c>
      <c r="AB122" s="64">
        <f t="shared" si="13"/>
        <v>194</v>
      </c>
      <c r="AC122" s="66">
        <f t="shared" si="2"/>
        <v>3</v>
      </c>
      <c r="AD122" s="62">
        <f>AC122*Variables!$E$41</f>
        <v>1612800</v>
      </c>
      <c r="AE122" s="71">
        <f>ROUND((H122/(3.14*Variables!$C$35^2)),0)</f>
        <v>29</v>
      </c>
      <c r="AF122" s="57">
        <f t="shared" si="14"/>
        <v>29</v>
      </c>
      <c r="AG122" s="57">
        <f t="shared" si="3"/>
        <v>0</v>
      </c>
      <c r="AH122" s="58">
        <f>AG122*Variables!$E$42*Variables!$C$18</f>
        <v>0</v>
      </c>
      <c r="AI122" s="73">
        <f t="shared" si="4"/>
        <v>2</v>
      </c>
      <c r="AJ122" s="66">
        <f t="shared" si="15"/>
        <v>2</v>
      </c>
      <c r="AK122" s="66">
        <f t="shared" si="5"/>
        <v>0</v>
      </c>
      <c r="AL122" s="62">
        <f>IF(AK122*Variables!$E$43*Variables!$C$18&lt;0,0,AK122*Variables!$E$43*Variables!$C$18)</f>
        <v>0</v>
      </c>
      <c r="AM122" s="58">
        <f>AA122*Variables!$E$39*Variables!$C$18</f>
        <v>56923947.170829527</v>
      </c>
      <c r="AN122" s="1"/>
      <c r="AO122" s="76">
        <f t="shared" si="16"/>
        <v>0.67714285714285716</v>
      </c>
      <c r="AP122" s="76">
        <f t="shared" si="6"/>
        <v>101.66341290087463</v>
      </c>
      <c r="AQ122" s="75">
        <f>VLOOKUP(B122,'Household Information'!$B$2:$E$48,4,FALSE)</f>
        <v>65.935833333333335</v>
      </c>
      <c r="AR122" s="79">
        <f>IF(12*(AP122-Variables!$C$45*AQ122*F122)*(G122/5)&lt;0,0,12*(AP122-Variables!$C$45*AQ122*F122)*(G122/5))</f>
        <v>12106732.11196558</v>
      </c>
      <c r="AS122" s="1"/>
      <c r="AT122" s="62">
        <v>0</v>
      </c>
      <c r="AU122" s="1"/>
    </row>
    <row r="123" spans="1:47" ht="14.25" customHeight="1">
      <c r="A123" s="1">
        <v>26</v>
      </c>
      <c r="B123" s="3" t="s">
        <v>219</v>
      </c>
      <c r="C123" s="1">
        <v>2021</v>
      </c>
      <c r="D123" s="13">
        <f>VLOOKUP(B123,Population!$B$1:$O$48,5,FALSE)</f>
        <v>44801.044298499983</v>
      </c>
      <c r="E123" s="13" t="str">
        <f t="shared" si="17"/>
        <v>Small</v>
      </c>
      <c r="F123" s="54">
        <f>VLOOKUP(B123,'Household Information'!$B$1:$E$48,2,FALSE)</f>
        <v>3.6899491861166136</v>
      </c>
      <c r="G123" s="54">
        <f t="shared" si="0"/>
        <v>12141.371612124994</v>
      </c>
      <c r="H123" s="55">
        <f>IF(D123&gt;Variables!$C$6,H76,H76*(1+Variables!$C$9))</f>
        <v>3.9482292999999995</v>
      </c>
      <c r="I123" s="55"/>
      <c r="J123" s="13">
        <f>H123*Variables!$C$21</f>
        <v>71.068127399999995</v>
      </c>
      <c r="K123" s="13">
        <f t="shared" si="12"/>
        <v>68.797799999999995</v>
      </c>
      <c r="L123" s="54">
        <f t="shared" si="1"/>
        <v>2.2703273999999993</v>
      </c>
      <c r="M123" s="56"/>
      <c r="N123" s="57"/>
      <c r="O123" s="57"/>
      <c r="P123" s="57"/>
      <c r="Q123" s="57"/>
      <c r="R123" s="57"/>
      <c r="S123" s="58">
        <v>0</v>
      </c>
      <c r="T123" s="59">
        <f>$L123*Variables!$C$22/100</f>
        <v>0.12327569592760175</v>
      </c>
      <c r="U123" s="59">
        <f>$L123*Variables!$C$23/100</f>
        <v>0.21573246787330308</v>
      </c>
      <c r="V123" s="59">
        <f>$L123*Variables!$C$24/100</f>
        <v>0.22600544253393656</v>
      </c>
      <c r="W123" s="59">
        <f>$L123*Variables!$C$25/100</f>
        <v>1.643675945701357</v>
      </c>
      <c r="X123" s="62">
        <f>T123*Variables!$E$26*Variables!$C$18+'Cost Calculations'!U123*Variables!$E$27*Variables!$C$18+'Cost Calculations'!V123*Variables!$E$28*Variables!$C$18+W123*Variables!$E$29*Variables!$C$18</f>
        <v>2580744.673382326</v>
      </c>
      <c r="Y123" s="58">
        <f>J123*Variables!$E$30</f>
        <v>46549.623446999998</v>
      </c>
      <c r="Z123" s="1"/>
      <c r="AA123" s="245">
        <f>D123*(IF(D123&lt;Variables!$C$7,Variables!$C$38,IF(D123&gt;Variables!$C$6,Variables!$C$36,Variables!$C$37)))</f>
        <v>22.400522149249991</v>
      </c>
      <c r="AB123" s="64">
        <f t="shared" si="13"/>
        <v>22</v>
      </c>
      <c r="AC123" s="66">
        <f t="shared" si="2"/>
        <v>0</v>
      </c>
      <c r="AD123" s="62">
        <f>AC123*Variables!$E$41</f>
        <v>0</v>
      </c>
      <c r="AE123" s="71">
        <f>ROUND((H123/(3.14*Variables!$C$35^2)),0)</f>
        <v>5</v>
      </c>
      <c r="AF123" s="57">
        <f t="shared" si="14"/>
        <v>5</v>
      </c>
      <c r="AG123" s="57">
        <f t="shared" si="3"/>
        <v>0</v>
      </c>
      <c r="AH123" s="58">
        <f>AG123*Variables!$E$42*Variables!$C$18</f>
        <v>0</v>
      </c>
      <c r="AI123" s="73">
        <f t="shared" si="4"/>
        <v>0</v>
      </c>
      <c r="AJ123" s="66">
        <f t="shared" si="15"/>
        <v>0</v>
      </c>
      <c r="AK123" s="66">
        <f t="shared" si="5"/>
        <v>0</v>
      </c>
      <c r="AL123" s="62">
        <f>IF(AK123*Variables!$E$43*Variables!$C$18&lt;0,0,AK123*Variables!$E$43*Variables!$C$18)</f>
        <v>0</v>
      </c>
      <c r="AM123" s="58">
        <f>AA123*Variables!$E$39*Variables!$C$18</f>
        <v>6474922.7755769137</v>
      </c>
      <c r="AN123" s="1"/>
      <c r="AO123" s="76">
        <f t="shared" si="16"/>
        <v>0.67714285714285716</v>
      </c>
      <c r="AP123" s="76">
        <f t="shared" si="6"/>
        <v>149.91736407593783</v>
      </c>
      <c r="AQ123" s="75">
        <f>VLOOKUP(B123,'Household Information'!$B$2:$E$48,4,FALSE)</f>
        <v>65.935833333333335</v>
      </c>
      <c r="AR123" s="79">
        <f>IF(12*(AP123-Variables!$C$45*AQ123*F123)*(G123/5)&lt;0,0,12*(AP123-Variables!$C$45*AQ123*F123)*(G123/5))</f>
        <v>3305047.9196458128</v>
      </c>
      <c r="AS123" s="1"/>
      <c r="AT123" s="62">
        <v>0</v>
      </c>
      <c r="AU123" s="1"/>
    </row>
    <row r="124" spans="1:47" ht="14.25" customHeight="1">
      <c r="A124" s="1">
        <v>27</v>
      </c>
      <c r="B124" s="3" t="s">
        <v>220</v>
      </c>
      <c r="C124" s="1">
        <v>2021</v>
      </c>
      <c r="D124" s="13">
        <f>VLOOKUP(B124,Population!$B$1:$O$48,5,FALSE)</f>
        <v>8402.0257431249975</v>
      </c>
      <c r="E124" s="13" t="str">
        <f t="shared" si="17"/>
        <v>Small</v>
      </c>
      <c r="F124" s="54">
        <f>VLOOKUP(B124,'Household Information'!$B$1:$E$48,2,FALSE)</f>
        <v>2.667113684852179</v>
      </c>
      <c r="G124" s="54">
        <f t="shared" si="0"/>
        <v>3150.2315746209624</v>
      </c>
      <c r="H124" s="55">
        <f>IF(D124&gt;Variables!$C$6,H77,H77*(1+Variables!$C$9))</f>
        <v>0.64341167029099466</v>
      </c>
      <c r="I124" s="55"/>
      <c r="J124" s="13">
        <f>H124*Variables!$C$21</f>
        <v>11.581410065237904</v>
      </c>
      <c r="K124" s="13">
        <f t="shared" si="12"/>
        <v>11.211432783386162</v>
      </c>
      <c r="L124" s="54">
        <f t="shared" si="1"/>
        <v>0.36997728185174239</v>
      </c>
      <c r="M124" s="56"/>
      <c r="N124" s="57"/>
      <c r="O124" s="57"/>
      <c r="P124" s="57"/>
      <c r="Q124" s="57"/>
      <c r="R124" s="57"/>
      <c r="S124" s="58">
        <v>0</v>
      </c>
      <c r="T124" s="59">
        <f>$L124*Variables!$C$22/100</f>
        <v>2.0089264172945286E-2</v>
      </c>
      <c r="U124" s="59">
        <f>$L124*Variables!$C$23/100</f>
        <v>3.5156212302654255E-2</v>
      </c>
      <c r="V124" s="59">
        <f>$L124*Variables!$C$24/100</f>
        <v>3.6830317650399701E-2</v>
      </c>
      <c r="W124" s="59">
        <f>$L124*Variables!$C$25/100</f>
        <v>0.26785685563927047</v>
      </c>
      <c r="X124" s="62">
        <f>T124*Variables!$E$26*Variables!$C$18+'Cost Calculations'!U124*Variables!$E$27*Variables!$C$18+'Cost Calculations'!V124*Variables!$E$28*Variables!$C$18+W124*Variables!$E$29*Variables!$C$18</f>
        <v>420563.52727424068</v>
      </c>
      <c r="Y124" s="58">
        <f>J124*Variables!$E$30</f>
        <v>7585.8235927308269</v>
      </c>
      <c r="Z124" s="1"/>
      <c r="AA124" s="245">
        <f>D124*(IF(D124&lt;Variables!$C$7,Variables!$C$38,IF(D124&gt;Variables!$C$6,Variables!$C$36,Variables!$C$37)))</f>
        <v>4.201012871562499</v>
      </c>
      <c r="AB124" s="64">
        <f t="shared" si="13"/>
        <v>78</v>
      </c>
      <c r="AC124" s="66">
        <f t="shared" si="2"/>
        <v>0</v>
      </c>
      <c r="AD124" s="62">
        <f>AC124*Variables!$E$41</f>
        <v>0</v>
      </c>
      <c r="AE124" s="71">
        <f>ROUND((H124/(3.14*Variables!$C$35^2)),0)</f>
        <v>1</v>
      </c>
      <c r="AF124" s="57">
        <f t="shared" si="14"/>
        <v>1</v>
      </c>
      <c r="AG124" s="57">
        <f t="shared" si="3"/>
        <v>0</v>
      </c>
      <c r="AH124" s="58">
        <f>AG124*Variables!$E$42*Variables!$C$18</f>
        <v>0</v>
      </c>
      <c r="AI124" s="73">
        <f t="shared" si="4"/>
        <v>0</v>
      </c>
      <c r="AJ124" s="66">
        <f t="shared" si="15"/>
        <v>0</v>
      </c>
      <c r="AK124" s="66">
        <f t="shared" si="5"/>
        <v>0</v>
      </c>
      <c r="AL124" s="62">
        <f>IF(AK124*Variables!$E$43*Variables!$C$18&lt;0,0,AK124*Variables!$E$43*Variables!$C$18)</f>
        <v>0</v>
      </c>
      <c r="AM124" s="58">
        <f>AA124*Variables!$E$39*Variables!$C$18</f>
        <v>1214312.4942059682</v>
      </c>
      <c r="AN124" s="1"/>
      <c r="AO124" s="76">
        <f t="shared" si="16"/>
        <v>0.67714285714285716</v>
      </c>
      <c r="AP124" s="76">
        <f t="shared" si="6"/>
        <v>108.3610188531371</v>
      </c>
      <c r="AQ124" s="75">
        <f>VLOOKUP(B124,'Household Information'!$B$2:$E$48,4,FALSE)</f>
        <v>65.935833333333335</v>
      </c>
      <c r="AR124" s="79">
        <f>IF(12*(AP124-Variables!$C$45*AQ124*F124)*(G124/5)&lt;0,0,12*(AP124-Variables!$C$45*AQ124*F124)*(G124/5))</f>
        <v>619831.48245621601</v>
      </c>
      <c r="AS124" s="1"/>
      <c r="AT124" s="62">
        <v>0</v>
      </c>
      <c r="AU124" s="1"/>
    </row>
    <row r="125" spans="1:47" ht="14.25" customHeight="1">
      <c r="A125" s="1">
        <v>28</v>
      </c>
      <c r="B125" s="3" t="s">
        <v>221</v>
      </c>
      <c r="C125" s="1">
        <v>2021</v>
      </c>
      <c r="D125" s="13">
        <f>VLOOKUP(B125,Population!$B$1:$O$48,5,FALSE)</f>
        <v>50282.490340249984</v>
      </c>
      <c r="E125" s="13" t="str">
        <f t="shared" si="17"/>
        <v>Small</v>
      </c>
      <c r="F125" s="54">
        <f>VLOOKUP(B125,'Household Information'!$B$1:$E$48,2,FALSE)</f>
        <v>2.5363152064982328</v>
      </c>
      <c r="G125" s="54">
        <f t="shared" si="0"/>
        <v>19825.016311624997</v>
      </c>
      <c r="H125" s="55">
        <f>IF(D125&gt;Variables!$C$6,H78,H78*(1+Variables!$C$9))</f>
        <v>5.5488627999999993</v>
      </c>
      <c r="I125" s="55"/>
      <c r="J125" s="13">
        <f>H125*Variables!$C$21</f>
        <v>99.879530399999993</v>
      </c>
      <c r="K125" s="13">
        <f t="shared" si="12"/>
        <v>124.62</v>
      </c>
      <c r="L125" s="54">
        <f t="shared" si="1"/>
        <v>0</v>
      </c>
      <c r="M125" s="56"/>
      <c r="N125" s="57"/>
      <c r="O125" s="57"/>
      <c r="P125" s="57"/>
      <c r="Q125" s="57"/>
      <c r="R125" s="57"/>
      <c r="S125" s="58">
        <v>0</v>
      </c>
      <c r="T125" s="59">
        <f>$L125*Variables!$C$22/100</f>
        <v>0</v>
      </c>
      <c r="U125" s="59">
        <f>$L125*Variables!$C$23/100</f>
        <v>0</v>
      </c>
      <c r="V125" s="59">
        <f>$L125*Variables!$C$24/100</f>
        <v>0</v>
      </c>
      <c r="W125" s="59">
        <f>$L125*Variables!$C$25/100</f>
        <v>0</v>
      </c>
      <c r="X125" s="62">
        <f>T125*Variables!$E$26*Variables!$C$18+'Cost Calculations'!U125*Variables!$E$27*Variables!$C$18+'Cost Calculations'!V125*Variables!$E$28*Variables!$C$18+W125*Variables!$E$29*Variables!$C$18</f>
        <v>0</v>
      </c>
      <c r="Y125" s="58">
        <f>J125*Variables!$E$30</f>
        <v>65421.092411999998</v>
      </c>
      <c r="Z125" s="1"/>
      <c r="AA125" s="245">
        <f>D125*(IF(D125&lt;Variables!$C$7,Variables!$C$38,IF(D125&gt;Variables!$C$6,Variables!$C$36,Variables!$C$37)))</f>
        <v>40.225992272199989</v>
      </c>
      <c r="AB125" s="64">
        <f t="shared" si="13"/>
        <v>25</v>
      </c>
      <c r="AC125" s="66">
        <f t="shared" si="2"/>
        <v>15</v>
      </c>
      <c r="AD125" s="62">
        <f>AC125*Variables!$E$41</f>
        <v>8064000</v>
      </c>
      <c r="AE125" s="71">
        <f>ROUND((H125/(3.14*Variables!$C$35^2)),0)</f>
        <v>7</v>
      </c>
      <c r="AF125" s="57">
        <f t="shared" si="14"/>
        <v>7</v>
      </c>
      <c r="AG125" s="57">
        <f t="shared" si="3"/>
        <v>0</v>
      </c>
      <c r="AH125" s="58">
        <f>AG125*Variables!$E$42*Variables!$C$18</f>
        <v>0</v>
      </c>
      <c r="AI125" s="73">
        <f t="shared" si="4"/>
        <v>0</v>
      </c>
      <c r="AJ125" s="66">
        <f t="shared" si="15"/>
        <v>0</v>
      </c>
      <c r="AK125" s="66">
        <f t="shared" si="5"/>
        <v>0</v>
      </c>
      <c r="AL125" s="62">
        <f>IF(AK125*Variables!$E$43*Variables!$C$18&lt;0,0,AK125*Variables!$E$43*Variables!$C$18)</f>
        <v>0</v>
      </c>
      <c r="AM125" s="58">
        <f>AA125*Variables!$E$39*Variables!$C$18</f>
        <v>11627416.173518494</v>
      </c>
      <c r="AN125" s="1"/>
      <c r="AO125" s="76">
        <f t="shared" si="16"/>
        <v>0.67714285714285716</v>
      </c>
      <c r="AP125" s="76">
        <f t="shared" si="6"/>
        <v>103.04686353258533</v>
      </c>
      <c r="AQ125" s="75">
        <f>VLOOKUP(B125,'Household Information'!$B$2:$E$48,4,FALSE)</f>
        <v>65.935833333333335</v>
      </c>
      <c r="AR125" s="79">
        <f>IF(12*(AP125-Variables!$C$45*AQ125*F125)*(G125/5)&lt;0,0,12*(AP125-Variables!$C$45*AQ125*F125)*(G125/5))</f>
        <v>3709423.3559912383</v>
      </c>
      <c r="AS125" s="1"/>
      <c r="AT125" s="62">
        <v>0</v>
      </c>
      <c r="AU125" s="1"/>
    </row>
    <row r="126" spans="1:47" ht="14.25" customHeight="1">
      <c r="A126" s="1">
        <v>29</v>
      </c>
      <c r="B126" s="3" t="s">
        <v>222</v>
      </c>
      <c r="C126" s="1">
        <v>2021</v>
      </c>
      <c r="D126" s="13">
        <f>VLOOKUP(B126,Population!$B$1:$O$48,5,FALSE)</f>
        <v>50633.838274249982</v>
      </c>
      <c r="E126" s="13" t="str">
        <f t="shared" si="17"/>
        <v>Small</v>
      </c>
      <c r="F126" s="54">
        <f>VLOOKUP(B126,'Household Information'!$B$1:$E$48,2,FALSE)</f>
        <v>2.6066968130921619</v>
      </c>
      <c r="G126" s="54">
        <f t="shared" si="0"/>
        <v>19424.521493999993</v>
      </c>
      <c r="H126" s="55">
        <f>IF(D126&gt;Variables!$C$6,H79,H79*(1+Variables!$C$9))</f>
        <v>3.5000519199999993</v>
      </c>
      <c r="I126" s="55"/>
      <c r="J126" s="13">
        <f>H126*Variables!$C$21</f>
        <v>63.00093455999999</v>
      </c>
      <c r="K126" s="13">
        <f t="shared" si="12"/>
        <v>69.7</v>
      </c>
      <c r="L126" s="54">
        <f t="shared" si="1"/>
        <v>0</v>
      </c>
      <c r="M126" s="56"/>
      <c r="N126" s="57"/>
      <c r="O126" s="57"/>
      <c r="P126" s="57"/>
      <c r="Q126" s="57"/>
      <c r="R126" s="57"/>
      <c r="S126" s="58">
        <v>0</v>
      </c>
      <c r="T126" s="59">
        <f>$L126*Variables!$C$22/100</f>
        <v>0</v>
      </c>
      <c r="U126" s="59">
        <f>$L126*Variables!$C$23/100</f>
        <v>0</v>
      </c>
      <c r="V126" s="59">
        <f>$L126*Variables!$C$24/100</f>
        <v>0</v>
      </c>
      <c r="W126" s="59">
        <f>$L126*Variables!$C$25/100</f>
        <v>0</v>
      </c>
      <c r="X126" s="62">
        <f>T126*Variables!$E$26*Variables!$C$18+'Cost Calculations'!U126*Variables!$E$27*Variables!$C$18+'Cost Calculations'!V126*Variables!$E$28*Variables!$C$18+W126*Variables!$E$29*Variables!$C$18</f>
        <v>0</v>
      </c>
      <c r="Y126" s="58">
        <f>J126*Variables!$E$30</f>
        <v>41265.612136799995</v>
      </c>
      <c r="Z126" s="1"/>
      <c r="AA126" s="245">
        <f>D126*(IF(D126&lt;Variables!$C$7,Variables!$C$38,IF(D126&gt;Variables!$C$6,Variables!$C$36,Variables!$C$37)))</f>
        <v>40.50707061939999</v>
      </c>
      <c r="AB126" s="64">
        <f t="shared" si="13"/>
        <v>25</v>
      </c>
      <c r="AC126" s="66">
        <f t="shared" si="2"/>
        <v>16</v>
      </c>
      <c r="AD126" s="62">
        <f>AC126*Variables!$E$41</f>
        <v>8601600</v>
      </c>
      <c r="AE126" s="71">
        <f>ROUND((H126/(3.14*Variables!$C$35^2)),0)</f>
        <v>4</v>
      </c>
      <c r="AF126" s="57">
        <f t="shared" si="14"/>
        <v>4</v>
      </c>
      <c r="AG126" s="57">
        <f t="shared" si="3"/>
        <v>0</v>
      </c>
      <c r="AH126" s="58">
        <f>AG126*Variables!$E$42*Variables!$C$18</f>
        <v>0</v>
      </c>
      <c r="AI126" s="73">
        <f t="shared" si="4"/>
        <v>0</v>
      </c>
      <c r="AJ126" s="66">
        <f t="shared" si="15"/>
        <v>0</v>
      </c>
      <c r="AK126" s="66">
        <f t="shared" si="5"/>
        <v>0</v>
      </c>
      <c r="AL126" s="62">
        <f>IF(AK126*Variables!$E$43*Variables!$C$18&lt;0,0,AK126*Variables!$E$43*Variables!$C$18)</f>
        <v>0</v>
      </c>
      <c r="AM126" s="58">
        <f>AA126*Variables!$E$39*Variables!$C$18</f>
        <v>11708662.520361697</v>
      </c>
      <c r="AN126" s="1"/>
      <c r="AO126" s="76">
        <f t="shared" si="16"/>
        <v>0.67714285714285716</v>
      </c>
      <c r="AP126" s="76">
        <f t="shared" si="6"/>
        <v>105.9063676633444</v>
      </c>
      <c r="AQ126" s="75">
        <f>VLOOKUP(B126,'Household Information'!$B$2:$E$48,4,FALSE)</f>
        <v>65.935833333333335</v>
      </c>
      <c r="AR126" s="79">
        <f>IF(12*(AP126-Variables!$C$45*AQ126*F126)*(G126/5)&lt;0,0,12*(AP126-Variables!$C$45*AQ126*F126)*(G126/5))</f>
        <v>3735342.8803353938</v>
      </c>
      <c r="AS126" s="1"/>
      <c r="AT126" s="62">
        <v>0</v>
      </c>
      <c r="AU126" s="1"/>
    </row>
    <row r="127" spans="1:47" ht="14.25" customHeight="1">
      <c r="A127" s="1">
        <v>30</v>
      </c>
      <c r="B127" s="3" t="s">
        <v>223</v>
      </c>
      <c r="C127" s="1">
        <v>2021</v>
      </c>
      <c r="D127" s="13">
        <f>VLOOKUP(B127,Population!$B$1:$O$48,5,FALSE)</f>
        <v>20691.883684499993</v>
      </c>
      <c r="E127" s="13" t="str">
        <f t="shared" si="17"/>
        <v>Small</v>
      </c>
      <c r="F127" s="54">
        <f>VLOOKUP(B127,'Household Information'!$B$1:$E$48,2,FALSE)</f>
        <v>2.8820273812991553</v>
      </c>
      <c r="G127" s="54">
        <f t="shared" si="0"/>
        <v>7179.6277227499977</v>
      </c>
      <c r="H127" s="55">
        <f>IF(D127&gt;Variables!$C$6,H80,H80*(1+Variables!$C$9))</f>
        <v>3.6281025999999992</v>
      </c>
      <c r="I127" s="55"/>
      <c r="J127" s="13">
        <f>H127*Variables!$C$21</f>
        <v>65.305846799999983</v>
      </c>
      <c r="K127" s="13">
        <f t="shared" si="12"/>
        <v>76.2</v>
      </c>
      <c r="L127" s="54">
        <f t="shared" si="1"/>
        <v>0</v>
      </c>
      <c r="M127" s="56"/>
      <c r="N127" s="57"/>
      <c r="O127" s="57"/>
      <c r="P127" s="57"/>
      <c r="Q127" s="57"/>
      <c r="R127" s="57"/>
      <c r="S127" s="58">
        <v>0</v>
      </c>
      <c r="T127" s="59">
        <f>$L127*Variables!$C$22/100</f>
        <v>0</v>
      </c>
      <c r="U127" s="59">
        <f>$L127*Variables!$C$23/100</f>
        <v>0</v>
      </c>
      <c r="V127" s="59">
        <f>$L127*Variables!$C$24/100</f>
        <v>0</v>
      </c>
      <c r="W127" s="59">
        <f>$L127*Variables!$C$25/100</f>
        <v>0</v>
      </c>
      <c r="X127" s="62">
        <f>T127*Variables!$E$26*Variables!$C$18+'Cost Calculations'!U127*Variables!$E$27*Variables!$C$18+'Cost Calculations'!V127*Variables!$E$28*Variables!$C$18+W127*Variables!$E$29*Variables!$C$18</f>
        <v>0</v>
      </c>
      <c r="Y127" s="58">
        <f>J127*Variables!$E$30</f>
        <v>42775.329653999986</v>
      </c>
      <c r="Z127" s="1"/>
      <c r="AA127" s="245">
        <f>D127*(IF(D127&lt;Variables!$C$7,Variables!$C$38,IF(D127&gt;Variables!$C$6,Variables!$C$36,Variables!$C$37)))</f>
        <v>10.345941842249998</v>
      </c>
      <c r="AB127" s="64">
        <f t="shared" si="13"/>
        <v>10</v>
      </c>
      <c r="AC127" s="66">
        <f t="shared" si="2"/>
        <v>0</v>
      </c>
      <c r="AD127" s="62">
        <f>AC127*Variables!$E$41</f>
        <v>0</v>
      </c>
      <c r="AE127" s="71">
        <f>ROUND((H127/(3.14*Variables!$C$35^2)),0)</f>
        <v>5</v>
      </c>
      <c r="AF127" s="57">
        <f t="shared" si="14"/>
        <v>4</v>
      </c>
      <c r="AG127" s="57">
        <f t="shared" si="3"/>
        <v>1</v>
      </c>
      <c r="AH127" s="58">
        <f>AG127*Variables!$E$42*Variables!$C$18</f>
        <v>1148.2560000000001</v>
      </c>
      <c r="AI127" s="73">
        <f t="shared" si="4"/>
        <v>0</v>
      </c>
      <c r="AJ127" s="66">
        <f t="shared" si="15"/>
        <v>0</v>
      </c>
      <c r="AK127" s="66">
        <f t="shared" si="5"/>
        <v>0</v>
      </c>
      <c r="AL127" s="62">
        <f>IF(AK127*Variables!$E$43*Variables!$C$18&lt;0,0,AK127*Variables!$E$43*Variables!$C$18)</f>
        <v>0</v>
      </c>
      <c r="AM127" s="58">
        <f>AA127*Variables!$E$39*Variables!$C$18</f>
        <v>2990518.4362598257</v>
      </c>
      <c r="AN127" s="1"/>
      <c r="AO127" s="76">
        <f t="shared" si="16"/>
        <v>0.67714285714285716</v>
      </c>
      <c r="AP127" s="76">
        <f t="shared" si="6"/>
        <v>117.09265532021139</v>
      </c>
      <c r="AQ127" s="75">
        <f>VLOOKUP(B127,'Household Information'!$B$2:$E$48,4,FALSE)</f>
        <v>65.935833333333335</v>
      </c>
      <c r="AR127" s="79">
        <f>IF(12*(AP127-Variables!$C$45*AQ127*F127)*(G127/5)&lt;0,0,12*(AP127-Variables!$C$45*AQ127*F127)*(G127/5))</f>
        <v>1526474.8444111515</v>
      </c>
      <c r="AS127" s="1"/>
      <c r="AT127" s="62">
        <v>0</v>
      </c>
      <c r="AU127" s="1"/>
    </row>
    <row r="128" spans="1:47" ht="14.25" customHeight="1">
      <c r="A128" s="1">
        <v>31</v>
      </c>
      <c r="B128" s="3" t="s">
        <v>224</v>
      </c>
      <c r="C128" s="1">
        <v>2021</v>
      </c>
      <c r="D128" s="13">
        <f>VLOOKUP(B128,Population!$B$1:$O$48,5,FALSE)</f>
        <v>31479.10180099999</v>
      </c>
      <c r="E128" s="13" t="str">
        <f t="shared" si="17"/>
        <v>Small</v>
      </c>
      <c r="F128" s="54">
        <f>VLOOKUP(B128,'Household Information'!$B$1:$E$48,2,FALSE)</f>
        <v>3.407</v>
      </c>
      <c r="G128" s="54">
        <f t="shared" si="0"/>
        <v>9239.5367775168743</v>
      </c>
      <c r="H128" s="55">
        <f>IF(D128&gt;Variables!$C$6,H81,H81*(1+Variables!$C$9))</f>
        <v>3.8735330699999992</v>
      </c>
      <c r="I128" s="55"/>
      <c r="J128" s="13">
        <f>H128*Variables!$C$21</f>
        <v>69.723595259999982</v>
      </c>
      <c r="K128" s="13">
        <f t="shared" si="12"/>
        <v>83</v>
      </c>
      <c r="L128" s="54">
        <f t="shared" si="1"/>
        <v>0</v>
      </c>
      <c r="M128" s="56"/>
      <c r="N128" s="57"/>
      <c r="O128" s="57"/>
      <c r="P128" s="57"/>
      <c r="Q128" s="57"/>
      <c r="R128" s="57"/>
      <c r="S128" s="58">
        <v>0</v>
      </c>
      <c r="T128" s="59">
        <f>$L128*Variables!$C$22/100</f>
        <v>0</v>
      </c>
      <c r="U128" s="59">
        <f>$L128*Variables!$C$23/100</f>
        <v>0</v>
      </c>
      <c r="V128" s="59">
        <f>$L128*Variables!$C$24/100</f>
        <v>0</v>
      </c>
      <c r="W128" s="59">
        <f>$L128*Variables!$C$25/100</f>
        <v>0</v>
      </c>
      <c r="X128" s="62">
        <f>T128*Variables!$E$26*Variables!$C$18+'Cost Calculations'!U128*Variables!$E$27*Variables!$C$18+'Cost Calculations'!V128*Variables!$E$28*Variables!$C$18+W128*Variables!$E$29*Variables!$C$18</f>
        <v>0</v>
      </c>
      <c r="Y128" s="58">
        <f>J128*Variables!$E$30</f>
        <v>45668.95489529999</v>
      </c>
      <c r="Z128" s="1"/>
      <c r="AA128" s="245">
        <f>D128*(IF(D128&lt;Variables!$C$7,Variables!$C$38,IF(D128&gt;Variables!$C$6,Variables!$C$36,Variables!$C$37)))</f>
        <v>15.739550900499996</v>
      </c>
      <c r="AB128" s="64">
        <f t="shared" si="13"/>
        <v>16</v>
      </c>
      <c r="AC128" s="66">
        <f t="shared" si="2"/>
        <v>0</v>
      </c>
      <c r="AD128" s="62">
        <f>AC128*Variables!$E$41</f>
        <v>0</v>
      </c>
      <c r="AE128" s="71">
        <f>ROUND((H128/(3.14*Variables!$C$35^2)),0)</f>
        <v>5</v>
      </c>
      <c r="AF128" s="57">
        <f t="shared" si="14"/>
        <v>5</v>
      </c>
      <c r="AG128" s="57">
        <f t="shared" si="3"/>
        <v>0</v>
      </c>
      <c r="AH128" s="58">
        <f>AG128*Variables!$E$42*Variables!$C$18</f>
        <v>0</v>
      </c>
      <c r="AI128" s="73">
        <f t="shared" si="4"/>
        <v>0</v>
      </c>
      <c r="AJ128" s="66">
        <f t="shared" si="15"/>
        <v>0</v>
      </c>
      <c r="AK128" s="66">
        <f t="shared" si="5"/>
        <v>0</v>
      </c>
      <c r="AL128" s="62">
        <f>IF(AK128*Variables!$E$43*Variables!$C$18&lt;0,0,AK128*Variables!$E$43*Variables!$C$18)</f>
        <v>0</v>
      </c>
      <c r="AM128" s="58">
        <f>AA128*Variables!$E$39*Variables!$C$18</f>
        <v>4549553.6186156152</v>
      </c>
      <c r="AN128" s="1"/>
      <c r="AO128" s="76">
        <f t="shared" si="16"/>
        <v>0.67714285714285716</v>
      </c>
      <c r="AP128" s="76">
        <f t="shared" si="6"/>
        <v>138.42154285714284</v>
      </c>
      <c r="AQ128" s="75">
        <f>VLOOKUP(B128,'Household Information'!$B$2:$E$48,4,FALSE)</f>
        <v>65.935833333333335</v>
      </c>
      <c r="AR128" s="79">
        <f>IF(12*(AP128-Variables!$C$45*AQ128*F128)*(G128/5)&lt;0,0,12*(AP128-Variables!$C$45*AQ128*F128)*(G128/5))</f>
        <v>2322265.9549299218</v>
      </c>
      <c r="AS128" s="1"/>
      <c r="AT128" s="62">
        <v>0</v>
      </c>
      <c r="AU128" s="1"/>
    </row>
    <row r="129" spans="1:47" ht="14.25" customHeight="1">
      <c r="A129" s="1">
        <v>32</v>
      </c>
      <c r="B129" s="3" t="s">
        <v>225</v>
      </c>
      <c r="C129" s="1">
        <v>2021</v>
      </c>
      <c r="D129" s="13">
        <f>VLOOKUP(B129,Population!$B$1:$O$48,5,FALSE)</f>
        <v>28974.702092874988</v>
      </c>
      <c r="E129" s="13" t="str">
        <f t="shared" si="17"/>
        <v>Small</v>
      </c>
      <c r="F129" s="54">
        <f>VLOOKUP(B129,'Household Information'!$B$1:$E$48,2,FALSE)</f>
        <v>4.9791554357592096</v>
      </c>
      <c r="G129" s="54">
        <f t="shared" si="0"/>
        <v>5819.2001568749974</v>
      </c>
      <c r="H129" s="55">
        <f>IF(D129&gt;Variables!$C$6,H82,H82*(1+Variables!$C$9))</f>
        <v>3.3079758999999993</v>
      </c>
      <c r="I129" s="55"/>
      <c r="J129" s="13">
        <f>H129*Variables!$C$21</f>
        <v>59.543566199999987</v>
      </c>
      <c r="K129" s="13">
        <f t="shared" si="12"/>
        <v>57.641399999999997</v>
      </c>
      <c r="L129" s="54">
        <f t="shared" si="1"/>
        <v>1.9021661999999893</v>
      </c>
      <c r="M129" s="56"/>
      <c r="N129" s="57"/>
      <c r="O129" s="57"/>
      <c r="P129" s="57"/>
      <c r="Q129" s="57"/>
      <c r="R129" s="57"/>
      <c r="S129" s="58">
        <v>0</v>
      </c>
      <c r="T129" s="59">
        <f>$L129*Variables!$C$22/100</f>
        <v>0.10328504253393606</v>
      </c>
      <c r="U129" s="59">
        <f>$L129*Variables!$C$23/100</f>
        <v>0.18074882443438814</v>
      </c>
      <c r="V129" s="59">
        <f>$L129*Variables!$C$24/100</f>
        <v>0.18935591131221613</v>
      </c>
      <c r="W129" s="59">
        <f>$L129*Variables!$C$25/100</f>
        <v>1.3771339004524807</v>
      </c>
      <c r="X129" s="62">
        <f>T129*Variables!$E$26*Variables!$C$18+'Cost Calculations'!U129*Variables!$E$27*Variables!$C$18+'Cost Calculations'!V129*Variables!$E$28*Variables!$C$18+W129*Variables!$E$29*Variables!$C$18</f>
        <v>2162245.537158153</v>
      </c>
      <c r="Y129" s="58">
        <f>J129*Variables!$E$30</f>
        <v>39001.035860999989</v>
      </c>
      <c r="Z129" s="1"/>
      <c r="AA129" s="245">
        <f>D129*(IF(D129&lt;Variables!$C$7,Variables!$C$38,IF(D129&gt;Variables!$C$6,Variables!$C$36,Variables!$C$37)))</f>
        <v>14.487351046437494</v>
      </c>
      <c r="AB129" s="64">
        <f t="shared" si="13"/>
        <v>14</v>
      </c>
      <c r="AC129" s="66">
        <f t="shared" si="2"/>
        <v>0</v>
      </c>
      <c r="AD129" s="62">
        <f>AC129*Variables!$E$41</f>
        <v>0</v>
      </c>
      <c r="AE129" s="71">
        <f>ROUND((H129/(3.14*Variables!$C$35^2)),0)</f>
        <v>4</v>
      </c>
      <c r="AF129" s="57">
        <f t="shared" si="14"/>
        <v>4</v>
      </c>
      <c r="AG129" s="57">
        <f t="shared" si="3"/>
        <v>0</v>
      </c>
      <c r="AH129" s="58">
        <f>AG129*Variables!$E$42*Variables!$C$18</f>
        <v>0</v>
      </c>
      <c r="AI129" s="73">
        <f t="shared" si="4"/>
        <v>0</v>
      </c>
      <c r="AJ129" s="66">
        <f t="shared" si="15"/>
        <v>1</v>
      </c>
      <c r="AK129" s="66">
        <f t="shared" si="5"/>
        <v>0</v>
      </c>
      <c r="AL129" s="62">
        <f>IF(AK129*Variables!$E$43*Variables!$C$18&lt;0,0,AK129*Variables!$E$43*Variables!$C$18)</f>
        <v>0</v>
      </c>
      <c r="AM129" s="58">
        <f>AA129*Variables!$E$39*Variables!$C$18</f>
        <v>4187602.3524521678</v>
      </c>
      <c r="AN129" s="1"/>
      <c r="AO129" s="76">
        <f t="shared" si="16"/>
        <v>0.67714285714285716</v>
      </c>
      <c r="AP129" s="76">
        <f t="shared" si="6"/>
        <v>202.29597227570272</v>
      </c>
      <c r="AQ129" s="75">
        <f>VLOOKUP(B129,'Household Information'!$B$2:$E$48,4,FALSE)</f>
        <v>65.935833333333335</v>
      </c>
      <c r="AR129" s="79">
        <f>IF(12*(AP129-Variables!$C$45*AQ129*F129)*(G129/5)&lt;0,0,12*(AP129-Variables!$C$45*AQ129*F129)*(G129/5))</f>
        <v>2137512.2025363143</v>
      </c>
      <c r="AS129" s="1"/>
      <c r="AT129" s="62">
        <v>0</v>
      </c>
      <c r="AU129" s="1"/>
    </row>
    <row r="130" spans="1:47" ht="14.25" customHeight="1">
      <c r="A130" s="1">
        <v>33</v>
      </c>
      <c r="B130" s="3" t="s">
        <v>226</v>
      </c>
      <c r="C130" s="1">
        <v>2021</v>
      </c>
      <c r="D130" s="13">
        <f>VLOOKUP(B130,Population!$B$1:$O$48,5,FALSE)</f>
        <v>124229.72798512495</v>
      </c>
      <c r="E130" s="13" t="str">
        <f t="shared" si="17"/>
        <v>Medium</v>
      </c>
      <c r="F130" s="54">
        <f>VLOOKUP(B130,'Household Information'!$B$1:$E$48,2,FALSE)</f>
        <v>2.6362587373793409</v>
      </c>
      <c r="G130" s="54">
        <f t="shared" si="0"/>
        <v>47123.495969374984</v>
      </c>
      <c r="H130" s="55">
        <f>IF(D130&gt;Variables!$C$6,H83,H83*(1+Variables!$C$9))</f>
        <v>12.015102013299996</v>
      </c>
      <c r="I130" s="55"/>
      <c r="J130" s="13">
        <f>H130*Variables!$C$21</f>
        <v>216.27183623939993</v>
      </c>
      <c r="K130" s="13">
        <f t="shared" si="12"/>
        <v>216.27183623939993</v>
      </c>
      <c r="L130" s="54">
        <f t="shared" si="1"/>
        <v>0</v>
      </c>
      <c r="M130" s="56"/>
      <c r="N130" s="57"/>
      <c r="O130" s="57"/>
      <c r="P130" s="57"/>
      <c r="Q130" s="57"/>
      <c r="R130" s="57"/>
      <c r="S130" s="58">
        <v>0</v>
      </c>
      <c r="T130" s="59">
        <f>$L130*Variables!$C$22/100</f>
        <v>0</v>
      </c>
      <c r="U130" s="59">
        <f>$L130*Variables!$C$23/100</f>
        <v>0</v>
      </c>
      <c r="V130" s="59">
        <f>$L130*Variables!$C$24/100</f>
        <v>0</v>
      </c>
      <c r="W130" s="59">
        <f>$L130*Variables!$C$25/100</f>
        <v>0</v>
      </c>
      <c r="X130" s="62">
        <f>T130*Variables!$E$26*Variables!$C$18+'Cost Calculations'!U130*Variables!$E$27*Variables!$C$18+'Cost Calculations'!V130*Variables!$E$28*Variables!$C$18+W130*Variables!$E$29*Variables!$C$18</f>
        <v>0</v>
      </c>
      <c r="Y130" s="58">
        <f>J130*Variables!$E$30</f>
        <v>141658.05273680695</v>
      </c>
      <c r="Z130" s="1"/>
      <c r="AA130" s="245">
        <f>D130*(IF(D130&lt;Variables!$C$7,Variables!$C$38,IF(D130&gt;Variables!$C$6,Variables!$C$36,Variables!$C$37)))</f>
        <v>149.07567358214993</v>
      </c>
      <c r="AB130" s="64">
        <f t="shared" si="13"/>
        <v>147</v>
      </c>
      <c r="AC130" s="66">
        <f t="shared" si="2"/>
        <v>2</v>
      </c>
      <c r="AD130" s="62">
        <f>AC130*Variables!$E$41</f>
        <v>1075200</v>
      </c>
      <c r="AE130" s="71">
        <f>ROUND((H130/(3.14*Variables!$C$35^2)),0)</f>
        <v>15</v>
      </c>
      <c r="AF130" s="57">
        <f t="shared" si="14"/>
        <v>15</v>
      </c>
      <c r="AG130" s="57">
        <f t="shared" si="3"/>
        <v>0</v>
      </c>
      <c r="AH130" s="58">
        <f>AG130*Variables!$E$42*Variables!$C$18</f>
        <v>0</v>
      </c>
      <c r="AI130" s="73">
        <f t="shared" si="4"/>
        <v>1</v>
      </c>
      <c r="AJ130" s="66">
        <f t="shared" si="15"/>
        <v>1</v>
      </c>
      <c r="AK130" s="66">
        <f t="shared" si="5"/>
        <v>0</v>
      </c>
      <c r="AL130" s="62">
        <f>IF(AK130*Variables!$E$43*Variables!$C$18&lt;0,0,AK130*Variables!$E$43*Variables!$C$18)</f>
        <v>0</v>
      </c>
      <c r="AM130" s="58">
        <f>AA130*Variables!$E$39*Variables!$C$18</f>
        <v>43090668.500057727</v>
      </c>
      <c r="AN130" s="1"/>
      <c r="AO130" s="76">
        <f t="shared" si="16"/>
        <v>0.67714285714285716</v>
      </c>
      <c r="AP130" s="76">
        <f t="shared" si="6"/>
        <v>107.10742641581207</v>
      </c>
      <c r="AQ130" s="75">
        <f>VLOOKUP(B130,'Household Information'!$B$2:$E$48,4,FALSE)</f>
        <v>40.760000000000005</v>
      </c>
      <c r="AR130" s="79">
        <f>IF(12*(AP130-Variables!$C$45*AQ130*F130)*(G130/5)&lt;0,0,12*(AP130-Variables!$C$45*AQ130*F130)*(G130/5))</f>
        <v>10290565.968227023</v>
      </c>
      <c r="AS130" s="1"/>
      <c r="AT130" s="62">
        <v>0</v>
      </c>
      <c r="AU130" s="1"/>
    </row>
    <row r="131" spans="1:47" ht="14.25" customHeight="1">
      <c r="A131" s="1">
        <v>34</v>
      </c>
      <c r="B131" s="3" t="s">
        <v>227</v>
      </c>
      <c r="C131" s="1">
        <v>2021</v>
      </c>
      <c r="D131" s="13">
        <f>VLOOKUP(B131,Population!$B$1:$O$48,5,FALSE)</f>
        <v>110336.84509487495</v>
      </c>
      <c r="E131" s="13" t="str">
        <f t="shared" si="17"/>
        <v>Medium</v>
      </c>
      <c r="F131" s="54">
        <f>VLOOKUP(B131,'Household Information'!$B$1:$E$48,2,FALSE)</f>
        <v>2.8808529227072923</v>
      </c>
      <c r="G131" s="54">
        <f t="shared" si="0"/>
        <v>38300.061841124982</v>
      </c>
      <c r="H131" s="55">
        <f>IF(D131&gt;Variables!$C$6,H84,H84*(1+Variables!$C$9))</f>
        <v>8.2342029393899967</v>
      </c>
      <c r="I131" s="55"/>
      <c r="J131" s="13">
        <f>H131*Variables!$C$21</f>
        <v>148.21565290901995</v>
      </c>
      <c r="K131" s="13">
        <f t="shared" si="12"/>
        <v>148.21565290901995</v>
      </c>
      <c r="L131" s="54">
        <f t="shared" si="1"/>
        <v>0</v>
      </c>
      <c r="M131" s="56"/>
      <c r="N131" s="57"/>
      <c r="O131" s="57"/>
      <c r="P131" s="57"/>
      <c r="Q131" s="57"/>
      <c r="R131" s="57"/>
      <c r="S131" s="58">
        <v>0</v>
      </c>
      <c r="T131" s="59">
        <f>$L131*Variables!$C$22/100</f>
        <v>0</v>
      </c>
      <c r="U131" s="59">
        <f>$L131*Variables!$C$23/100</f>
        <v>0</v>
      </c>
      <c r="V131" s="59">
        <f>$L131*Variables!$C$24/100</f>
        <v>0</v>
      </c>
      <c r="W131" s="59">
        <f>$L131*Variables!$C$25/100</f>
        <v>0</v>
      </c>
      <c r="X131" s="62">
        <f>T131*Variables!$E$26*Variables!$C$18+'Cost Calculations'!U131*Variables!$E$27*Variables!$C$18+'Cost Calculations'!V131*Variables!$E$28*Variables!$C$18+W131*Variables!$E$29*Variables!$C$18</f>
        <v>0</v>
      </c>
      <c r="Y131" s="58">
        <f>J131*Variables!$E$30</f>
        <v>97081.252655408069</v>
      </c>
      <c r="Z131" s="1"/>
      <c r="AA131" s="245">
        <f>D131*(IF(D131&lt;Variables!$C$7,Variables!$C$38,IF(D131&gt;Variables!$C$6,Variables!$C$36,Variables!$C$37)))</f>
        <v>132.40421411384992</v>
      </c>
      <c r="AB131" s="64">
        <f t="shared" si="13"/>
        <v>130</v>
      </c>
      <c r="AC131" s="66">
        <f t="shared" si="2"/>
        <v>2</v>
      </c>
      <c r="AD131" s="62">
        <f>AC131*Variables!$E$41</f>
        <v>1075200</v>
      </c>
      <c r="AE131" s="71">
        <f>ROUND((H131/(3.14*Variables!$C$35^2)),0)</f>
        <v>10</v>
      </c>
      <c r="AF131" s="57">
        <f t="shared" si="14"/>
        <v>10</v>
      </c>
      <c r="AG131" s="57">
        <f t="shared" si="3"/>
        <v>0</v>
      </c>
      <c r="AH131" s="58">
        <f>AG131*Variables!$E$42*Variables!$C$18</f>
        <v>0</v>
      </c>
      <c r="AI131" s="73">
        <f t="shared" si="4"/>
        <v>1</v>
      </c>
      <c r="AJ131" s="66">
        <f t="shared" si="15"/>
        <v>1</v>
      </c>
      <c r="AK131" s="66">
        <f t="shared" si="5"/>
        <v>0</v>
      </c>
      <c r="AL131" s="62">
        <f>IF(AK131*Variables!$E$43*Variables!$C$18&lt;0,0,AK131*Variables!$E$43*Variables!$C$18)</f>
        <v>0</v>
      </c>
      <c r="AM131" s="58">
        <f>AA131*Variables!$E$39*Variables!$C$18</f>
        <v>38271744.552920304</v>
      </c>
      <c r="AN131" s="1"/>
      <c r="AO131" s="76">
        <f t="shared" si="16"/>
        <v>0.67714285714285716</v>
      </c>
      <c r="AP131" s="76">
        <f t="shared" si="6"/>
        <v>117.04493874542199</v>
      </c>
      <c r="AQ131" s="75">
        <f>VLOOKUP(B131,'Household Information'!$B$2:$E$48,4,FALSE)</f>
        <v>40.760000000000005</v>
      </c>
      <c r="AR131" s="79">
        <f>IF(12*(AP131-Variables!$C$45*AQ131*F131)*(G131/5)&lt;0,0,12*(AP131-Variables!$C$45*AQ131*F131)*(G131/5))</f>
        <v>9139749.4109526761</v>
      </c>
      <c r="AS131" s="1"/>
      <c r="AT131" s="62">
        <v>0</v>
      </c>
      <c r="AU131" s="1"/>
    </row>
    <row r="132" spans="1:47" ht="14.25" customHeight="1">
      <c r="A132" s="1">
        <v>35</v>
      </c>
      <c r="B132" s="3" t="s">
        <v>228</v>
      </c>
      <c r="C132" s="1">
        <v>2021</v>
      </c>
      <c r="D132" s="13">
        <f>VLOOKUP(B132,Population!$B$1:$O$48,5,FALSE)</f>
        <v>503913.45459087478</v>
      </c>
      <c r="E132" s="13" t="str">
        <f t="shared" si="17"/>
        <v>Medium</v>
      </c>
      <c r="F132" s="54">
        <f>VLOOKUP(B132,'Household Information'!$B$1:$E$48,2,FALSE)</f>
        <v>2.7382605632202197</v>
      </c>
      <c r="G132" s="54">
        <f t="shared" si="0"/>
        <v>184026.84585949991</v>
      </c>
      <c r="H132" s="55">
        <f>IF(D132&gt;Variables!$C$6,H85,H85*(1+Variables!$C$9))</f>
        <v>24.726831923274581</v>
      </c>
      <c r="I132" s="55"/>
      <c r="J132" s="13">
        <f>H132*Variables!$C$21</f>
        <v>445.08297461894244</v>
      </c>
      <c r="K132" s="13">
        <f t="shared" si="12"/>
        <v>445.08297461894244</v>
      </c>
      <c r="L132" s="54">
        <f t="shared" si="1"/>
        <v>0</v>
      </c>
      <c r="M132" s="56"/>
      <c r="N132" s="57"/>
      <c r="O132" s="57"/>
      <c r="P132" s="57"/>
      <c r="Q132" s="57"/>
      <c r="R132" s="57"/>
      <c r="S132" s="58">
        <v>0</v>
      </c>
      <c r="T132" s="59">
        <f>$L132*Variables!$C$22/100</f>
        <v>0</v>
      </c>
      <c r="U132" s="59">
        <f>$L132*Variables!$C$23/100</f>
        <v>0</v>
      </c>
      <c r="V132" s="59">
        <f>$L132*Variables!$C$24/100</f>
        <v>0</v>
      </c>
      <c r="W132" s="59">
        <f>$L132*Variables!$C$25/100</f>
        <v>0</v>
      </c>
      <c r="X132" s="62">
        <f>T132*Variables!$E$26*Variables!$C$18+'Cost Calculations'!U132*Variables!$E$27*Variables!$C$18+'Cost Calculations'!V132*Variables!$E$28*Variables!$C$18+W132*Variables!$E$29*Variables!$C$18</f>
        <v>0</v>
      </c>
      <c r="Y132" s="58">
        <f>J132*Variables!$E$30</f>
        <v>291529.34837540728</v>
      </c>
      <c r="Z132" s="1"/>
      <c r="AA132" s="245">
        <f>D132*(IF(D132&lt;Variables!$C$7,Variables!$C$38,IF(D132&gt;Variables!$C$6,Variables!$C$36,Variables!$C$37)))</f>
        <v>604.69614550904964</v>
      </c>
      <c r="AB132" s="64">
        <f t="shared" si="13"/>
        <v>596</v>
      </c>
      <c r="AC132" s="66">
        <f t="shared" si="2"/>
        <v>9</v>
      </c>
      <c r="AD132" s="62">
        <f>AC132*Variables!$E$41</f>
        <v>4838400</v>
      </c>
      <c r="AE132" s="71">
        <f>ROUND((H132/(3.14*Variables!$C$35^2)),0)</f>
        <v>31</v>
      </c>
      <c r="AF132" s="57">
        <f t="shared" si="14"/>
        <v>31</v>
      </c>
      <c r="AG132" s="57">
        <f t="shared" si="3"/>
        <v>0</v>
      </c>
      <c r="AH132" s="58">
        <f>AG132*Variables!$E$42*Variables!$C$18</f>
        <v>0</v>
      </c>
      <c r="AI132" s="73">
        <f t="shared" si="4"/>
        <v>5</v>
      </c>
      <c r="AJ132" s="66">
        <f t="shared" si="15"/>
        <v>5</v>
      </c>
      <c r="AK132" s="66">
        <f t="shared" si="5"/>
        <v>0</v>
      </c>
      <c r="AL132" s="62">
        <f>IF(AK132*Variables!$E$43*Variables!$C$18&lt;0,0,AK132*Variables!$E$43*Variables!$C$18)</f>
        <v>0</v>
      </c>
      <c r="AM132" s="58">
        <f>AA132*Variables!$E$39*Variables!$C$18</f>
        <v>174788820.4914549</v>
      </c>
      <c r="AN132" s="1"/>
      <c r="AO132" s="76">
        <f t="shared" si="16"/>
        <v>0.67714285714285716</v>
      </c>
      <c r="AP132" s="76">
        <f t="shared" si="6"/>
        <v>111.25161488283292</v>
      </c>
      <c r="AQ132" s="75">
        <f>VLOOKUP(B132,'Household Information'!$B$2:$E$48,4,FALSE)</f>
        <v>40.760000000000005</v>
      </c>
      <c r="AR132" s="79">
        <f>IF(12*(AP132-Variables!$C$45*AQ132*F132)*(G132/5)&lt;0,0,12*(AP132-Variables!$C$45*AQ132*F132)*(G132/5))</f>
        <v>41741656.613507837</v>
      </c>
      <c r="AS132" s="1"/>
      <c r="AT132" s="62">
        <v>0</v>
      </c>
      <c r="AU132" s="1"/>
    </row>
    <row r="133" spans="1:47" ht="14.25" customHeight="1">
      <c r="A133" s="1">
        <v>36</v>
      </c>
      <c r="B133" s="3" t="s">
        <v>229</v>
      </c>
      <c r="C133" s="1">
        <v>2021</v>
      </c>
      <c r="D133" s="13">
        <f>VLOOKUP(B133,Population!$B$1:$O$48,5,FALSE)</f>
        <v>270250.34762687492</v>
      </c>
      <c r="E133" s="13" t="str">
        <f t="shared" ref="E133:E196" si="18">IF(D133&lt;100000,"Small",IF(D133&lt;1000000,"Medium","Large"))</f>
        <v>Medium</v>
      </c>
      <c r="F133" s="54">
        <f>VLOOKUP(B133,'Household Information'!$B$1:$E$48,2,FALSE)</f>
        <v>2.7303604631507774</v>
      </c>
      <c r="G133" s="54">
        <f t="shared" si="0"/>
        <v>98979.732263999977</v>
      </c>
      <c r="H133" s="55">
        <f>IF(D133&gt;Variables!$C$6,H86,H86*(1+Variables!$C$9))</f>
        <v>25.407115316792478</v>
      </c>
      <c r="I133" s="55"/>
      <c r="J133" s="13">
        <f>H133*Variables!$C$21</f>
        <v>457.32807570226458</v>
      </c>
      <c r="K133" s="13">
        <f t="shared" si="12"/>
        <v>457.32807570226458</v>
      </c>
      <c r="L133" s="54">
        <f t="shared" si="1"/>
        <v>0</v>
      </c>
      <c r="M133" s="56"/>
      <c r="N133" s="57"/>
      <c r="O133" s="57"/>
      <c r="P133" s="57"/>
      <c r="Q133" s="57"/>
      <c r="R133" s="57"/>
      <c r="S133" s="58">
        <v>0</v>
      </c>
      <c r="T133" s="59">
        <f>$L133*Variables!$C$22/100</f>
        <v>0</v>
      </c>
      <c r="U133" s="59">
        <f>$L133*Variables!$C$23/100</f>
        <v>0</v>
      </c>
      <c r="V133" s="59">
        <f>$L133*Variables!$C$24/100</f>
        <v>0</v>
      </c>
      <c r="W133" s="59">
        <f>$L133*Variables!$C$25/100</f>
        <v>0</v>
      </c>
      <c r="X133" s="62">
        <f>T133*Variables!$E$26*Variables!$C$18+'Cost Calculations'!U133*Variables!$E$27*Variables!$C$18+'Cost Calculations'!V133*Variables!$E$28*Variables!$C$18+W133*Variables!$E$29*Variables!$C$18</f>
        <v>0</v>
      </c>
      <c r="Y133" s="58">
        <f>J133*Variables!$E$30</f>
        <v>299549.88958498329</v>
      </c>
      <c r="Z133" s="1"/>
      <c r="AA133" s="245">
        <f>D133*(IF(D133&lt;Variables!$C$7,Variables!$C$38,IF(D133&gt;Variables!$C$6,Variables!$C$36,Variables!$C$37)))</f>
        <v>324.30041715224985</v>
      </c>
      <c r="AB133" s="64">
        <f t="shared" si="13"/>
        <v>320</v>
      </c>
      <c r="AC133" s="66">
        <f t="shared" si="2"/>
        <v>4</v>
      </c>
      <c r="AD133" s="62">
        <f>AC133*Variables!$E$41</f>
        <v>2150400</v>
      </c>
      <c r="AE133" s="71">
        <f>ROUND((H133/(3.14*Variables!$C$35^2)),0)</f>
        <v>32</v>
      </c>
      <c r="AF133" s="57">
        <f t="shared" si="14"/>
        <v>32</v>
      </c>
      <c r="AG133" s="57">
        <f t="shared" si="3"/>
        <v>0</v>
      </c>
      <c r="AH133" s="58">
        <f>AG133*Variables!$E$42*Variables!$C$18</f>
        <v>0</v>
      </c>
      <c r="AI133" s="73">
        <f t="shared" si="4"/>
        <v>3</v>
      </c>
      <c r="AJ133" s="66">
        <f t="shared" si="15"/>
        <v>3</v>
      </c>
      <c r="AK133" s="66">
        <f t="shared" si="5"/>
        <v>0</v>
      </c>
      <c r="AL133" s="62">
        <f>IF(AK133*Variables!$E$43*Variables!$C$18&lt;0,0,AK133*Variables!$E$43*Variables!$C$18)</f>
        <v>0</v>
      </c>
      <c r="AM133" s="58">
        <f>AA133*Variables!$E$39*Variables!$C$18</f>
        <v>93739786.204872102</v>
      </c>
      <c r="AN133" s="1"/>
      <c r="AO133" s="76">
        <f t="shared" si="16"/>
        <v>0.67714285714285716</v>
      </c>
      <c r="AP133" s="76">
        <f t="shared" si="6"/>
        <v>110.93064510286872</v>
      </c>
      <c r="AQ133" s="75">
        <f>VLOOKUP(B133,'Household Information'!$B$2:$E$48,4,FALSE)</f>
        <v>27.28</v>
      </c>
      <c r="AR133" s="79">
        <f>IF(12*(AP133-Variables!$C$45*AQ133*F133)*(G133/5)&lt;0,0,12*(AP133-Variables!$C$45*AQ133*F133)*(G133/5))</f>
        <v>23697650.71119738</v>
      </c>
      <c r="AS133" s="1"/>
      <c r="AT133" s="62">
        <v>0</v>
      </c>
      <c r="AU133" s="1"/>
    </row>
    <row r="134" spans="1:47" ht="14.25" customHeight="1">
      <c r="A134" s="1">
        <v>37</v>
      </c>
      <c r="B134" s="3" t="s">
        <v>230</v>
      </c>
      <c r="C134" s="1">
        <v>2021</v>
      </c>
      <c r="D134" s="13">
        <f>VLOOKUP(B134,Population!$B$1:$O$48,5,FALSE)</f>
        <v>125964.50840924995</v>
      </c>
      <c r="E134" s="13" t="str">
        <f t="shared" si="18"/>
        <v>Medium</v>
      </c>
      <c r="F134" s="54">
        <f>VLOOKUP(B134,'Household Information'!$B$1:$E$48,2,FALSE)</f>
        <v>2.4882673717260184</v>
      </c>
      <c r="G134" s="54">
        <f t="shared" si="0"/>
        <v>50623.381490499974</v>
      </c>
      <c r="H134" s="55">
        <f>IF(D134&gt;Variables!$C$6,H87,H87*(1+Variables!$C$9))</f>
        <v>33.664331695979989</v>
      </c>
      <c r="I134" s="55"/>
      <c r="J134" s="13">
        <f>H134*Variables!$C$21</f>
        <v>605.95797052763976</v>
      </c>
      <c r="K134" s="13">
        <f t="shared" si="12"/>
        <v>605.95797052763976</v>
      </c>
      <c r="L134" s="54">
        <f t="shared" si="1"/>
        <v>0</v>
      </c>
      <c r="M134" s="56"/>
      <c r="N134" s="57"/>
      <c r="O134" s="57"/>
      <c r="P134" s="57"/>
      <c r="Q134" s="57"/>
      <c r="R134" s="57"/>
      <c r="S134" s="58">
        <v>0</v>
      </c>
      <c r="T134" s="59">
        <f>$L134*Variables!$C$22/100</f>
        <v>0</v>
      </c>
      <c r="U134" s="59">
        <f>$L134*Variables!$C$23/100</f>
        <v>0</v>
      </c>
      <c r="V134" s="59">
        <f>$L134*Variables!$C$24/100</f>
        <v>0</v>
      </c>
      <c r="W134" s="59">
        <f>$L134*Variables!$C$25/100</f>
        <v>0</v>
      </c>
      <c r="X134" s="62">
        <f>T134*Variables!$E$26*Variables!$C$18+'Cost Calculations'!U134*Variables!$E$27*Variables!$C$18+'Cost Calculations'!V134*Variables!$E$28*Variables!$C$18+W134*Variables!$E$29*Variables!$C$18</f>
        <v>0</v>
      </c>
      <c r="Y134" s="58">
        <f>J134*Variables!$E$30</f>
        <v>396902.47069560405</v>
      </c>
      <c r="Z134" s="1"/>
      <c r="AA134" s="245">
        <f>D134*(IF(D134&lt;Variables!$C$7,Variables!$C$38,IF(D134&gt;Variables!$C$6,Variables!$C$36,Variables!$C$37)))</f>
        <v>151.15741009109993</v>
      </c>
      <c r="AB134" s="64">
        <f t="shared" si="13"/>
        <v>149</v>
      </c>
      <c r="AC134" s="66">
        <f t="shared" si="2"/>
        <v>2</v>
      </c>
      <c r="AD134" s="62">
        <f>AC134*Variables!$E$41</f>
        <v>1075200</v>
      </c>
      <c r="AE134" s="71">
        <f>ROUND((H134/(3.14*Variables!$C$35^2)),0)</f>
        <v>43</v>
      </c>
      <c r="AF134" s="57">
        <f t="shared" si="14"/>
        <v>43</v>
      </c>
      <c r="AG134" s="57">
        <f t="shared" si="3"/>
        <v>0</v>
      </c>
      <c r="AH134" s="58">
        <f>AG134*Variables!$E$42*Variables!$C$18</f>
        <v>0</v>
      </c>
      <c r="AI134" s="73">
        <f t="shared" si="4"/>
        <v>1</v>
      </c>
      <c r="AJ134" s="66">
        <f t="shared" si="15"/>
        <v>1</v>
      </c>
      <c r="AK134" s="66">
        <f t="shared" si="5"/>
        <v>0</v>
      </c>
      <c r="AL134" s="62">
        <f>IF(AK134*Variables!$E$43*Variables!$C$18&lt;0,0,AK134*Variables!$E$43*Variables!$C$18)</f>
        <v>0</v>
      </c>
      <c r="AM134" s="58">
        <f>AA134*Variables!$E$39*Variables!$C$18</f>
        <v>43692399.256365195</v>
      </c>
      <c r="AN134" s="1"/>
      <c r="AO134" s="76">
        <f t="shared" si="16"/>
        <v>0.67714285714285716</v>
      </c>
      <c r="AP134" s="76">
        <f t="shared" si="6"/>
        <v>101.09474864555423</v>
      </c>
      <c r="AQ134" s="75">
        <f>VLOOKUP(B134,'Household Information'!$B$2:$E$48,4,FALSE)</f>
        <v>40.760000000000005</v>
      </c>
      <c r="AR134" s="79">
        <f>IF(12*(AP134-Variables!$C$45*AQ134*F134)*(G134/5)&lt;0,0,12*(AP134-Variables!$C$45*AQ134*F134)*(G134/5))</f>
        <v>10434266.455094265</v>
      </c>
      <c r="AS134" s="1"/>
      <c r="AT134" s="62">
        <v>0</v>
      </c>
      <c r="AU134" s="1"/>
    </row>
    <row r="135" spans="1:47" ht="14.25" customHeight="1">
      <c r="A135" s="1">
        <v>38</v>
      </c>
      <c r="B135" s="3" t="s">
        <v>231</v>
      </c>
      <c r="C135" s="1">
        <v>2021</v>
      </c>
      <c r="D135" s="13">
        <f>VLOOKUP(B135,Population!$B$1:$O$48,5,FALSE)</f>
        <v>37180.140301499989</v>
      </c>
      <c r="E135" s="13" t="str">
        <f t="shared" si="18"/>
        <v>Small</v>
      </c>
      <c r="F135" s="54">
        <f>VLOOKUP(B135,'Household Information'!$B$1:$E$48,2,FALSE)</f>
        <v>3.5815854318168161</v>
      </c>
      <c r="G135" s="54">
        <f t="shared" si="0"/>
        <v>10380.916778143073</v>
      </c>
      <c r="H135" s="55">
        <f>IF(D135&gt;Variables!$C$6,H88,H88*(1+Variables!$C$9))</f>
        <v>3.8415203999999994</v>
      </c>
      <c r="I135" s="55"/>
      <c r="J135" s="13">
        <f>H135*Variables!$C$21</f>
        <v>69.147367199999991</v>
      </c>
      <c r="K135" s="13">
        <f t="shared" si="12"/>
        <v>66.938400000000001</v>
      </c>
      <c r="L135" s="54">
        <f t="shared" si="1"/>
        <v>2.2089671999999894</v>
      </c>
      <c r="M135" s="56"/>
      <c r="N135" s="57"/>
      <c r="O135" s="57"/>
      <c r="P135" s="57"/>
      <c r="Q135" s="57"/>
      <c r="R135" s="57"/>
      <c r="S135" s="58">
        <v>0</v>
      </c>
      <c r="T135" s="59">
        <f>$L135*Variables!$C$22/100</f>
        <v>0.11994392036199036</v>
      </c>
      <c r="U135" s="59">
        <f>$L135*Variables!$C$23/100</f>
        <v>0.20990186063348315</v>
      </c>
      <c r="V135" s="59">
        <f>$L135*Variables!$C$24/100</f>
        <v>0.21989718733031569</v>
      </c>
      <c r="W135" s="59">
        <f>$L135*Variables!$C$25/100</f>
        <v>1.5992522714932051</v>
      </c>
      <c r="X135" s="62">
        <f>T135*Variables!$E$26*Variables!$C$18+'Cost Calculations'!U135*Variables!$E$27*Variables!$C$18+'Cost Calculations'!V135*Variables!$E$28*Variables!$C$18+W135*Variables!$E$29*Variables!$C$18</f>
        <v>2510994.8173449547</v>
      </c>
      <c r="Y135" s="58">
        <f>J135*Variables!$E$30</f>
        <v>45291.525515999994</v>
      </c>
      <c r="Z135" s="1"/>
      <c r="AA135" s="245">
        <f>D135*(IF(D135&lt;Variables!$C$7,Variables!$C$38,IF(D135&gt;Variables!$C$6,Variables!$C$36,Variables!$C$37)))</f>
        <v>18.590070150749995</v>
      </c>
      <c r="AB135" s="64">
        <f t="shared" si="13"/>
        <v>19</v>
      </c>
      <c r="AC135" s="66">
        <f t="shared" si="2"/>
        <v>0</v>
      </c>
      <c r="AD135" s="62">
        <f>AC135*Variables!$E$41</f>
        <v>0</v>
      </c>
      <c r="AE135" s="71">
        <f>ROUND((H135/(3.14*Variables!$C$35^2)),0)</f>
        <v>5</v>
      </c>
      <c r="AF135" s="57">
        <f t="shared" si="14"/>
        <v>5</v>
      </c>
      <c r="AG135" s="57">
        <f t="shared" si="3"/>
        <v>0</v>
      </c>
      <c r="AH135" s="58">
        <f>AG135*Variables!$E$42*Variables!$C$18</f>
        <v>0</v>
      </c>
      <c r="AI135" s="73">
        <f t="shared" si="4"/>
        <v>0</v>
      </c>
      <c r="AJ135" s="66">
        <f t="shared" si="15"/>
        <v>0</v>
      </c>
      <c r="AK135" s="66">
        <f t="shared" si="5"/>
        <v>0</v>
      </c>
      <c r="AL135" s="62">
        <f>IF(AK135*Variables!$E$43*Variables!$C$18&lt;0,0,AK135*Variables!$E$43*Variables!$C$18)</f>
        <v>0</v>
      </c>
      <c r="AM135" s="58">
        <f>AA135*Variables!$E$39*Variables!$C$18</f>
        <v>5373502.8057233859</v>
      </c>
      <c r="AN135" s="1"/>
      <c r="AO135" s="76">
        <f t="shared" si="16"/>
        <v>0.67714285714285716</v>
      </c>
      <c r="AP135" s="76">
        <f t="shared" si="6"/>
        <v>145.51469954410035</v>
      </c>
      <c r="AQ135" s="75">
        <f>VLOOKUP(B135,'Household Information'!$B$2:$E$48,4,FALSE)</f>
        <v>40.760000000000005</v>
      </c>
      <c r="AR135" s="79">
        <f>IF(12*(AP135-Variables!$C$45*AQ135*F135)*(G135/5)&lt;0,0,12*(AP135-Variables!$C$45*AQ135*F135)*(G135/5))</f>
        <v>3079815.8595850286</v>
      </c>
      <c r="AS135" s="1"/>
      <c r="AT135" s="62">
        <v>0</v>
      </c>
      <c r="AU135" s="1"/>
    </row>
    <row r="136" spans="1:47" ht="14.25" customHeight="1">
      <c r="A136" s="1">
        <v>39</v>
      </c>
      <c r="B136" s="3" t="s">
        <v>232</v>
      </c>
      <c r="C136" s="1">
        <v>2021</v>
      </c>
      <c r="D136" s="13">
        <f>VLOOKUP(B136,Population!$B$1:$O$48,5,FALSE)</f>
        <v>70183.841173249966</v>
      </c>
      <c r="E136" s="13" t="str">
        <f t="shared" si="18"/>
        <v>Small</v>
      </c>
      <c r="F136" s="54">
        <f>VLOOKUP(B136,'Household Information'!$B$1:$E$48,2,FALSE)</f>
        <v>3.4614749871067563</v>
      </c>
      <c r="G136" s="54">
        <f t="shared" si="0"/>
        <v>20275.70369124999</v>
      </c>
      <c r="H136" s="55">
        <f>IF(D136&gt;Variables!$C$6,H89,H89*(1+Variables!$C$9))</f>
        <v>6.2638124299999989</v>
      </c>
      <c r="I136" s="55"/>
      <c r="J136" s="13">
        <f>H136*Variables!$C$21</f>
        <v>112.74862373999999</v>
      </c>
      <c r="K136" s="13">
        <f t="shared" si="12"/>
        <v>109.14677999999999</v>
      </c>
      <c r="L136" s="54">
        <f t="shared" si="1"/>
        <v>3.6018437399999925</v>
      </c>
      <c r="M136" s="56"/>
      <c r="N136" s="57"/>
      <c r="O136" s="57"/>
      <c r="P136" s="57"/>
      <c r="Q136" s="57"/>
      <c r="R136" s="57"/>
      <c r="S136" s="58">
        <v>0</v>
      </c>
      <c r="T136" s="59">
        <f>$L136*Variables!$C$22/100</f>
        <v>0.19557522570135702</v>
      </c>
      <c r="U136" s="59">
        <f>$L136*Variables!$C$23/100</f>
        <v>0.34225664497737485</v>
      </c>
      <c r="V136" s="59">
        <f>$L136*Variables!$C$24/100</f>
        <v>0.35855458045248795</v>
      </c>
      <c r="W136" s="59">
        <f>$L136*Variables!$C$25/100</f>
        <v>2.6076696760180944</v>
      </c>
      <c r="X136" s="62">
        <f>T136*Variables!$E$26*Variables!$C$18+'Cost Calculations'!U136*Variables!$E$27*Variables!$C$18+'Cost Calculations'!V136*Variables!$E$28*Variables!$C$18+W136*Variables!$E$29*Variables!$C$18</f>
        <v>4094316.5493930345</v>
      </c>
      <c r="Y136" s="58">
        <f>J136*Variables!$E$30</f>
        <v>73850.348549699993</v>
      </c>
      <c r="Z136" s="1"/>
      <c r="AA136" s="245">
        <f>D136*(IF(D136&lt;Variables!$C$7,Variables!$C$38,IF(D136&gt;Variables!$C$6,Variables!$C$36,Variables!$C$37)))</f>
        <v>56.147072938599976</v>
      </c>
      <c r="AB136" s="64">
        <f t="shared" si="13"/>
        <v>55</v>
      </c>
      <c r="AC136" s="66">
        <f t="shared" si="2"/>
        <v>1</v>
      </c>
      <c r="AD136" s="62">
        <f>AC136*Variables!$E$41</f>
        <v>537600</v>
      </c>
      <c r="AE136" s="71">
        <f>ROUND((H136/(3.14*Variables!$C$35^2)),0)</f>
        <v>8</v>
      </c>
      <c r="AF136" s="57">
        <f t="shared" si="14"/>
        <v>8</v>
      </c>
      <c r="AG136" s="57">
        <f t="shared" si="3"/>
        <v>0</v>
      </c>
      <c r="AH136" s="58">
        <f>AG136*Variables!$E$42*Variables!$C$18</f>
        <v>0</v>
      </c>
      <c r="AI136" s="73">
        <f t="shared" si="4"/>
        <v>0</v>
      </c>
      <c r="AJ136" s="66">
        <f t="shared" si="15"/>
        <v>3</v>
      </c>
      <c r="AK136" s="66">
        <f t="shared" si="5"/>
        <v>0</v>
      </c>
      <c r="AL136" s="62">
        <f>IF(AK136*Variables!$E$43*Variables!$C$18&lt;0,0,AK136*Variables!$E$43*Variables!$C$18)</f>
        <v>0</v>
      </c>
      <c r="AM136" s="58">
        <f>AA136*Variables!$E$39*Variables!$C$18</f>
        <v>16229441.391137009</v>
      </c>
      <c r="AN136" s="1"/>
      <c r="AO136" s="76">
        <f t="shared" si="16"/>
        <v>0.67714285714285716</v>
      </c>
      <c r="AP136" s="76">
        <f t="shared" si="6"/>
        <v>140.63478376188021</v>
      </c>
      <c r="AQ136" s="75">
        <f>VLOOKUP(B136,'Household Information'!$B$2:$E$48,4,FALSE)</f>
        <v>40.760000000000005</v>
      </c>
      <c r="AR136" s="79">
        <f>IF(12*(AP136-Variables!$C$45*AQ136*F136)*(G136/5)&lt;0,0,12*(AP136-Variables!$C$45*AQ136*F136)*(G136/5))</f>
        <v>5813676.478333557</v>
      </c>
      <c r="AS136" s="1"/>
      <c r="AT136" s="62">
        <v>0</v>
      </c>
      <c r="AU136" s="1"/>
    </row>
    <row r="137" spans="1:47" ht="14.25" customHeight="1">
      <c r="A137" s="1">
        <v>40</v>
      </c>
      <c r="B137" s="3" t="s">
        <v>233</v>
      </c>
      <c r="C137" s="1">
        <v>2021</v>
      </c>
      <c r="D137" s="13">
        <f>VLOOKUP(B137,Population!$B$1:$O$48,5,FALSE)</f>
        <v>3174.6795464999987</v>
      </c>
      <c r="E137" s="13" t="str">
        <f t="shared" si="18"/>
        <v>Small</v>
      </c>
      <c r="F137" s="54">
        <f>VLOOKUP(B137,'Household Information'!$B$1:$E$48,2,FALSE)</f>
        <v>3.9153259949195598</v>
      </c>
      <c r="G137" s="54">
        <f t="shared" si="0"/>
        <v>810.8340277717341</v>
      </c>
      <c r="H137" s="55">
        <f>IF(D137&gt;Variables!$C$6,H90,H90*(1+Variables!$C$9))</f>
        <v>0.21341779999999999</v>
      </c>
      <c r="I137" s="55"/>
      <c r="J137" s="13">
        <f>H137*Variables!$C$21</f>
        <v>3.8415203999999998</v>
      </c>
      <c r="K137" s="13">
        <f t="shared" si="12"/>
        <v>21.97</v>
      </c>
      <c r="L137" s="54">
        <f t="shared" si="1"/>
        <v>0</v>
      </c>
      <c r="M137" s="56"/>
      <c r="N137" s="57"/>
      <c r="O137" s="57"/>
      <c r="P137" s="57"/>
      <c r="Q137" s="57"/>
      <c r="R137" s="57"/>
      <c r="S137" s="58">
        <v>0</v>
      </c>
      <c r="T137" s="59">
        <f>$L137*Variables!$C$22/100</f>
        <v>0</v>
      </c>
      <c r="U137" s="59">
        <f>$L137*Variables!$C$23/100</f>
        <v>0</v>
      </c>
      <c r="V137" s="59">
        <f>$L137*Variables!$C$24/100</f>
        <v>0</v>
      </c>
      <c r="W137" s="59">
        <f>$L137*Variables!$C$25/100</f>
        <v>0</v>
      </c>
      <c r="X137" s="62">
        <f>T137*Variables!$E$26*Variables!$C$18+'Cost Calculations'!U137*Variables!$E$27*Variables!$C$18+'Cost Calculations'!V137*Variables!$E$28*Variables!$C$18+W137*Variables!$E$29*Variables!$C$18</f>
        <v>0</v>
      </c>
      <c r="Y137" s="58">
        <f>J137*Variables!$E$30</f>
        <v>2516.195862</v>
      </c>
      <c r="Z137" s="1"/>
      <c r="AA137" s="245">
        <f>D137*(IF(D137&lt;Variables!$C$7,Variables!$C$38,IF(D137&gt;Variables!$C$6,Variables!$C$36,Variables!$C$37)))</f>
        <v>1.5873397732499994</v>
      </c>
      <c r="AB137" s="64">
        <f t="shared" si="13"/>
        <v>2</v>
      </c>
      <c r="AC137" s="66">
        <f t="shared" si="2"/>
        <v>0</v>
      </c>
      <c r="AD137" s="62">
        <f>AC137*Variables!$E$41</f>
        <v>0</v>
      </c>
      <c r="AE137" s="71">
        <f>ROUND((H137/(3.14*Variables!$C$35^2)),0)</f>
        <v>0</v>
      </c>
      <c r="AF137" s="57">
        <f t="shared" si="14"/>
        <v>0</v>
      </c>
      <c r="AG137" s="57">
        <f t="shared" si="3"/>
        <v>0</v>
      </c>
      <c r="AH137" s="58">
        <f>AG137*Variables!$E$42*Variables!$C$18</f>
        <v>0</v>
      </c>
      <c r="AI137" s="73">
        <f t="shared" si="4"/>
        <v>0</v>
      </c>
      <c r="AJ137" s="66">
        <f t="shared" si="15"/>
        <v>0</v>
      </c>
      <c r="AK137" s="66">
        <f t="shared" si="5"/>
        <v>0</v>
      </c>
      <c r="AL137" s="62">
        <f>IF(AK137*Variables!$E$43*Variables!$C$18&lt;0,0,AK137*Variables!$E$43*Variables!$C$18)</f>
        <v>0</v>
      </c>
      <c r="AM137" s="58">
        <f>AA137*Variables!$E$39*Variables!$C$18</f>
        <v>458824.23552076158</v>
      </c>
      <c r="AN137" s="1"/>
      <c r="AO137" s="76">
        <f t="shared" si="16"/>
        <v>0.67714285714285716</v>
      </c>
      <c r="AP137" s="76">
        <f t="shared" si="6"/>
        <v>159.07410185073181</v>
      </c>
      <c r="AQ137" s="75">
        <f>VLOOKUP(B137,'Household Information'!$B$2:$E$48,4,FALSE)</f>
        <v>40.760000000000005</v>
      </c>
      <c r="AR137" s="79">
        <f>IF(12*(AP137-Variables!$C$45*AQ137*F137)*(G137/5)&lt;0,0,12*(AP137-Variables!$C$45*AQ137*F137)*(G137/5))</f>
        <v>262974.48952919745</v>
      </c>
      <c r="AS137" s="1"/>
      <c r="AT137" s="62">
        <v>0</v>
      </c>
      <c r="AU137" s="1"/>
    </row>
    <row r="138" spans="1:47" ht="14.25" customHeight="1">
      <c r="A138" s="1">
        <v>41</v>
      </c>
      <c r="B138" s="3" t="s">
        <v>234</v>
      </c>
      <c r="C138" s="1">
        <v>2021</v>
      </c>
      <c r="D138" s="13">
        <f>VLOOKUP(B138,Population!$B$1:$O$48,5,FALSE)</f>
        <v>54710.938258374976</v>
      </c>
      <c r="E138" s="13" t="str">
        <f t="shared" si="18"/>
        <v>Small</v>
      </c>
      <c r="F138" s="54">
        <f>VLOOKUP(B138,'Household Information'!$B$1:$E$48,2,FALSE)</f>
        <v>2.524</v>
      </c>
      <c r="G138" s="54">
        <f t="shared" si="0"/>
        <v>21676.282986677881</v>
      </c>
      <c r="H138" s="55">
        <f>IF(D138&gt;Variables!$C$6,H91,H91*(1+Variables!$C$9))</f>
        <v>4.2683559999999989</v>
      </c>
      <c r="I138" s="55"/>
      <c r="J138" s="13">
        <f>H138*Variables!$C$21</f>
        <v>76.830407999999977</v>
      </c>
      <c r="K138" s="13">
        <f t="shared" si="12"/>
        <v>105</v>
      </c>
      <c r="L138" s="54">
        <f t="shared" si="1"/>
        <v>0</v>
      </c>
      <c r="M138" s="56"/>
      <c r="N138" s="57"/>
      <c r="O138" s="57"/>
      <c r="P138" s="57"/>
      <c r="Q138" s="57"/>
      <c r="R138" s="57"/>
      <c r="S138" s="58">
        <v>0</v>
      </c>
      <c r="T138" s="59">
        <f>$L138*Variables!$C$22/100</f>
        <v>0</v>
      </c>
      <c r="U138" s="59">
        <f>$L138*Variables!$C$23/100</f>
        <v>0</v>
      </c>
      <c r="V138" s="59">
        <f>$L138*Variables!$C$24/100</f>
        <v>0</v>
      </c>
      <c r="W138" s="59">
        <f>$L138*Variables!$C$25/100</f>
        <v>0</v>
      </c>
      <c r="X138" s="62">
        <f>T138*Variables!$E$26*Variables!$C$18+'Cost Calculations'!U138*Variables!$E$27*Variables!$C$18+'Cost Calculations'!V138*Variables!$E$28*Variables!$C$18+W138*Variables!$E$29*Variables!$C$18</f>
        <v>0</v>
      </c>
      <c r="Y138" s="58">
        <f>J138*Variables!$E$30</f>
        <v>50323.917239999988</v>
      </c>
      <c r="Z138" s="1"/>
      <c r="AA138" s="245">
        <f>D138*(IF(D138&lt;Variables!$C$7,Variables!$C$38,IF(D138&gt;Variables!$C$6,Variables!$C$36,Variables!$C$37)))</f>
        <v>43.768750606699982</v>
      </c>
      <c r="AB138" s="64">
        <f t="shared" si="13"/>
        <v>43</v>
      </c>
      <c r="AC138" s="66">
        <f t="shared" si="2"/>
        <v>1</v>
      </c>
      <c r="AD138" s="62">
        <f>AC138*Variables!$E$41</f>
        <v>537600</v>
      </c>
      <c r="AE138" s="71">
        <f>ROUND((H138/(3.14*Variables!$C$35^2)),0)</f>
        <v>5</v>
      </c>
      <c r="AF138" s="57">
        <f t="shared" si="14"/>
        <v>5</v>
      </c>
      <c r="AG138" s="57">
        <f t="shared" si="3"/>
        <v>0</v>
      </c>
      <c r="AH138" s="58">
        <f>AG138*Variables!$E$42*Variables!$C$18</f>
        <v>0</v>
      </c>
      <c r="AI138" s="73">
        <f t="shared" si="4"/>
        <v>0</v>
      </c>
      <c r="AJ138" s="66">
        <f t="shared" si="15"/>
        <v>2</v>
      </c>
      <c r="AK138" s="66">
        <f t="shared" si="5"/>
        <v>0</v>
      </c>
      <c r="AL138" s="62">
        <f>IF(AK138*Variables!$E$43*Variables!$C$18&lt;0,0,AK138*Variables!$E$43*Variables!$C$18)</f>
        <v>0</v>
      </c>
      <c r="AM138" s="58">
        <f>AA138*Variables!$E$39*Variables!$C$18</f>
        <v>12651458.670188017</v>
      </c>
      <c r="AN138" s="1"/>
      <c r="AO138" s="76">
        <f t="shared" si="16"/>
        <v>0.67714285714285716</v>
      </c>
      <c r="AP138" s="76">
        <f t="shared" si="6"/>
        <v>102.54651428571428</v>
      </c>
      <c r="AQ138" s="75">
        <f>VLOOKUP(B138,'Household Information'!$B$2:$E$48,4,FALSE)</f>
        <v>40.760000000000005</v>
      </c>
      <c r="AR138" s="79">
        <f>IF(12*(AP138-Variables!$C$45*AQ138*F138)*(G138/5)&lt;0,0,12*(AP138-Variables!$C$45*AQ138*F138)*(G138/5))</f>
        <v>4531979.0074628256</v>
      </c>
      <c r="AS138" s="1"/>
      <c r="AT138" s="62">
        <v>0</v>
      </c>
      <c r="AU138" s="1"/>
    </row>
    <row r="139" spans="1:47" ht="14.25" customHeight="1">
      <c r="A139" s="1">
        <v>42</v>
      </c>
      <c r="B139" s="3" t="s">
        <v>235</v>
      </c>
      <c r="C139" s="1">
        <v>2021</v>
      </c>
      <c r="D139" s="13">
        <f>VLOOKUP(B139,Population!$B$1:$O$48,5,FALSE)</f>
        <v>47600.325308374981</v>
      </c>
      <c r="E139" s="13" t="str">
        <f t="shared" si="18"/>
        <v>Small</v>
      </c>
      <c r="F139" s="54">
        <f>VLOOKUP(B139,'Household Information'!$B$1:$E$48,2,FALSE)</f>
        <v>2.7236881469514751</v>
      </c>
      <c r="G139" s="54">
        <f t="shared" si="0"/>
        <v>17476.422681374992</v>
      </c>
      <c r="H139" s="55">
        <f>IF(D139&gt;Variables!$C$6,H92,H92*(1+Variables!$C$9))</f>
        <v>5.4421538999999983</v>
      </c>
      <c r="I139" s="55"/>
      <c r="J139" s="13">
        <f>H139*Variables!$C$21</f>
        <v>97.958770199999975</v>
      </c>
      <c r="K139" s="13">
        <f t="shared" si="12"/>
        <v>94.829399999999978</v>
      </c>
      <c r="L139" s="54">
        <f t="shared" si="1"/>
        <v>3.1293701999999968</v>
      </c>
      <c r="M139" s="56"/>
      <c r="N139" s="57"/>
      <c r="O139" s="57"/>
      <c r="P139" s="57"/>
      <c r="Q139" s="57"/>
      <c r="R139" s="57"/>
      <c r="S139" s="58">
        <v>0</v>
      </c>
      <c r="T139" s="59">
        <f>$L139*Variables!$C$22/100</f>
        <v>0.16992055384615365</v>
      </c>
      <c r="U139" s="59">
        <f>$L139*Variables!$C$23/100</f>
        <v>0.29736096923076893</v>
      </c>
      <c r="V139" s="59">
        <f>$L139*Variables!$C$24/100</f>
        <v>0.31152101538461507</v>
      </c>
      <c r="W139" s="59">
        <f>$L139*Variables!$C$25/100</f>
        <v>2.2656073846153824</v>
      </c>
      <c r="X139" s="62">
        <f>T139*Variables!$E$26*Variables!$C$18+'Cost Calculations'!U139*Variables!$E$27*Variables!$C$18+'Cost Calculations'!V139*Variables!$E$28*Variables!$C$18+W139*Variables!$E$29*Variables!$C$18</f>
        <v>3557242.6579053653</v>
      </c>
      <c r="Y139" s="58">
        <f>J139*Variables!$E$30</f>
        <v>64162.994480999987</v>
      </c>
      <c r="Z139" s="1"/>
      <c r="AA139" s="245">
        <f>D139*(IF(D139&lt;Variables!$C$7,Variables!$C$38,IF(D139&gt;Variables!$C$6,Variables!$C$36,Variables!$C$37)))</f>
        <v>23.800162654187492</v>
      </c>
      <c r="AB139" s="64">
        <f t="shared" si="13"/>
        <v>23</v>
      </c>
      <c r="AC139" s="66">
        <f t="shared" si="2"/>
        <v>1</v>
      </c>
      <c r="AD139" s="62">
        <f>AC139*Variables!$E$41</f>
        <v>537600</v>
      </c>
      <c r="AE139" s="71">
        <f>ROUND((H139/(3.14*Variables!$C$35^2)),0)</f>
        <v>7</v>
      </c>
      <c r="AF139" s="57">
        <f t="shared" si="14"/>
        <v>7</v>
      </c>
      <c r="AG139" s="57">
        <f t="shared" si="3"/>
        <v>0</v>
      </c>
      <c r="AH139" s="58">
        <f>AG139*Variables!$E$42*Variables!$C$18</f>
        <v>0</v>
      </c>
      <c r="AI139" s="73">
        <f t="shared" si="4"/>
        <v>0</v>
      </c>
      <c r="AJ139" s="66">
        <f t="shared" si="15"/>
        <v>0</v>
      </c>
      <c r="AK139" s="66">
        <f t="shared" si="5"/>
        <v>0</v>
      </c>
      <c r="AL139" s="62">
        <f>IF(AK139*Variables!$E$43*Variables!$C$18&lt;0,0,AK139*Variables!$E$43*Variables!$C$18)</f>
        <v>0</v>
      </c>
      <c r="AM139" s="58">
        <f>AA139*Variables!$E$39*Variables!$C$18</f>
        <v>6879492.103142486</v>
      </c>
      <c r="AN139" s="1"/>
      <c r="AO139" s="76">
        <f t="shared" si="16"/>
        <v>0.67714285714285716</v>
      </c>
      <c r="AP139" s="76">
        <f t="shared" si="6"/>
        <v>110.65955842757135</v>
      </c>
      <c r="AQ139" s="75">
        <f>VLOOKUP(B139,'Household Information'!$B$2:$E$48,4,FALSE)</f>
        <v>40.760000000000005</v>
      </c>
      <c r="AR139" s="79">
        <f>IF(12*(AP139-Variables!$C$45*AQ139*F139)*(G139/5)&lt;0,0,12*(AP139-Variables!$C$45*AQ139*F139)*(G139/5))</f>
        <v>3942971.5869099465</v>
      </c>
      <c r="AS139" s="1"/>
      <c r="AT139" s="62">
        <v>0</v>
      </c>
      <c r="AU139" s="1"/>
    </row>
    <row r="140" spans="1:47" ht="14.25" customHeight="1">
      <c r="A140" s="1">
        <v>43</v>
      </c>
      <c r="B140" s="3" t="s">
        <v>236</v>
      </c>
      <c r="C140" s="1">
        <v>2021</v>
      </c>
      <c r="D140" s="13">
        <f>VLOOKUP(B140,Population!$B$1:$O$48,5,FALSE)</f>
        <v>25134.971099874991</v>
      </c>
      <c r="E140" s="13" t="str">
        <f t="shared" si="18"/>
        <v>Small</v>
      </c>
      <c r="F140" s="54">
        <f>VLOOKUP(B140,'Household Information'!$B$1:$E$48,2,FALSE)</f>
        <v>3.4114391143911438</v>
      </c>
      <c r="G140" s="54">
        <f t="shared" si="0"/>
        <v>7367.8498302499975</v>
      </c>
      <c r="H140" s="55">
        <f>IF(D140&gt;Variables!$C$6,H93,H93*(1+Variables!$C$9))</f>
        <v>4.6541487534330139</v>
      </c>
      <c r="I140" s="55"/>
      <c r="J140" s="13">
        <f>H140*Variables!$C$21</f>
        <v>83.774677561794249</v>
      </c>
      <c r="K140" s="13">
        <f t="shared" si="12"/>
        <v>81.098429391862794</v>
      </c>
      <c r="L140" s="54">
        <f t="shared" si="1"/>
        <v>2.6762481699314549</v>
      </c>
      <c r="M140" s="56"/>
      <c r="N140" s="57"/>
      <c r="O140" s="57"/>
      <c r="P140" s="57"/>
      <c r="Q140" s="57"/>
      <c r="R140" s="57"/>
      <c r="S140" s="58">
        <v>0</v>
      </c>
      <c r="T140" s="59">
        <f>$L140*Variables!$C$22/100</f>
        <v>0.1453166427112102</v>
      </c>
      <c r="U140" s="59">
        <f>$L140*Variables!$C$23/100</f>
        <v>0.25430412474461789</v>
      </c>
      <c r="V140" s="59">
        <f>$L140*Variables!$C$24/100</f>
        <v>0.26641384497055204</v>
      </c>
      <c r="W140" s="59">
        <f>$L140*Variables!$C$25/100</f>
        <v>1.9375552361494695</v>
      </c>
      <c r="X140" s="62">
        <f>T140*Variables!$E$26*Variables!$C$18+'Cost Calculations'!U140*Variables!$E$27*Variables!$C$18+'Cost Calculations'!V140*Variables!$E$28*Variables!$C$18+W140*Variables!$E$29*Variables!$C$18</f>
        <v>3042166.1691612415</v>
      </c>
      <c r="Y140" s="58">
        <f>J140*Variables!$E$30</f>
        <v>54872.413802975236</v>
      </c>
      <c r="Z140" s="1"/>
      <c r="AA140" s="245">
        <f>D140*(IF(D140&lt;Variables!$C$7,Variables!$C$38,IF(D140&gt;Variables!$C$6,Variables!$C$36,Variables!$C$37)))</f>
        <v>12.567485549937496</v>
      </c>
      <c r="AB140" s="64">
        <f t="shared" si="13"/>
        <v>12</v>
      </c>
      <c r="AC140" s="66">
        <f t="shared" si="2"/>
        <v>1</v>
      </c>
      <c r="AD140" s="62">
        <f>AC140*Variables!$E$41</f>
        <v>537600</v>
      </c>
      <c r="AE140" s="71">
        <f>ROUND((H140/(3.14*Variables!$C$35^2)),0)</f>
        <v>6</v>
      </c>
      <c r="AF140" s="57">
        <f t="shared" si="14"/>
        <v>6</v>
      </c>
      <c r="AG140" s="57">
        <f t="shared" si="3"/>
        <v>0</v>
      </c>
      <c r="AH140" s="58">
        <f>AG140*Variables!$E$42*Variables!$C$18</f>
        <v>0</v>
      </c>
      <c r="AI140" s="73">
        <f t="shared" si="4"/>
        <v>0</v>
      </c>
      <c r="AJ140" s="66">
        <f t="shared" si="15"/>
        <v>0</v>
      </c>
      <c r="AK140" s="66">
        <f t="shared" si="5"/>
        <v>0</v>
      </c>
      <c r="AL140" s="62">
        <f>IF(AK140*Variables!$E$43*Variables!$C$18&lt;0,0,AK140*Variables!$E$43*Variables!$C$18)</f>
        <v>0</v>
      </c>
      <c r="AM140" s="58">
        <f>AA140*Variables!$E$39*Variables!$C$18</f>
        <v>3632660.786960654</v>
      </c>
      <c r="AN140" s="1"/>
      <c r="AO140" s="76">
        <f t="shared" si="16"/>
        <v>0.67714285714285716</v>
      </c>
      <c r="AP140" s="76">
        <f t="shared" si="6"/>
        <v>138.60189773326303</v>
      </c>
      <c r="AQ140" s="75">
        <f>VLOOKUP(B140,'Household Information'!$B$2:$E$48,4,FALSE)</f>
        <v>40.760000000000005</v>
      </c>
      <c r="AR140" s="79">
        <f>IF(12*(AP140-Variables!$C$45*AQ140*F140)*(G140/5)&lt;0,0,12*(AP140-Variables!$C$45*AQ140*F140)*(G140/5))</f>
        <v>2082054.6129161131</v>
      </c>
      <c r="AS140" s="1"/>
      <c r="AT140" s="62">
        <v>0</v>
      </c>
      <c r="AU140" s="1"/>
    </row>
    <row r="141" spans="1:47" ht="14.25" customHeight="1">
      <c r="A141" s="1">
        <v>44</v>
      </c>
      <c r="B141" s="3" t="s">
        <v>241</v>
      </c>
      <c r="C141" s="1">
        <v>2021</v>
      </c>
      <c r="D141" s="13">
        <f>VLOOKUP(B141,Population!$B$1:$O$48,5,FALSE)</f>
        <v>97215.853710612209</v>
      </c>
      <c r="E141" s="13" t="str">
        <f t="shared" si="18"/>
        <v>Small</v>
      </c>
      <c r="F141" s="54">
        <f>VLOOKUP(B141,'Household Information'!$B$1:$E$48,2,FALSE)</f>
        <v>2.919</v>
      </c>
      <c r="G141" s="54">
        <f t="shared" si="0"/>
        <v>33304.506238647555</v>
      </c>
      <c r="H141" s="55">
        <f>IF(D141&gt;Variables!$C$6,H94,H94*(1+Variables!$C$9))</f>
        <v>11.348770284341828</v>
      </c>
      <c r="I141" s="55"/>
      <c r="J141" s="13">
        <f>H141*Variables!$C$21</f>
        <v>204.2778651181529</v>
      </c>
      <c r="K141" s="13">
        <f t="shared" si="12"/>
        <v>197.75204754903476</v>
      </c>
      <c r="L141" s="54">
        <f t="shared" si="1"/>
        <v>6.5258175691181464</v>
      </c>
      <c r="M141" s="56"/>
      <c r="N141" s="57"/>
      <c r="O141" s="57"/>
      <c r="P141" s="57"/>
      <c r="Q141" s="57"/>
      <c r="R141" s="57"/>
      <c r="S141" s="58">
        <v>0</v>
      </c>
      <c r="T141" s="59">
        <f>$L141*Variables!$C$22/100</f>
        <v>0.35434303542722967</v>
      </c>
      <c r="U141" s="59">
        <f>$L141*Variables!$C$23/100</f>
        <v>0.62010031199765192</v>
      </c>
      <c r="V141" s="59">
        <f>$L141*Variables!$C$24/100</f>
        <v>0.64962889828325443</v>
      </c>
      <c r="W141" s="59">
        <f>$L141*Variables!$C$25/100</f>
        <v>4.7245738056963953</v>
      </c>
      <c r="X141" s="62">
        <f>T141*Variables!$E$26*Variables!$C$18+'Cost Calculations'!U141*Variables!$E$27*Variables!$C$18+'Cost Calculations'!V141*Variables!$E$28*Variables!$C$18+W141*Variables!$E$29*Variables!$C$18</f>
        <v>7418079.4060656</v>
      </c>
      <c r="Y141" s="58">
        <f>J141*Variables!$E$30</f>
        <v>133802.00165239014</v>
      </c>
      <c r="Z141" s="1"/>
      <c r="AA141" s="245">
        <f>D141*(IF(D141&lt;Variables!$C$7,Variables!$C$38,IF(D141&gt;Variables!$C$6,Variables!$C$36,Variables!$C$37)))</f>
        <v>77.772682968489775</v>
      </c>
      <c r="AB141" s="64">
        <f t="shared" si="13"/>
        <v>77</v>
      </c>
      <c r="AC141" s="66">
        <f t="shared" si="2"/>
        <v>1</v>
      </c>
      <c r="AD141" s="62">
        <f>AC141*Variables!$E$41</f>
        <v>537600</v>
      </c>
      <c r="AE141" s="71">
        <f>ROUND((H141/(3.14*Variables!$C$35^2)),0)</f>
        <v>14</v>
      </c>
      <c r="AF141" s="57">
        <f t="shared" si="14"/>
        <v>14</v>
      </c>
      <c r="AG141" s="57">
        <f t="shared" si="3"/>
        <v>0</v>
      </c>
      <c r="AH141" s="58">
        <f>AG141*Variables!$E$42*Variables!$C$18</f>
        <v>0</v>
      </c>
      <c r="AI141" s="73">
        <f t="shared" si="4"/>
        <v>1</v>
      </c>
      <c r="AJ141" s="66">
        <f t="shared" si="15"/>
        <v>1</v>
      </c>
      <c r="AK141" s="66">
        <f t="shared" si="5"/>
        <v>0</v>
      </c>
      <c r="AL141" s="62">
        <f>IF(AK141*Variables!$E$43*Variables!$C$18&lt;0,0,AK141*Variables!$E$43*Variables!$C$18)</f>
        <v>0</v>
      </c>
      <c r="AM141" s="58">
        <f>AA141*Variables!$E$39*Variables!$C$18</f>
        <v>22480374.024998233</v>
      </c>
      <c r="AN141" s="1"/>
      <c r="AO141" s="76">
        <f t="shared" si="16"/>
        <v>0.67714285714285716</v>
      </c>
      <c r="AP141" s="76">
        <f t="shared" si="6"/>
        <v>118.59479999999999</v>
      </c>
      <c r="AQ141" s="75">
        <f>VLOOKUP(B141,'Household Information'!$B$2:$E$48,4,FALSE)</f>
        <v>40.760000000000005</v>
      </c>
      <c r="AR141" s="79">
        <f>IF(12*(AP141-Variables!$C$45*AQ141*F141)*(G141/5)&lt;0,0,12*(AP141-Variables!$C$45*AQ141*F141)*(G141/5))</f>
        <v>8052872.4645227427</v>
      </c>
      <c r="AS141" s="1"/>
      <c r="AT141" s="62">
        <v>0</v>
      </c>
      <c r="AU141" s="1"/>
    </row>
    <row r="142" spans="1:47" ht="14.25" customHeight="1">
      <c r="A142" s="1">
        <v>45</v>
      </c>
      <c r="B142" s="3" t="s">
        <v>242</v>
      </c>
      <c r="C142" s="1">
        <v>2021</v>
      </c>
      <c r="D142" s="13">
        <f>VLOOKUP(B142,Population!$B$1:$O$48,5,FALSE)</f>
        <v>24694.74050399999</v>
      </c>
      <c r="E142" s="13" t="str">
        <f t="shared" si="18"/>
        <v>Small</v>
      </c>
      <c r="F142" s="54">
        <f>VLOOKUP(B142,'Household Information'!$B$1:$E$48,2,FALSE)</f>
        <v>2.377290114757399</v>
      </c>
      <c r="G142" s="54">
        <f t="shared" si="0"/>
        <v>10387.768977249994</v>
      </c>
      <c r="H142" s="55">
        <f>IF(D142&gt;Variables!$C$6,H95,H95*(1+Variables!$C$9))</f>
        <v>4.0549381999999987</v>
      </c>
      <c r="I142" s="55"/>
      <c r="J142" s="13">
        <f>H142*Variables!$C$21</f>
        <v>72.98888759999997</v>
      </c>
      <c r="K142" s="13">
        <f t="shared" si="12"/>
        <v>70.657199999999989</v>
      </c>
      <c r="L142" s="54">
        <f t="shared" si="1"/>
        <v>2.3316875999999809</v>
      </c>
      <c r="M142" s="56"/>
      <c r="N142" s="57"/>
      <c r="O142" s="57"/>
      <c r="P142" s="57"/>
      <c r="Q142" s="57"/>
      <c r="R142" s="57"/>
      <c r="S142" s="58">
        <v>0</v>
      </c>
      <c r="T142" s="59">
        <f>$L142*Variables!$C$22/100</f>
        <v>0.12660747149321161</v>
      </c>
      <c r="U142" s="59">
        <f>$L142*Variables!$C$23/100</f>
        <v>0.22156307511312037</v>
      </c>
      <c r="V142" s="59">
        <f>$L142*Variables!$C$24/100</f>
        <v>0.23211369773755464</v>
      </c>
      <c r="W142" s="59">
        <f>$L142*Variables!$C$25/100</f>
        <v>1.6880996199094884</v>
      </c>
      <c r="X142" s="62">
        <f>T142*Variables!$E$26*Variables!$C$18+'Cost Calculations'!U142*Variables!$E$27*Variables!$C$18+'Cost Calculations'!V142*Variables!$E$28*Variables!$C$18+W142*Variables!$E$29*Variables!$C$18</f>
        <v>2650494.5294196652</v>
      </c>
      <c r="Y142" s="58">
        <f>J142*Variables!$E$30</f>
        <v>47807.72137799998</v>
      </c>
      <c r="Z142" s="1"/>
      <c r="AA142" s="245">
        <f>D142*(IF(D142&lt;Variables!$C$7,Variables!$C$38,IF(D142&gt;Variables!$C$6,Variables!$C$36,Variables!$C$37)))</f>
        <v>12.347370251999996</v>
      </c>
      <c r="AB142" s="64">
        <f t="shared" si="13"/>
        <v>12</v>
      </c>
      <c r="AC142" s="66">
        <f t="shared" si="2"/>
        <v>0</v>
      </c>
      <c r="AD142" s="62">
        <f>AC142*Variables!$E$41</f>
        <v>0</v>
      </c>
      <c r="AE142" s="71">
        <f>ROUND((H142/(3.14*Variables!$C$35^2)),0)</f>
        <v>5</v>
      </c>
      <c r="AF142" s="57">
        <f t="shared" si="14"/>
        <v>5</v>
      </c>
      <c r="AG142" s="57">
        <f t="shared" si="3"/>
        <v>0</v>
      </c>
      <c r="AH142" s="58">
        <f>AG142*Variables!$E$42*Variables!$C$18</f>
        <v>0</v>
      </c>
      <c r="AI142" s="73">
        <f t="shared" si="4"/>
        <v>0</v>
      </c>
      <c r="AJ142" s="66">
        <f t="shared" si="15"/>
        <v>0</v>
      </c>
      <c r="AK142" s="66">
        <f t="shared" si="5"/>
        <v>0</v>
      </c>
      <c r="AL142" s="62">
        <f>IF(AK142*Variables!$E$43*Variables!$C$18&lt;0,0,AK142*Variables!$E$43*Variables!$C$18)</f>
        <v>0</v>
      </c>
      <c r="AM142" s="58">
        <f>AA142*Variables!$E$39*Variables!$C$18</f>
        <v>3569035.9506120901</v>
      </c>
      <c r="AN142" s="1"/>
      <c r="AO142" s="76">
        <f t="shared" si="16"/>
        <v>0.67714285714285716</v>
      </c>
      <c r="AP142" s="76">
        <f t="shared" si="6"/>
        <v>96.585901233857754</v>
      </c>
      <c r="AQ142" s="75">
        <f>VLOOKUP(B142,'Household Information'!$B$2:$E$48,4,FALSE)</f>
        <v>40.760000000000005</v>
      </c>
      <c r="AR142" s="79">
        <f>IF(12*(AP142-Variables!$C$45*AQ142*F142)*(G142/5)&lt;0,0,12*(AP142-Variables!$C$45*AQ142*F142)*(G142/5))</f>
        <v>2045588.1240848245</v>
      </c>
      <c r="AS142" s="1"/>
      <c r="AT142" s="62">
        <v>0</v>
      </c>
      <c r="AU142" s="1"/>
    </row>
    <row r="143" spans="1:47" ht="14.25" customHeight="1">
      <c r="A143" s="1">
        <v>46</v>
      </c>
      <c r="B143" s="3" t="s">
        <v>243</v>
      </c>
      <c r="C143" s="1">
        <v>2021</v>
      </c>
      <c r="D143" s="13">
        <f>VLOOKUP(B143,Population!$B$1:$O$48,5,FALSE)</f>
        <v>31561.710392624987</v>
      </c>
      <c r="E143" s="13" t="str">
        <f t="shared" si="18"/>
        <v>Small</v>
      </c>
      <c r="F143" s="54">
        <f>VLOOKUP(B143,'Household Information'!$B$1:$E$48,2,FALSE)</f>
        <v>2.6682284299858559</v>
      </c>
      <c r="G143" s="54">
        <f t="shared" si="0"/>
        <v>11828.713777999994</v>
      </c>
      <c r="H143" s="55">
        <f>IF(D143&gt;Variables!$C$6,H96,H96*(1+Variables!$C$9))</f>
        <v>3.9522179381677183</v>
      </c>
      <c r="I143" s="55"/>
      <c r="J143" s="13">
        <f>H143*Variables!$C$21</f>
        <v>71.139922887018926</v>
      </c>
      <c r="K143" s="13">
        <f t="shared" si="12"/>
        <v>68.867301923542044</v>
      </c>
      <c r="L143" s="54">
        <f t="shared" si="1"/>
        <v>2.2726209634768821</v>
      </c>
      <c r="M143" s="56"/>
      <c r="N143" s="57"/>
      <c r="O143" s="57"/>
      <c r="P143" s="57"/>
      <c r="Q143" s="57"/>
      <c r="R143" s="57"/>
      <c r="S143" s="58">
        <v>0</v>
      </c>
      <c r="T143" s="59">
        <f>$L143*Variables!$C$22/100</f>
        <v>0.12340023331096191</v>
      </c>
      <c r="U143" s="59">
        <f>$L143*Variables!$C$23/100</f>
        <v>0.21595040829418338</v>
      </c>
      <c r="V143" s="59">
        <f>$L143*Variables!$C$24/100</f>
        <v>0.22623376107009688</v>
      </c>
      <c r="W143" s="59">
        <f>$L143*Variables!$C$25/100</f>
        <v>1.6453364441461591</v>
      </c>
      <c r="X143" s="62">
        <f>T143*Variables!$E$26*Variables!$C$18+'Cost Calculations'!U143*Variables!$E$27*Variables!$C$18+'Cost Calculations'!V143*Variables!$E$28*Variables!$C$18+W143*Variables!$E$29*Variables!$C$18</f>
        <v>2583351.8311543856</v>
      </c>
      <c r="Y143" s="58">
        <f>J143*Variables!$E$30</f>
        <v>46596.649490997399</v>
      </c>
      <c r="Z143" s="1"/>
      <c r="AA143" s="245">
        <f>D143*(IF(D143&lt;Variables!$C$7,Variables!$C$38,IF(D143&gt;Variables!$C$6,Variables!$C$36,Variables!$C$37)))</f>
        <v>15.780855196312494</v>
      </c>
      <c r="AB143" s="64">
        <f t="shared" si="13"/>
        <v>16</v>
      </c>
      <c r="AC143" s="66">
        <f t="shared" si="2"/>
        <v>0</v>
      </c>
      <c r="AD143" s="62">
        <f>AC143*Variables!$E$41</f>
        <v>0</v>
      </c>
      <c r="AE143" s="71">
        <f>ROUND((H143/(3.14*Variables!$C$35^2)),0)</f>
        <v>5</v>
      </c>
      <c r="AF143" s="57">
        <f t="shared" si="14"/>
        <v>5</v>
      </c>
      <c r="AG143" s="57">
        <f t="shared" si="3"/>
        <v>0</v>
      </c>
      <c r="AH143" s="58">
        <f>AG143*Variables!$E$42*Variables!$C$18</f>
        <v>0</v>
      </c>
      <c r="AI143" s="73">
        <f t="shared" si="4"/>
        <v>0</v>
      </c>
      <c r="AJ143" s="66">
        <f t="shared" si="15"/>
        <v>0</v>
      </c>
      <c r="AK143" s="66">
        <f t="shared" si="5"/>
        <v>0</v>
      </c>
      <c r="AL143" s="62">
        <f>IF(AK143*Variables!$E$43*Variables!$C$18&lt;0,0,AK143*Variables!$E$43*Variables!$C$18)</f>
        <v>0</v>
      </c>
      <c r="AM143" s="58">
        <f>AA143*Variables!$E$39*Variables!$C$18</f>
        <v>4561492.7209233027</v>
      </c>
      <c r="AN143" s="1"/>
      <c r="AO143" s="76">
        <f t="shared" si="16"/>
        <v>0.67714285714285716</v>
      </c>
      <c r="AP143" s="76">
        <f t="shared" si="6"/>
        <v>108.40630935542534</v>
      </c>
      <c r="AQ143" s="75">
        <f>VLOOKUP(B143,'Household Information'!$B$2:$E$48,4,FALSE)</f>
        <v>40.760000000000005</v>
      </c>
      <c r="AR143" s="79">
        <f>IF(12*(AP143-Variables!$C$45*AQ143*F143)*(G143/5)&lt;0,0,12*(AP143-Variables!$C$45*AQ143*F143)*(G143/5))</f>
        <v>2614413.3786099367</v>
      </c>
      <c r="AS143" s="1"/>
      <c r="AT143" s="62">
        <v>0</v>
      </c>
      <c r="AU143" s="1"/>
    </row>
    <row r="144" spans="1:47" ht="14.25" customHeight="1">
      <c r="A144" s="1">
        <v>47</v>
      </c>
      <c r="B144" s="3" t="s">
        <v>244</v>
      </c>
      <c r="C144" s="1">
        <v>2021</v>
      </c>
      <c r="D144" s="13">
        <f>VLOOKUP(B144,Population!$B$1:$O$48,5,FALSE)</f>
        <v>66885.771578499975</v>
      </c>
      <c r="E144" s="13" t="str">
        <f t="shared" si="18"/>
        <v>Small</v>
      </c>
      <c r="F144" s="54">
        <f>VLOOKUP(B144,'Household Information'!$B$1:$E$48,2,FALSE)</f>
        <v>3.4580000000000002</v>
      </c>
      <c r="G144" s="54">
        <f t="shared" si="0"/>
        <v>19342.328391700397</v>
      </c>
      <c r="H144" s="55">
        <f>IF(D144&gt;Variables!$C$6,H97,H97*(1+Variables!$C$9))</f>
        <v>4.4817737999999991</v>
      </c>
      <c r="I144" s="55"/>
      <c r="J144" s="13">
        <f>H144*Variables!$C$21</f>
        <v>80.671928399999985</v>
      </c>
      <c r="K144" s="13">
        <f t="shared" si="12"/>
        <v>94.147999999999996</v>
      </c>
      <c r="L144" s="54">
        <f t="shared" si="1"/>
        <v>0</v>
      </c>
      <c r="M144" s="56"/>
      <c r="N144" s="57"/>
      <c r="O144" s="57"/>
      <c r="P144" s="57"/>
      <c r="Q144" s="57"/>
      <c r="R144" s="57"/>
      <c r="S144" s="58">
        <v>0</v>
      </c>
      <c r="T144" s="59">
        <f>$L144*Variables!$C$22/100</f>
        <v>0</v>
      </c>
      <c r="U144" s="59">
        <f>$L144*Variables!$C$23/100</f>
        <v>0</v>
      </c>
      <c r="V144" s="59">
        <f>$L144*Variables!$C$24/100</f>
        <v>0</v>
      </c>
      <c r="W144" s="59">
        <f>$L144*Variables!$C$25/100</f>
        <v>0</v>
      </c>
      <c r="X144" s="62">
        <f>T144*Variables!$E$26*Variables!$C$18+'Cost Calculations'!U144*Variables!$E$27*Variables!$C$18+'Cost Calculations'!V144*Variables!$E$28*Variables!$C$18+W144*Variables!$E$29*Variables!$C$18</f>
        <v>0</v>
      </c>
      <c r="Y144" s="58">
        <f>J144*Variables!$E$30</f>
        <v>52840.113101999988</v>
      </c>
      <c r="Z144" s="1"/>
      <c r="AA144" s="245">
        <f>D144*(IF(D144&lt;Variables!$C$7,Variables!$C$38,IF(D144&gt;Variables!$C$6,Variables!$C$36,Variables!$C$37)))</f>
        <v>53.50861726279998</v>
      </c>
      <c r="AB144" s="64">
        <f t="shared" si="13"/>
        <v>53</v>
      </c>
      <c r="AC144" s="66">
        <f t="shared" si="2"/>
        <v>1</v>
      </c>
      <c r="AD144" s="62">
        <f>AC144*Variables!$E$41</f>
        <v>537600</v>
      </c>
      <c r="AE144" s="71">
        <f>ROUND((H144/(3.14*Variables!$C$35^2)),0)</f>
        <v>6</v>
      </c>
      <c r="AF144" s="57">
        <f t="shared" si="14"/>
        <v>6</v>
      </c>
      <c r="AG144" s="57">
        <f t="shared" si="3"/>
        <v>0</v>
      </c>
      <c r="AH144" s="58">
        <f>AG144*Variables!$E$42*Variables!$C$18</f>
        <v>0</v>
      </c>
      <c r="AI144" s="73">
        <f t="shared" si="4"/>
        <v>0</v>
      </c>
      <c r="AJ144" s="66">
        <f t="shared" si="15"/>
        <v>0</v>
      </c>
      <c r="AK144" s="66">
        <f t="shared" si="5"/>
        <v>0</v>
      </c>
      <c r="AL144" s="62">
        <f>IF(AK144*Variables!$E$43*Variables!$C$18&lt;0,0,AK144*Variables!$E$43*Variables!$C$18)</f>
        <v>0</v>
      </c>
      <c r="AM144" s="58">
        <f>AA144*Variables!$E$39*Variables!$C$18</f>
        <v>15466789.671067189</v>
      </c>
      <c r="AN144" s="1"/>
      <c r="AO144" s="76">
        <f t="shared" si="16"/>
        <v>0.67714285714285716</v>
      </c>
      <c r="AP144" s="76">
        <f t="shared" si="6"/>
        <v>140.49359999999999</v>
      </c>
      <c r="AQ144" s="75">
        <f>VLOOKUP(B144,'Household Information'!$B$2:$E$48,4,FALSE)</f>
        <v>40.760000000000005</v>
      </c>
      <c r="AR144" s="79">
        <f>IF(12*(AP144-Variables!$C$45*AQ144*F144)*(G144/5)&lt;0,0,12*(AP144-Variables!$C$45*AQ144*F144)*(G144/5))</f>
        <v>5540480.9776830003</v>
      </c>
      <c r="AS144" s="1"/>
      <c r="AT144" s="62">
        <v>0</v>
      </c>
      <c r="AU144" s="1"/>
    </row>
    <row r="145" spans="1:47" ht="14.25" customHeight="1">
      <c r="A145" s="1">
        <v>1</v>
      </c>
      <c r="B145" s="3" t="s">
        <v>76</v>
      </c>
      <c r="C145" s="1">
        <v>2022</v>
      </c>
      <c r="D145" s="13">
        <f>VLOOKUP(B145,Population!$B$1:$O$48,6,FALSE)</f>
        <v>7622149.4365433641</v>
      </c>
      <c r="E145" s="13" t="str">
        <f t="shared" si="18"/>
        <v>Large</v>
      </c>
      <c r="F145" s="54">
        <f>VLOOKUP(B145,'Household Information'!$B$1:$E$48,2,FALSE)</f>
        <v>2.8458153079093123</v>
      </c>
      <c r="G145" s="54">
        <f t="shared" si="0"/>
        <v>2678371.0859096479</v>
      </c>
      <c r="H145" s="55">
        <f>IF(D145&gt;Variables!$C$6,H98,H98*(1+Variables!$C$9))</f>
        <v>418.2688494446499</v>
      </c>
      <c r="I145" s="55"/>
      <c r="J145" s="13">
        <f>H145*Variables!$C$21</f>
        <v>7528.8392900036979</v>
      </c>
      <c r="K145" s="13">
        <f t="shared" si="12"/>
        <v>13984</v>
      </c>
      <c r="L145" s="54">
        <f t="shared" si="1"/>
        <v>0</v>
      </c>
      <c r="M145" s="56"/>
      <c r="N145" s="57"/>
      <c r="O145" s="57"/>
      <c r="P145" s="57"/>
      <c r="Q145" s="57"/>
      <c r="R145" s="57"/>
      <c r="S145" s="58">
        <v>0</v>
      </c>
      <c r="T145" s="59">
        <f>$L145*Variables!$C$22/100</f>
        <v>0</v>
      </c>
      <c r="U145" s="59">
        <f>$L145*Variables!$C$23/100</f>
        <v>0</v>
      </c>
      <c r="V145" s="59">
        <f>$L145*Variables!$C$24/100</f>
        <v>0</v>
      </c>
      <c r="W145" s="59">
        <f>$L145*Variables!$C$25/100</f>
        <v>0</v>
      </c>
      <c r="X145" s="62">
        <f>T145*Variables!$E$26*Variables!$C$18+'Cost Calculations'!U145*Variables!$E$27*Variables!$C$18+'Cost Calculations'!V145*Variables!$E$28*Variables!$C$18+W145*Variables!$E$29*Variables!$C$18</f>
        <v>0</v>
      </c>
      <c r="Y145" s="58">
        <f>J145*Variables!$E$30</f>
        <v>4931389.7349524219</v>
      </c>
      <c r="Z145" s="1"/>
      <c r="AA145" s="245">
        <f>D145*(IF(D145&lt;Variables!$C$7,Variables!$C$38,IF(D145&gt;Variables!$C$6,Variables!$C$36,Variables!$C$37)))</f>
        <v>9146.5793238520364</v>
      </c>
      <c r="AB145" s="64">
        <f t="shared" si="13"/>
        <v>9011</v>
      </c>
      <c r="AC145" s="66">
        <f t="shared" si="2"/>
        <v>136</v>
      </c>
      <c r="AD145" s="62">
        <f>AC145*Variables!$E$41</f>
        <v>73113600</v>
      </c>
      <c r="AE145" s="71">
        <f>ROUND((H145/(3.14*Variables!$C$35^2)),0)</f>
        <v>533</v>
      </c>
      <c r="AF145" s="57">
        <f t="shared" si="14"/>
        <v>853</v>
      </c>
      <c r="AG145" s="57">
        <f t="shared" si="3"/>
        <v>0</v>
      </c>
      <c r="AH145" s="58">
        <f>AG145*Variables!$E$42*Variables!$C$18</f>
        <v>0</v>
      </c>
      <c r="AI145" s="73">
        <f t="shared" si="4"/>
        <v>76</v>
      </c>
      <c r="AJ145" s="66">
        <f t="shared" si="15"/>
        <v>75</v>
      </c>
      <c r="AK145" s="66">
        <f t="shared" si="5"/>
        <v>1</v>
      </c>
      <c r="AL145" s="62">
        <f>IF(AK145*Variables!$E$43*Variables!$C$18&lt;0,0,AK145*Variables!$E$43*Variables!$C$18)</f>
        <v>945381.49199999997</v>
      </c>
      <c r="AM145" s="58">
        <f>AA145*Variables!$E$39*Variables!$C$18</f>
        <v>2643839924.2677178</v>
      </c>
      <c r="AN145" s="1"/>
      <c r="AO145" s="76">
        <f t="shared" si="16"/>
        <v>0.68340000000000001</v>
      </c>
      <c r="AP145" s="76">
        <f t="shared" si="6"/>
        <v>116.68981088551344</v>
      </c>
      <c r="AQ145" s="75">
        <f>VLOOKUP(B145,'Household Information'!$B$2:$E$48,4,FALSE)</f>
        <v>91.36</v>
      </c>
      <c r="AR145" s="79">
        <f>IF(12*(AP145-Variables!$C$45*AQ145*F145)*(G145/5)&lt;0,0,12*(AP145-Variables!$C$45*AQ145*F145)*(G145/5))</f>
        <v>499403231.08232129</v>
      </c>
      <c r="AS145" s="1"/>
      <c r="AT145" s="62">
        <v>0</v>
      </c>
      <c r="AU145" s="1"/>
    </row>
    <row r="146" spans="1:47" ht="14.25" customHeight="1">
      <c r="A146" s="1">
        <v>2</v>
      </c>
      <c r="B146" s="3" t="s">
        <v>87</v>
      </c>
      <c r="C146" s="1">
        <v>2022</v>
      </c>
      <c r="D146" s="13">
        <f>VLOOKUP(B146,Population!$B$1:$O$48,6,FALSE)</f>
        <v>2517904.592054205</v>
      </c>
      <c r="E146" s="13" t="str">
        <f t="shared" si="18"/>
        <v>Large</v>
      </c>
      <c r="F146" s="54">
        <f>VLOOKUP(B146,'Household Information'!$B$1:$E$48,2,FALSE)</f>
        <v>2.6591126390039355</v>
      </c>
      <c r="G146" s="54">
        <f t="shared" si="0"/>
        <v>946896.5530536439</v>
      </c>
      <c r="H146" s="55">
        <f>IF(D146&gt;Variables!$C$6,H99,H99*(1+Variables!$C$9))</f>
        <v>119.58406164038337</v>
      </c>
      <c r="I146" s="55"/>
      <c r="J146" s="13">
        <f>H146*Variables!$C$21</f>
        <v>2152.5131095269007</v>
      </c>
      <c r="K146" s="13">
        <f t="shared" si="12"/>
        <v>2152.5131095269007</v>
      </c>
      <c r="L146" s="54">
        <f t="shared" si="1"/>
        <v>0</v>
      </c>
      <c r="M146" s="56"/>
      <c r="N146" s="57"/>
      <c r="O146" s="57"/>
      <c r="P146" s="57"/>
      <c r="Q146" s="57"/>
      <c r="R146" s="57"/>
      <c r="S146" s="58">
        <v>0</v>
      </c>
      <c r="T146" s="59">
        <f>$L146*Variables!$C$22/100</f>
        <v>0</v>
      </c>
      <c r="U146" s="59">
        <f>$L146*Variables!$C$23/100</f>
        <v>0</v>
      </c>
      <c r="V146" s="59">
        <f>$L146*Variables!$C$24/100</f>
        <v>0</v>
      </c>
      <c r="W146" s="59">
        <f>$L146*Variables!$C$25/100</f>
        <v>0</v>
      </c>
      <c r="X146" s="62">
        <f>T146*Variables!$E$26*Variables!$C$18+'Cost Calculations'!U146*Variables!$E$27*Variables!$C$18+'Cost Calculations'!V146*Variables!$E$28*Variables!$C$18+W146*Variables!$E$29*Variables!$C$18</f>
        <v>0</v>
      </c>
      <c r="Y146" s="58">
        <f>J146*Variables!$E$30</f>
        <v>1409896.0867401201</v>
      </c>
      <c r="Z146" s="1"/>
      <c r="AA146" s="245">
        <f>D146*(IF(D146&lt;Variables!$C$7,Variables!$C$38,IF(D146&gt;Variables!$C$6,Variables!$C$36,Variables!$C$37)))</f>
        <v>3021.4855104650455</v>
      </c>
      <c r="AB146" s="64">
        <f t="shared" si="13"/>
        <v>4664</v>
      </c>
      <c r="AC146" s="66">
        <f t="shared" si="2"/>
        <v>0</v>
      </c>
      <c r="AD146" s="62">
        <f>AC146*Variables!$E$41</f>
        <v>0</v>
      </c>
      <c r="AE146" s="71">
        <f>ROUND((H146/(3.14*Variables!$C$35^2)),0)</f>
        <v>152</v>
      </c>
      <c r="AF146" s="57">
        <f t="shared" si="14"/>
        <v>152</v>
      </c>
      <c r="AG146" s="57">
        <f t="shared" si="3"/>
        <v>0</v>
      </c>
      <c r="AH146" s="58">
        <f>AG146*Variables!$E$42*Variables!$C$18</f>
        <v>0</v>
      </c>
      <c r="AI146" s="73">
        <f t="shared" si="4"/>
        <v>25</v>
      </c>
      <c r="AJ146" s="66">
        <f t="shared" si="15"/>
        <v>25</v>
      </c>
      <c r="AK146" s="66">
        <f t="shared" si="5"/>
        <v>0</v>
      </c>
      <c r="AL146" s="62">
        <f>IF(AK146*Variables!$E$43*Variables!$C$18&lt;0,0,AK146*Variables!$E$43*Variables!$C$18)</f>
        <v>0</v>
      </c>
      <c r="AM146" s="58">
        <f>AA146*Variables!$E$39*Variables!$C$18</f>
        <v>873367380.34210479</v>
      </c>
      <c r="AN146" s="1"/>
      <c r="AO146" s="76">
        <f t="shared" si="16"/>
        <v>0.75480000000000003</v>
      </c>
      <c r="AP146" s="76">
        <f t="shared" si="6"/>
        <v>120.42589319521024</v>
      </c>
      <c r="AQ146" s="75">
        <f>VLOOKUP(B146,'Household Information'!$B$2:$E$48,4,FALSE)</f>
        <v>73.64</v>
      </c>
      <c r="AR146" s="79">
        <f>IF(12*(AP146-Variables!$C$45*AQ146*F146)*(G146/5)&lt;0,0,12*(AP146-Variables!$C$45*AQ146*F146)*(G146/5))</f>
        <v>206923413.69868824</v>
      </c>
      <c r="AS146" s="1"/>
      <c r="AT146" s="62">
        <v>0</v>
      </c>
      <c r="AU146" s="1"/>
    </row>
    <row r="147" spans="1:47" ht="14.25" customHeight="1">
      <c r="A147" s="1">
        <v>3</v>
      </c>
      <c r="B147" s="3" t="s">
        <v>103</v>
      </c>
      <c r="C147" s="1">
        <v>2022</v>
      </c>
      <c r="D147" s="13">
        <f>VLOOKUP(B147,Population!$B$1:$O$48,6,FALSE)</f>
        <v>1934726.7141642421</v>
      </c>
      <c r="E147" s="13" t="str">
        <f t="shared" si="18"/>
        <v>Large</v>
      </c>
      <c r="F147" s="54">
        <f>VLOOKUP(B147,'Household Information'!$B$1:$E$48,2,FALSE)</f>
        <v>2.6407866430045996</v>
      </c>
      <c r="G147" s="54">
        <f t="shared" si="0"/>
        <v>732632.72490767145</v>
      </c>
      <c r="H147" s="55">
        <f>IF(D147&gt;Variables!$C$6,H100,H100*(1+Variables!$C$9))</f>
        <v>224.70642399999997</v>
      </c>
      <c r="I147" s="55"/>
      <c r="J147" s="13">
        <f>H147*Variables!$C$21</f>
        <v>4044.7156319999995</v>
      </c>
      <c r="K147" s="13">
        <f t="shared" si="12"/>
        <v>4044.7156319999995</v>
      </c>
      <c r="L147" s="54">
        <f t="shared" si="1"/>
        <v>0</v>
      </c>
      <c r="M147" s="56"/>
      <c r="N147" s="57"/>
      <c r="O147" s="57"/>
      <c r="P147" s="57"/>
      <c r="Q147" s="57"/>
      <c r="R147" s="57"/>
      <c r="S147" s="58">
        <v>0</v>
      </c>
      <c r="T147" s="59">
        <f>$L147*Variables!$C$22/100</f>
        <v>0</v>
      </c>
      <c r="U147" s="59">
        <f>$L147*Variables!$C$23/100</f>
        <v>0</v>
      </c>
      <c r="V147" s="59">
        <f>$L147*Variables!$C$24/100</f>
        <v>0</v>
      </c>
      <c r="W147" s="59">
        <f>$L147*Variables!$C$25/100</f>
        <v>0</v>
      </c>
      <c r="X147" s="62">
        <f>T147*Variables!$E$26*Variables!$C$18+'Cost Calculations'!U147*Variables!$E$27*Variables!$C$18+'Cost Calculations'!V147*Variables!$E$28*Variables!$C$18+W147*Variables!$E$29*Variables!$C$18</f>
        <v>0</v>
      </c>
      <c r="Y147" s="58">
        <f>J147*Variables!$E$30</f>
        <v>2649288.7389599998</v>
      </c>
      <c r="Z147" s="1"/>
      <c r="AA147" s="245">
        <f>D147*(IF(D147&lt;Variables!$C$7,Variables!$C$38,IF(D147&gt;Variables!$C$6,Variables!$C$36,Variables!$C$37)))</f>
        <v>2321.6720569970903</v>
      </c>
      <c r="AB147" s="64">
        <f t="shared" si="13"/>
        <v>2287</v>
      </c>
      <c r="AC147" s="66">
        <f t="shared" si="2"/>
        <v>35</v>
      </c>
      <c r="AD147" s="62">
        <f>AC147*Variables!$E$41</f>
        <v>18816000</v>
      </c>
      <c r="AE147" s="71">
        <f>ROUND((H147/(3.14*Variables!$C$35^2)),0)</f>
        <v>286</v>
      </c>
      <c r="AF147" s="57">
        <f t="shared" si="14"/>
        <v>286</v>
      </c>
      <c r="AG147" s="57">
        <f t="shared" si="3"/>
        <v>0</v>
      </c>
      <c r="AH147" s="58">
        <f>AG147*Variables!$E$42*Variables!$C$18</f>
        <v>0</v>
      </c>
      <c r="AI147" s="73">
        <f t="shared" si="4"/>
        <v>19</v>
      </c>
      <c r="AJ147" s="66">
        <f t="shared" si="15"/>
        <v>19</v>
      </c>
      <c r="AK147" s="66">
        <f t="shared" si="5"/>
        <v>0</v>
      </c>
      <c r="AL147" s="62">
        <f>IF(AK147*Variables!$E$43*Variables!$C$18&lt;0,0,AK147*Variables!$E$43*Variables!$C$18)</f>
        <v>0</v>
      </c>
      <c r="AM147" s="58">
        <f>AA147*Variables!$E$39*Variables!$C$18</f>
        <v>671084681.82623506</v>
      </c>
      <c r="AN147" s="1"/>
      <c r="AO147" s="76">
        <f t="shared" si="16"/>
        <v>0.61199999999999999</v>
      </c>
      <c r="AP147" s="76">
        <f t="shared" si="6"/>
        <v>96.969685531128903</v>
      </c>
      <c r="AQ147" s="75">
        <f>VLOOKUP(B147,'Household Information'!$B$2:$E$48,4,FALSE)</f>
        <v>61.12</v>
      </c>
      <c r="AR147" s="79">
        <f>IF(12*(AP147-Variables!$C$45*AQ147*F147)*(G147/5)&lt;0,0,12*(AP147-Variables!$C$45*AQ147*F147)*(G147/5))</f>
        <v>127933417.02876769</v>
      </c>
      <c r="AS147" s="1"/>
      <c r="AT147" s="62">
        <v>0</v>
      </c>
      <c r="AU147" s="1"/>
    </row>
    <row r="148" spans="1:47" ht="14.25" customHeight="1">
      <c r="A148" s="1">
        <v>4</v>
      </c>
      <c r="B148" s="3" t="s">
        <v>104</v>
      </c>
      <c r="C148" s="1">
        <v>2022</v>
      </c>
      <c r="D148" s="13">
        <f>VLOOKUP(B148,Population!$B$1:$O$48,6,FALSE)</f>
        <v>1188836.4971457138</v>
      </c>
      <c r="E148" s="13" t="str">
        <f t="shared" si="18"/>
        <v>Large</v>
      </c>
      <c r="F148" s="54">
        <f>VLOOKUP(B148,'Household Information'!$B$1:$E$48,2,FALSE)</f>
        <v>3.2280741697119208</v>
      </c>
      <c r="G148" s="54">
        <f t="shared" si="0"/>
        <v>368280.41570426733</v>
      </c>
      <c r="H148" s="55">
        <f>IF(D148&gt;Variables!$C$6,H101,H101*(1+Variables!$C$9))</f>
        <v>154</v>
      </c>
      <c r="I148" s="55"/>
      <c r="J148" s="13">
        <f>H148*Variables!$C$21</f>
        <v>2772</v>
      </c>
      <c r="K148" s="13">
        <f t="shared" si="12"/>
        <v>3916</v>
      </c>
      <c r="L148" s="54">
        <f t="shared" si="1"/>
        <v>0</v>
      </c>
      <c r="M148" s="56"/>
      <c r="N148" s="57"/>
      <c r="O148" s="57"/>
      <c r="P148" s="57"/>
      <c r="Q148" s="57"/>
      <c r="R148" s="57"/>
      <c r="S148" s="58">
        <v>0</v>
      </c>
      <c r="T148" s="59">
        <f>$L148*Variables!$C$22/100</f>
        <v>0</v>
      </c>
      <c r="U148" s="59">
        <f>$L148*Variables!$C$23/100</f>
        <v>0</v>
      </c>
      <c r="V148" s="59">
        <f>$L148*Variables!$C$24/100</f>
        <v>0</v>
      </c>
      <c r="W148" s="59">
        <f>$L148*Variables!$C$25/100</f>
        <v>0</v>
      </c>
      <c r="X148" s="62">
        <f>T148*Variables!$E$26*Variables!$C$18+'Cost Calculations'!U148*Variables!$E$27*Variables!$C$18+'Cost Calculations'!V148*Variables!$E$28*Variables!$C$18+W148*Variables!$E$29*Variables!$C$18</f>
        <v>0</v>
      </c>
      <c r="Y148" s="58">
        <f>J148*Variables!$E$30</f>
        <v>1815660</v>
      </c>
      <c r="Z148" s="1"/>
      <c r="AA148" s="245">
        <f>D148*(IF(D148&lt;Variables!$C$7,Variables!$C$38,IF(D148&gt;Variables!$C$6,Variables!$C$36,Variables!$C$37)))</f>
        <v>1426.6037965748565</v>
      </c>
      <c r="AB148" s="64">
        <f t="shared" si="13"/>
        <v>2043</v>
      </c>
      <c r="AC148" s="66">
        <f t="shared" si="2"/>
        <v>0</v>
      </c>
      <c r="AD148" s="62">
        <f>AC148*Variables!$E$41</f>
        <v>0</v>
      </c>
      <c r="AE148" s="71">
        <f>ROUND((H148/(3.14*Variables!$C$35^2)),0)</f>
        <v>196</v>
      </c>
      <c r="AF148" s="57">
        <f t="shared" si="14"/>
        <v>196</v>
      </c>
      <c r="AG148" s="57">
        <f t="shared" si="3"/>
        <v>0</v>
      </c>
      <c r="AH148" s="58">
        <f>AG148*Variables!$E$42*Variables!$C$18</f>
        <v>0</v>
      </c>
      <c r="AI148" s="73">
        <f t="shared" si="4"/>
        <v>12</v>
      </c>
      <c r="AJ148" s="66">
        <f t="shared" si="15"/>
        <v>12</v>
      </c>
      <c r="AK148" s="66">
        <f t="shared" si="5"/>
        <v>0</v>
      </c>
      <c r="AL148" s="62">
        <f>IF(AK148*Variables!$E$43*Variables!$C$18&lt;0,0,AK148*Variables!$E$43*Variables!$C$18)</f>
        <v>0</v>
      </c>
      <c r="AM148" s="58">
        <f>AA148*Variables!$E$39*Variables!$C$18</f>
        <v>412363129.42269105</v>
      </c>
      <c r="AN148" s="1"/>
      <c r="AO148" s="76">
        <f t="shared" si="16"/>
        <v>0.6804</v>
      </c>
      <c r="AP148" s="76">
        <f t="shared" si="6"/>
        <v>131.78289990431946</v>
      </c>
      <c r="AQ148" s="75">
        <f>VLOOKUP(B148,'Household Information'!$B$2:$E$48,4,FALSE)</f>
        <v>42.71</v>
      </c>
      <c r="AR148" s="79">
        <f>IF(12*(AP148-Variables!$C$45*AQ148*F148)*(G148/5)&lt;0,0,12*(AP148-Variables!$C$45*AQ148*F148)*(G148/5))</f>
        <v>98200272.33723028</v>
      </c>
      <c r="AS148" s="1"/>
      <c r="AT148" s="62">
        <v>0</v>
      </c>
      <c r="AU148" s="1"/>
    </row>
    <row r="149" spans="1:47" ht="14.25" customHeight="1">
      <c r="A149" s="1">
        <v>5</v>
      </c>
      <c r="B149" s="3" t="s">
        <v>105</v>
      </c>
      <c r="C149" s="1">
        <v>2022</v>
      </c>
      <c r="D149" s="13">
        <f>VLOOKUP(B149,Population!$B$1:$O$48,6,FALSE)</f>
        <v>561307.42056578409</v>
      </c>
      <c r="E149" s="13" t="str">
        <f t="shared" si="18"/>
        <v>Medium</v>
      </c>
      <c r="F149" s="54">
        <f>VLOOKUP(B149,'Household Information'!$B$1:$E$48,2,FALSE)</f>
        <v>2.791645991913092</v>
      </c>
      <c r="G149" s="54">
        <f t="shared" si="0"/>
        <v>201066.83375750115</v>
      </c>
      <c r="H149" s="55">
        <f>IF(D149&gt;Variables!$C$6,H102,H102*(1+Variables!$C$9))</f>
        <v>76.806648999999993</v>
      </c>
      <c r="I149" s="55"/>
      <c r="J149" s="13">
        <f>H149*Variables!$C$21</f>
        <v>1382.5196819999999</v>
      </c>
      <c r="K149" s="13">
        <f t="shared" si="12"/>
        <v>1382.5196819999999</v>
      </c>
      <c r="L149" s="54">
        <f t="shared" si="1"/>
        <v>0</v>
      </c>
      <c r="M149" s="56"/>
      <c r="N149" s="57"/>
      <c r="O149" s="57"/>
      <c r="P149" s="57"/>
      <c r="Q149" s="57"/>
      <c r="R149" s="57"/>
      <c r="S149" s="58">
        <v>0</v>
      </c>
      <c r="T149" s="59">
        <f>$L149*Variables!$C$22/100</f>
        <v>0</v>
      </c>
      <c r="U149" s="59">
        <f>$L149*Variables!$C$23/100</f>
        <v>0</v>
      </c>
      <c r="V149" s="59">
        <f>$L149*Variables!$C$24/100</f>
        <v>0</v>
      </c>
      <c r="W149" s="59">
        <f>$L149*Variables!$C$25/100</f>
        <v>0</v>
      </c>
      <c r="X149" s="62">
        <f>T149*Variables!$E$26*Variables!$C$18+'Cost Calculations'!U149*Variables!$E$27*Variables!$C$18+'Cost Calculations'!V149*Variables!$E$28*Variables!$C$18+W149*Variables!$E$29*Variables!$C$18</f>
        <v>0</v>
      </c>
      <c r="Y149" s="58">
        <f>J149*Variables!$E$30</f>
        <v>905550.39170999988</v>
      </c>
      <c r="Z149" s="1"/>
      <c r="AA149" s="245">
        <f>D149*(IF(D149&lt;Variables!$C$7,Variables!$C$38,IF(D149&gt;Variables!$C$6,Variables!$C$36,Variables!$C$37)))</f>
        <v>673.56890467894084</v>
      </c>
      <c r="AB149" s="64">
        <f t="shared" si="13"/>
        <v>664</v>
      </c>
      <c r="AC149" s="66">
        <f t="shared" si="2"/>
        <v>10</v>
      </c>
      <c r="AD149" s="62">
        <f>AC149*Variables!$E$41</f>
        <v>5376000</v>
      </c>
      <c r="AE149" s="71">
        <f>ROUND((H149/(3.14*Variables!$C$35^2)),0)</f>
        <v>98</v>
      </c>
      <c r="AF149" s="57">
        <f t="shared" si="14"/>
        <v>98</v>
      </c>
      <c r="AG149" s="57">
        <f t="shared" si="3"/>
        <v>0</v>
      </c>
      <c r="AH149" s="58">
        <f>AG149*Variables!$E$42*Variables!$C$18</f>
        <v>0</v>
      </c>
      <c r="AI149" s="73">
        <f t="shared" si="4"/>
        <v>6</v>
      </c>
      <c r="AJ149" s="66">
        <f t="shared" si="15"/>
        <v>6</v>
      </c>
      <c r="AK149" s="66">
        <f t="shared" si="5"/>
        <v>0</v>
      </c>
      <c r="AL149" s="62">
        <f>IF(AK149*Variables!$E$43*Variables!$C$18&lt;0,0,AK149*Variables!$E$43*Variables!$C$18)</f>
        <v>0</v>
      </c>
      <c r="AM149" s="58">
        <f>AA149*Variables!$E$39*Variables!$C$18</f>
        <v>194696650.94266981</v>
      </c>
      <c r="AN149" s="1"/>
      <c r="AO149" s="76">
        <f t="shared" si="16"/>
        <v>0.71399999999999997</v>
      </c>
      <c r="AP149" s="76">
        <f t="shared" si="6"/>
        <v>119.59411429355686</v>
      </c>
      <c r="AQ149" s="75">
        <f>VLOOKUP(B149,'Household Information'!$B$2:$E$48,4,FALSE)</f>
        <v>61.2</v>
      </c>
      <c r="AR149" s="79">
        <f>IF(12*(AP149-Variables!$C$45*AQ149*F149)*(G149/5)&lt;0,0,12*(AP149-Variables!$C$45*AQ149*F149)*(G149/5))</f>
        <v>45344658.662986293</v>
      </c>
      <c r="AS149" s="1"/>
      <c r="AT149" s="62">
        <v>0</v>
      </c>
      <c r="AU149" s="1"/>
    </row>
    <row r="150" spans="1:47" ht="14.25" customHeight="1">
      <c r="A150" s="1">
        <v>6</v>
      </c>
      <c r="B150" s="3" t="s">
        <v>106</v>
      </c>
      <c r="C150" s="1">
        <v>2022</v>
      </c>
      <c r="D150" s="13">
        <f>VLOOKUP(B150,Population!$B$1:$O$48,6,FALSE)</f>
        <v>942433.51932326576</v>
      </c>
      <c r="E150" s="13" t="str">
        <f t="shared" si="18"/>
        <v>Medium</v>
      </c>
      <c r="F150" s="54">
        <f>VLOOKUP(B150,'Household Information'!$B$1:$E$48,2,FALSE)</f>
        <v>3.0151582035627214</v>
      </c>
      <c r="G150" s="54">
        <f t="shared" si="0"/>
        <v>312565.19747775857</v>
      </c>
      <c r="H150" s="55">
        <f>IF(D150&gt;Variables!$C$6,H103,H103*(1+Variables!$C$9))</f>
        <v>116.91803899999999</v>
      </c>
      <c r="I150" s="55"/>
      <c r="J150" s="13">
        <f>H150*Variables!$C$21</f>
        <v>2104.5247019999997</v>
      </c>
      <c r="K150" s="13">
        <f t="shared" si="12"/>
        <v>2104.5247019999997</v>
      </c>
      <c r="L150" s="54">
        <f t="shared" si="1"/>
        <v>0</v>
      </c>
      <c r="M150" s="56"/>
      <c r="N150" s="57"/>
      <c r="O150" s="57"/>
      <c r="P150" s="57"/>
      <c r="Q150" s="57"/>
      <c r="R150" s="57"/>
      <c r="S150" s="58">
        <v>0</v>
      </c>
      <c r="T150" s="59">
        <f>$L150*Variables!$C$22/100</f>
        <v>0</v>
      </c>
      <c r="U150" s="59">
        <f>$L150*Variables!$C$23/100</f>
        <v>0</v>
      </c>
      <c r="V150" s="59">
        <f>$L150*Variables!$C$24/100</f>
        <v>0</v>
      </c>
      <c r="W150" s="59">
        <f>$L150*Variables!$C$25/100</f>
        <v>0</v>
      </c>
      <c r="X150" s="62">
        <f>T150*Variables!$E$26*Variables!$C$18+'Cost Calculations'!U150*Variables!$E$27*Variables!$C$18+'Cost Calculations'!V150*Variables!$E$28*Variables!$C$18+W150*Variables!$E$29*Variables!$C$18</f>
        <v>0</v>
      </c>
      <c r="Y150" s="58">
        <f>J150*Variables!$E$30</f>
        <v>1378463.6798099999</v>
      </c>
      <c r="Z150" s="1"/>
      <c r="AA150" s="245">
        <f>D150*(IF(D150&lt;Variables!$C$7,Variables!$C$38,IF(D150&gt;Variables!$C$6,Variables!$C$36,Variables!$C$37)))</f>
        <v>1130.9202231879187</v>
      </c>
      <c r="AB150" s="64">
        <f t="shared" si="13"/>
        <v>1114</v>
      </c>
      <c r="AC150" s="66">
        <f t="shared" si="2"/>
        <v>17</v>
      </c>
      <c r="AD150" s="62">
        <f>AC150*Variables!$E$41</f>
        <v>9139200</v>
      </c>
      <c r="AE150" s="71">
        <f>ROUND((H150/(3.14*Variables!$C$35^2)),0)</f>
        <v>149</v>
      </c>
      <c r="AF150" s="57">
        <f t="shared" si="14"/>
        <v>149</v>
      </c>
      <c r="AG150" s="57">
        <f t="shared" si="3"/>
        <v>0</v>
      </c>
      <c r="AH150" s="58">
        <f>AG150*Variables!$E$42*Variables!$C$18</f>
        <v>0</v>
      </c>
      <c r="AI150" s="73">
        <f t="shared" si="4"/>
        <v>9</v>
      </c>
      <c r="AJ150" s="66">
        <f t="shared" si="15"/>
        <v>9</v>
      </c>
      <c r="AK150" s="66">
        <f t="shared" si="5"/>
        <v>0</v>
      </c>
      <c r="AL150" s="62">
        <f>IF(AK150*Variables!$E$43*Variables!$C$18&lt;0,0,AK150*Variables!$E$43*Variables!$C$18)</f>
        <v>0</v>
      </c>
      <c r="AM150" s="58">
        <f>AA150*Variables!$E$39*Variables!$C$18</f>
        <v>326895108.14484096</v>
      </c>
      <c r="AN150" s="1"/>
      <c r="AO150" s="76">
        <f t="shared" si="16"/>
        <v>0.68340000000000001</v>
      </c>
      <c r="AP150" s="76">
        <f t="shared" si="6"/>
        <v>123.63354697888582</v>
      </c>
      <c r="AQ150" s="75">
        <f>VLOOKUP(B150,'Household Information'!$B$2:$E$48,4,FALSE)</f>
        <v>55.55</v>
      </c>
      <c r="AR150" s="79">
        <f>IF(12*(AP150-Variables!$C$45*AQ150*F150)*(G150/5)&lt;0,0,12*(AP150-Variables!$C$45*AQ150*F150)*(G150/5))</f>
        <v>73897720.143768176</v>
      </c>
      <c r="AS150" s="1"/>
      <c r="AT150" s="62">
        <v>0</v>
      </c>
      <c r="AU150" s="1"/>
    </row>
    <row r="151" spans="1:47" ht="14.25" customHeight="1">
      <c r="A151" s="1">
        <v>7</v>
      </c>
      <c r="B151" s="3" t="s">
        <v>107</v>
      </c>
      <c r="C151" s="1">
        <v>2022</v>
      </c>
      <c r="D151" s="13">
        <f>VLOOKUP(B151,Population!$B$1:$O$48,6,FALSE)</f>
        <v>668037.07785308338</v>
      </c>
      <c r="E151" s="13" t="str">
        <f t="shared" si="18"/>
        <v>Medium</v>
      </c>
      <c r="F151" s="54">
        <f>VLOOKUP(B151,'Household Information'!$B$1:$E$48,2,FALSE)</f>
        <v>2.7144187891908675</v>
      </c>
      <c r="G151" s="54">
        <f t="shared" si="0"/>
        <v>246106.85739182361</v>
      </c>
      <c r="H151" s="55">
        <f>IF(D151&gt;Variables!$C$6,H104,H104*(1+Variables!$C$9))</f>
        <v>92.766498999999996</v>
      </c>
      <c r="I151" s="55"/>
      <c r="J151" s="13">
        <f>H151*Variables!$C$21</f>
        <v>1669.7969819999998</v>
      </c>
      <c r="K151" s="13">
        <f t="shared" si="12"/>
        <v>1669.7969819999998</v>
      </c>
      <c r="L151" s="54">
        <f t="shared" si="1"/>
        <v>0</v>
      </c>
      <c r="M151" s="56"/>
      <c r="N151" s="57"/>
      <c r="O151" s="57"/>
      <c r="P151" s="57"/>
      <c r="Q151" s="57"/>
      <c r="R151" s="57"/>
      <c r="S151" s="58">
        <v>0</v>
      </c>
      <c r="T151" s="59">
        <f>$L151*Variables!$C$22/100</f>
        <v>0</v>
      </c>
      <c r="U151" s="59">
        <f>$L151*Variables!$C$23/100</f>
        <v>0</v>
      </c>
      <c r="V151" s="59">
        <f>$L151*Variables!$C$24/100</f>
        <v>0</v>
      </c>
      <c r="W151" s="59">
        <f>$L151*Variables!$C$25/100</f>
        <v>0</v>
      </c>
      <c r="X151" s="62">
        <f>T151*Variables!$E$26*Variables!$C$18+'Cost Calculations'!U151*Variables!$E$27*Variables!$C$18+'Cost Calculations'!V151*Variables!$E$28*Variables!$C$18+W151*Variables!$E$29*Variables!$C$18</f>
        <v>0</v>
      </c>
      <c r="Y151" s="58">
        <f>J151*Variables!$E$30</f>
        <v>1093717.0232099998</v>
      </c>
      <c r="Z151" s="1"/>
      <c r="AA151" s="245">
        <f>D151*(IF(D151&lt;Variables!$C$7,Variables!$C$38,IF(D151&gt;Variables!$C$6,Variables!$C$36,Variables!$C$37)))</f>
        <v>801.64449342369994</v>
      </c>
      <c r="AB151" s="64">
        <f t="shared" si="13"/>
        <v>790</v>
      </c>
      <c r="AC151" s="66">
        <f t="shared" si="2"/>
        <v>12</v>
      </c>
      <c r="AD151" s="62">
        <f>AC151*Variables!$E$41</f>
        <v>6451200</v>
      </c>
      <c r="AE151" s="71">
        <f>ROUND((H151/(3.14*Variables!$C$35^2)),0)</f>
        <v>118</v>
      </c>
      <c r="AF151" s="57">
        <f t="shared" si="14"/>
        <v>118</v>
      </c>
      <c r="AG151" s="57">
        <f t="shared" si="3"/>
        <v>0</v>
      </c>
      <c r="AH151" s="58">
        <f>AG151*Variables!$E$42*Variables!$C$18</f>
        <v>0</v>
      </c>
      <c r="AI151" s="73">
        <f t="shared" si="4"/>
        <v>7</v>
      </c>
      <c r="AJ151" s="66">
        <f t="shared" si="15"/>
        <v>7</v>
      </c>
      <c r="AK151" s="66">
        <f t="shared" si="5"/>
        <v>0</v>
      </c>
      <c r="AL151" s="62">
        <f>IF(AK151*Variables!$E$43*Variables!$C$18&lt;0,0,AK151*Variables!$E$43*Variables!$C$18)</f>
        <v>0</v>
      </c>
      <c r="AM151" s="58">
        <f>AA151*Variables!$E$39*Variables!$C$18</f>
        <v>231717196.3136012</v>
      </c>
      <c r="AN151" s="1"/>
      <c r="AO151" s="76">
        <f t="shared" si="16"/>
        <v>0.67714285714285716</v>
      </c>
      <c r="AP151" s="76">
        <f t="shared" si="6"/>
        <v>110.28295766369753</v>
      </c>
      <c r="AQ151" s="75">
        <f>VLOOKUP(B151,'Household Information'!$B$2:$E$48,4,FALSE)</f>
        <v>59.47</v>
      </c>
      <c r="AR151" s="79">
        <f>IF(12*(AP151-Variables!$C$45*AQ151*F151)*(G151/5)&lt;0,0,12*(AP151-Variables!$C$45*AQ151*F151)*(G151/5))</f>
        <v>50837201.715599284</v>
      </c>
      <c r="AS151" s="1"/>
      <c r="AT151" s="62">
        <v>0</v>
      </c>
      <c r="AU151" s="1"/>
    </row>
    <row r="152" spans="1:47" ht="14.25" customHeight="1">
      <c r="A152" s="1">
        <v>8</v>
      </c>
      <c r="B152" s="3" t="s">
        <v>108</v>
      </c>
      <c r="C152" s="1">
        <v>2022</v>
      </c>
      <c r="D152" s="13">
        <f>VLOOKUP(B152,Population!$B$1:$O$48,6,FALSE)</f>
        <v>434808.80578454351</v>
      </c>
      <c r="E152" s="13" t="str">
        <f t="shared" si="18"/>
        <v>Medium</v>
      </c>
      <c r="F152" s="54">
        <f>VLOOKUP(B152,'Household Information'!$B$1:$E$48,2,FALSE)</f>
        <v>2.3617684870776379</v>
      </c>
      <c r="G152" s="54">
        <f t="shared" si="0"/>
        <v>184103.06012786177</v>
      </c>
      <c r="H152" s="55">
        <f>IF(D152&gt;Variables!$C$6,H105,H105*(1+Variables!$C$9))</f>
        <v>39.199250999999997</v>
      </c>
      <c r="I152" s="55"/>
      <c r="J152" s="13">
        <f>H152*Variables!$C$21</f>
        <v>705.58651799999996</v>
      </c>
      <c r="K152" s="13">
        <f t="shared" si="12"/>
        <v>705.58651799999996</v>
      </c>
      <c r="L152" s="54">
        <f t="shared" si="1"/>
        <v>0</v>
      </c>
      <c r="M152" s="56"/>
      <c r="N152" s="57"/>
      <c r="O152" s="57"/>
      <c r="P152" s="57"/>
      <c r="Q152" s="57"/>
      <c r="R152" s="57"/>
      <c r="S152" s="58">
        <v>0</v>
      </c>
      <c r="T152" s="59">
        <f>$L152*Variables!$C$22/100</f>
        <v>0</v>
      </c>
      <c r="U152" s="59">
        <f>$L152*Variables!$C$23/100</f>
        <v>0</v>
      </c>
      <c r="V152" s="59">
        <f>$L152*Variables!$C$24/100</f>
        <v>0</v>
      </c>
      <c r="W152" s="59">
        <f>$L152*Variables!$C$25/100</f>
        <v>0</v>
      </c>
      <c r="X152" s="62">
        <f>T152*Variables!$E$26*Variables!$C$18+'Cost Calculations'!U152*Variables!$E$27*Variables!$C$18+'Cost Calculations'!V152*Variables!$E$28*Variables!$C$18+W152*Variables!$E$29*Variables!$C$18</f>
        <v>0</v>
      </c>
      <c r="Y152" s="58">
        <f>J152*Variables!$E$30</f>
        <v>462159.16928999999</v>
      </c>
      <c r="Z152" s="1"/>
      <c r="AA152" s="245">
        <f>D152*(IF(D152&lt;Variables!$C$7,Variables!$C$38,IF(D152&gt;Variables!$C$6,Variables!$C$36,Variables!$C$37)))</f>
        <v>521.77056694145222</v>
      </c>
      <c r="AB152" s="64">
        <f t="shared" si="13"/>
        <v>978</v>
      </c>
      <c r="AC152" s="66">
        <f t="shared" si="2"/>
        <v>0</v>
      </c>
      <c r="AD152" s="62">
        <f>AC152*Variables!$E$41</f>
        <v>0</v>
      </c>
      <c r="AE152" s="71">
        <f>ROUND((H152/(3.14*Variables!$C$35^2)),0)</f>
        <v>50</v>
      </c>
      <c r="AF152" s="57">
        <f t="shared" si="14"/>
        <v>50</v>
      </c>
      <c r="AG152" s="57">
        <f t="shared" si="3"/>
        <v>0</v>
      </c>
      <c r="AH152" s="58">
        <f>AG152*Variables!$E$42*Variables!$C$18</f>
        <v>0</v>
      </c>
      <c r="AI152" s="73">
        <f t="shared" si="4"/>
        <v>4</v>
      </c>
      <c r="AJ152" s="66">
        <f t="shared" si="15"/>
        <v>4</v>
      </c>
      <c r="AK152" s="66">
        <f t="shared" si="5"/>
        <v>0</v>
      </c>
      <c r="AL152" s="62">
        <f>IF(AK152*Variables!$E$43*Variables!$C$18&lt;0,0,AK152*Variables!$E$43*Variables!$C$18)</f>
        <v>0</v>
      </c>
      <c r="AM152" s="58">
        <f>AA152*Variables!$E$39*Variables!$C$18</f>
        <v>150818990.06662229</v>
      </c>
      <c r="AN152" s="1"/>
      <c r="AO152" s="76">
        <f t="shared" si="16"/>
        <v>0.61199999999999999</v>
      </c>
      <c r="AP152" s="76">
        <f t="shared" si="6"/>
        <v>86.724138845490856</v>
      </c>
      <c r="AQ152" s="75">
        <f>VLOOKUP(B152,'Household Information'!$B$2:$E$48,4,FALSE)</f>
        <v>75.66</v>
      </c>
      <c r="AR152" s="79">
        <f>IF(12*(AP152-Variables!$C$45*AQ152*F152)*(G152/5)&lt;0,0,12*(AP152-Variables!$C$45*AQ152*F152)*(G152/5))</f>
        <v>26475682.107743163</v>
      </c>
      <c r="AS152" s="1"/>
      <c r="AT152" s="62">
        <v>0</v>
      </c>
      <c r="AU152" s="1"/>
    </row>
    <row r="153" spans="1:47" ht="14.25" customHeight="1">
      <c r="A153" s="1">
        <v>9</v>
      </c>
      <c r="B153" s="3" t="s">
        <v>109</v>
      </c>
      <c r="C153" s="1">
        <v>2022</v>
      </c>
      <c r="D153" s="13">
        <f>VLOOKUP(B153,Population!$B$1:$O$48,6,FALSE)</f>
        <v>509298.48385805788</v>
      </c>
      <c r="E153" s="13" t="str">
        <f t="shared" si="18"/>
        <v>Medium</v>
      </c>
      <c r="F153" s="54">
        <f>VLOOKUP(B153,'Household Information'!$B$1:$E$48,2,FALSE)</f>
        <v>2.7429262269780841</v>
      </c>
      <c r="G153" s="54">
        <f t="shared" si="0"/>
        <v>185677.06227343867</v>
      </c>
      <c r="H153" s="55">
        <f>IF(D153&gt;Variables!$C$6,H106,H106*(1+Variables!$C$9))</f>
        <v>47.234957999999992</v>
      </c>
      <c r="I153" s="55"/>
      <c r="J153" s="13">
        <f>H153*Variables!$C$21</f>
        <v>850.22924399999988</v>
      </c>
      <c r="K153" s="13">
        <f t="shared" si="12"/>
        <v>850.22924399999988</v>
      </c>
      <c r="L153" s="54">
        <f t="shared" si="1"/>
        <v>0</v>
      </c>
      <c r="M153" s="56"/>
      <c r="N153" s="57"/>
      <c r="O153" s="57"/>
      <c r="P153" s="57"/>
      <c r="Q153" s="57"/>
      <c r="R153" s="57"/>
      <c r="S153" s="58">
        <v>0</v>
      </c>
      <c r="T153" s="59">
        <f>$L153*Variables!$C$22/100</f>
        <v>0</v>
      </c>
      <c r="U153" s="59">
        <f>$L153*Variables!$C$23/100</f>
        <v>0</v>
      </c>
      <c r="V153" s="59">
        <f>$L153*Variables!$C$24/100</f>
        <v>0</v>
      </c>
      <c r="W153" s="59">
        <f>$L153*Variables!$C$25/100</f>
        <v>0</v>
      </c>
      <c r="X153" s="62">
        <f>T153*Variables!$E$26*Variables!$C$18+'Cost Calculations'!U153*Variables!$E$27*Variables!$C$18+'Cost Calculations'!V153*Variables!$E$28*Variables!$C$18+W153*Variables!$E$29*Variables!$C$18</f>
        <v>0</v>
      </c>
      <c r="Y153" s="58">
        <f>J153*Variables!$E$30</f>
        <v>556900.15481999994</v>
      </c>
      <c r="Z153" s="1"/>
      <c r="AA153" s="245">
        <f>D153*(IF(D153&lt;Variables!$C$7,Variables!$C$38,IF(D153&gt;Variables!$C$6,Variables!$C$36,Variables!$C$37)))</f>
        <v>611.15818062966935</v>
      </c>
      <c r="AB153" s="64">
        <f t="shared" si="13"/>
        <v>602</v>
      </c>
      <c r="AC153" s="66">
        <f t="shared" si="2"/>
        <v>9</v>
      </c>
      <c r="AD153" s="62">
        <f>AC153*Variables!$E$41</f>
        <v>4838400</v>
      </c>
      <c r="AE153" s="71">
        <f>ROUND((H153/(3.14*Variables!$C$35^2)),0)</f>
        <v>60</v>
      </c>
      <c r="AF153" s="57">
        <f t="shared" si="14"/>
        <v>60</v>
      </c>
      <c r="AG153" s="57">
        <f t="shared" si="3"/>
        <v>0</v>
      </c>
      <c r="AH153" s="58">
        <f>AG153*Variables!$E$42*Variables!$C$18</f>
        <v>0</v>
      </c>
      <c r="AI153" s="73">
        <f t="shared" si="4"/>
        <v>5</v>
      </c>
      <c r="AJ153" s="66">
        <f t="shared" si="15"/>
        <v>5</v>
      </c>
      <c r="AK153" s="66">
        <f t="shared" si="5"/>
        <v>0</v>
      </c>
      <c r="AL153" s="62">
        <f>IF(AK153*Variables!$E$43*Variables!$C$18&lt;0,0,AK153*Variables!$E$43*Variables!$C$18)</f>
        <v>0</v>
      </c>
      <c r="AM153" s="58">
        <f>AA153*Variables!$E$39*Variables!$C$18</f>
        <v>176656686.70012182</v>
      </c>
      <c r="AN153" s="1"/>
      <c r="AO153" s="76">
        <f t="shared" si="16"/>
        <v>0.67714285714285716</v>
      </c>
      <c r="AP153" s="76">
        <f t="shared" si="6"/>
        <v>111.44117413608102</v>
      </c>
      <c r="AQ153" s="75">
        <f>VLOOKUP(B153,'Household Information'!$B$2:$E$48,4,FALSE)</f>
        <v>65.935833333333335</v>
      </c>
      <c r="AR153" s="79">
        <f>IF(12*(AP153-Variables!$C$45*AQ153*F153)*(G153/5)&lt;0,0,12*(AP153-Variables!$C$45*AQ153*F153)*(G153/5))</f>
        <v>37571800.410246238</v>
      </c>
      <c r="AS153" s="1"/>
      <c r="AT153" s="62">
        <v>0</v>
      </c>
      <c r="AU153" s="1"/>
    </row>
    <row r="154" spans="1:47" ht="14.25" customHeight="1">
      <c r="A154" s="1">
        <v>10</v>
      </c>
      <c r="B154" s="3" t="s">
        <v>110</v>
      </c>
      <c r="C154" s="1">
        <v>2022</v>
      </c>
      <c r="D154" s="13">
        <f>VLOOKUP(B154,Population!$B$1:$O$48,6,FALSE)</f>
        <v>531409.87070822844</v>
      </c>
      <c r="E154" s="13" t="str">
        <f t="shared" si="18"/>
        <v>Medium</v>
      </c>
      <c r="F154" s="54">
        <f>VLOOKUP(B154,'Household Information'!$B$1:$E$48,2,FALSE)</f>
        <v>2.5116430728482135</v>
      </c>
      <c r="G154" s="54">
        <f t="shared" si="0"/>
        <v>211578.57836289113</v>
      </c>
      <c r="H154" s="55">
        <f>IF(D154&gt;Variables!$C$6,H107,H107*(1+Variables!$C$9))</f>
        <v>27.319750999999997</v>
      </c>
      <c r="I154" s="55"/>
      <c r="J154" s="13">
        <f>H154*Variables!$C$21</f>
        <v>491.75551799999994</v>
      </c>
      <c r="K154" s="13">
        <f t="shared" si="12"/>
        <v>491.75551799999994</v>
      </c>
      <c r="L154" s="54">
        <f t="shared" si="1"/>
        <v>0</v>
      </c>
      <c r="M154" s="56"/>
      <c r="N154" s="57"/>
      <c r="O154" s="57"/>
      <c r="P154" s="57"/>
      <c r="Q154" s="57"/>
      <c r="R154" s="57"/>
      <c r="S154" s="58">
        <v>0</v>
      </c>
      <c r="T154" s="59">
        <f>$L154*Variables!$C$22/100</f>
        <v>0</v>
      </c>
      <c r="U154" s="59">
        <f>$L154*Variables!$C$23/100</f>
        <v>0</v>
      </c>
      <c r="V154" s="59">
        <f>$L154*Variables!$C$24/100</f>
        <v>0</v>
      </c>
      <c r="W154" s="59">
        <f>$L154*Variables!$C$25/100</f>
        <v>0</v>
      </c>
      <c r="X154" s="62">
        <f>T154*Variables!$E$26*Variables!$C$18+'Cost Calculations'!U154*Variables!$E$27*Variables!$C$18+'Cost Calculations'!V154*Variables!$E$28*Variables!$C$18+W154*Variables!$E$29*Variables!$C$18</f>
        <v>0</v>
      </c>
      <c r="Y154" s="58">
        <f>J154*Variables!$E$30</f>
        <v>322099.86428999994</v>
      </c>
      <c r="Z154" s="1"/>
      <c r="AA154" s="245">
        <f>D154*(IF(D154&lt;Variables!$C$7,Variables!$C$38,IF(D154&gt;Variables!$C$6,Variables!$C$36,Variables!$C$37)))</f>
        <v>637.69184484987409</v>
      </c>
      <c r="AB154" s="64">
        <f t="shared" si="13"/>
        <v>628</v>
      </c>
      <c r="AC154" s="66">
        <f t="shared" si="2"/>
        <v>10</v>
      </c>
      <c r="AD154" s="62">
        <f>AC154*Variables!$E$41</f>
        <v>5376000</v>
      </c>
      <c r="AE154" s="71">
        <f>ROUND((H154/(3.14*Variables!$C$35^2)),0)</f>
        <v>35</v>
      </c>
      <c r="AF154" s="57">
        <f t="shared" si="14"/>
        <v>35</v>
      </c>
      <c r="AG154" s="57">
        <f t="shared" si="3"/>
        <v>0</v>
      </c>
      <c r="AH154" s="58">
        <f>AG154*Variables!$E$42*Variables!$C$18</f>
        <v>0</v>
      </c>
      <c r="AI154" s="73">
        <f t="shared" si="4"/>
        <v>5</v>
      </c>
      <c r="AJ154" s="66">
        <f t="shared" si="15"/>
        <v>5</v>
      </c>
      <c r="AK154" s="66">
        <f t="shared" si="5"/>
        <v>0</v>
      </c>
      <c r="AL154" s="62">
        <f>IF(AK154*Variables!$E$43*Variables!$C$18&lt;0,0,AK154*Variables!$E$43*Variables!$C$18)</f>
        <v>0</v>
      </c>
      <c r="AM154" s="58">
        <f>AA154*Variables!$E$39*Variables!$C$18</f>
        <v>184326303.75789499</v>
      </c>
      <c r="AN154" s="1"/>
      <c r="AO154" s="76">
        <f t="shared" si="16"/>
        <v>0.67714285714285716</v>
      </c>
      <c r="AP154" s="76">
        <f t="shared" si="6"/>
        <v>102.04446998829027</v>
      </c>
      <c r="AQ154" s="75">
        <f>VLOOKUP(B154,'Household Information'!$B$2:$E$48,4,FALSE)</f>
        <v>62.81</v>
      </c>
      <c r="AR154" s="79">
        <f>IF(12*(AP154-Variables!$C$45*AQ154*F154)*(G154/5)&lt;0,0,12*(AP154-Variables!$C$45*AQ154*F154)*(G154/5))</f>
        <v>39800989.903295025</v>
      </c>
      <c r="AS154" s="1"/>
      <c r="AT154" s="62">
        <v>0</v>
      </c>
      <c r="AU154" s="1"/>
    </row>
    <row r="155" spans="1:47" ht="14.25" customHeight="1">
      <c r="A155" s="1">
        <v>11</v>
      </c>
      <c r="B155" s="3" t="s">
        <v>125</v>
      </c>
      <c r="C155" s="1">
        <v>2022</v>
      </c>
      <c r="D155" s="13">
        <f>VLOOKUP(B155,Population!$B$1:$O$48,6,FALSE)</f>
        <v>373945.97433750355</v>
      </c>
      <c r="E155" s="13" t="str">
        <f t="shared" si="18"/>
        <v>Medium</v>
      </c>
      <c r="F155" s="54">
        <f>VLOOKUP(B155,'Household Information'!$B$1:$E$48,2,FALSE)</f>
        <v>2.693850400263019</v>
      </c>
      <c r="G155" s="54">
        <f t="shared" si="0"/>
        <v>138814.67742269306</v>
      </c>
      <c r="H155" s="55">
        <f>IF(D155&gt;Variables!$C$6,H108,H108*(1+Variables!$C$9))</f>
        <v>28.674206300180991</v>
      </c>
      <c r="I155" s="55"/>
      <c r="J155" s="13">
        <f>H155*Variables!$C$21</f>
        <v>516.1357134032578</v>
      </c>
      <c r="K155" s="13">
        <f t="shared" si="12"/>
        <v>516.1357134032578</v>
      </c>
      <c r="L155" s="54">
        <f t="shared" si="1"/>
        <v>0</v>
      </c>
      <c r="M155" s="56"/>
      <c r="N155" s="57"/>
      <c r="O155" s="57"/>
      <c r="P155" s="57"/>
      <c r="Q155" s="57"/>
      <c r="R155" s="57"/>
      <c r="S155" s="58">
        <v>0</v>
      </c>
      <c r="T155" s="59">
        <f>$L155*Variables!$C$22/100</f>
        <v>0</v>
      </c>
      <c r="U155" s="59">
        <f>$L155*Variables!$C$23/100</f>
        <v>0</v>
      </c>
      <c r="V155" s="59">
        <f>$L155*Variables!$C$24/100</f>
        <v>0</v>
      </c>
      <c r="W155" s="59">
        <f>$L155*Variables!$C$25/100</f>
        <v>0</v>
      </c>
      <c r="X155" s="62">
        <f>T155*Variables!$E$26*Variables!$C$18+'Cost Calculations'!U155*Variables!$E$27*Variables!$C$18+'Cost Calculations'!V155*Variables!$E$28*Variables!$C$18+W155*Variables!$E$29*Variables!$C$18</f>
        <v>0</v>
      </c>
      <c r="Y155" s="58">
        <f>J155*Variables!$E$30</f>
        <v>338068.89227913384</v>
      </c>
      <c r="Z155" s="1"/>
      <c r="AA155" s="245">
        <f>D155*(IF(D155&lt;Variables!$C$7,Variables!$C$38,IF(D155&gt;Variables!$C$6,Variables!$C$36,Variables!$C$37)))</f>
        <v>448.73516920500424</v>
      </c>
      <c r="AB155" s="64">
        <f t="shared" si="13"/>
        <v>442</v>
      </c>
      <c r="AC155" s="66">
        <f t="shared" si="2"/>
        <v>7</v>
      </c>
      <c r="AD155" s="62">
        <f>AC155*Variables!$E$41</f>
        <v>3763200</v>
      </c>
      <c r="AE155" s="71">
        <f>ROUND((H155/(3.14*Variables!$C$35^2)),0)</f>
        <v>37</v>
      </c>
      <c r="AF155" s="57">
        <f t="shared" si="14"/>
        <v>37</v>
      </c>
      <c r="AG155" s="57">
        <f t="shared" si="3"/>
        <v>0</v>
      </c>
      <c r="AH155" s="58">
        <f>AG155*Variables!$E$42*Variables!$C$18</f>
        <v>0</v>
      </c>
      <c r="AI155" s="73">
        <f t="shared" si="4"/>
        <v>4</v>
      </c>
      <c r="AJ155" s="66">
        <f t="shared" si="15"/>
        <v>4</v>
      </c>
      <c r="AK155" s="66">
        <f t="shared" si="5"/>
        <v>0</v>
      </c>
      <c r="AL155" s="62">
        <f>IF(AK155*Variables!$E$43*Variables!$C$18&lt;0,0,AK155*Variables!$E$43*Variables!$C$18)</f>
        <v>0</v>
      </c>
      <c r="AM155" s="58">
        <f>AA155*Variables!$E$39*Variables!$C$18</f>
        <v>129707939.30288467</v>
      </c>
      <c r="AN155" s="1"/>
      <c r="AO155" s="76">
        <f t="shared" si="16"/>
        <v>0.67714285714285716</v>
      </c>
      <c r="AP155" s="76">
        <f t="shared" si="6"/>
        <v>109.4472934049718</v>
      </c>
      <c r="AQ155" s="75">
        <f>VLOOKUP(B155,'Household Information'!$B$2:$E$48,4,FALSE)</f>
        <v>65.935833333333335</v>
      </c>
      <c r="AR155" s="79">
        <f>IF(12*(AP155-Variables!$C$45*AQ155*F155)*(G155/5)&lt;0,0,12*(AP155-Variables!$C$45*AQ155*F155)*(G155/5))</f>
        <v>27586619.550863314</v>
      </c>
      <c r="AS155" s="1"/>
      <c r="AT155" s="62">
        <v>0</v>
      </c>
      <c r="AU155" s="1"/>
    </row>
    <row r="156" spans="1:47" ht="14.25" customHeight="1">
      <c r="A156" s="1">
        <v>12</v>
      </c>
      <c r="B156" s="3" t="s">
        <v>152</v>
      </c>
      <c r="C156" s="1">
        <v>2022</v>
      </c>
      <c r="D156" s="13">
        <f>VLOOKUP(B156,Population!$B$1:$O$48,6,FALSE)</f>
        <v>425008.17475807224</v>
      </c>
      <c r="E156" s="13" t="str">
        <f t="shared" si="18"/>
        <v>Medium</v>
      </c>
      <c r="F156" s="54">
        <f>VLOOKUP(B156,'Household Information'!$B$1:$E$48,2,FALSE)</f>
        <v>2.5280688906285511</v>
      </c>
      <c r="G156" s="54">
        <f t="shared" si="0"/>
        <v>168115.74096479741</v>
      </c>
      <c r="H156" s="55">
        <f>IF(D156&gt;Variables!$C$6,H109,H109*(1+Variables!$C$9))</f>
        <v>17.374026999999998</v>
      </c>
      <c r="I156" s="55"/>
      <c r="J156" s="13">
        <f>H156*Variables!$C$21</f>
        <v>312.73248599999999</v>
      </c>
      <c r="K156" s="13">
        <f t="shared" si="12"/>
        <v>639</v>
      </c>
      <c r="L156" s="54">
        <f t="shared" si="1"/>
        <v>0</v>
      </c>
      <c r="M156" s="56"/>
      <c r="N156" s="57"/>
      <c r="O156" s="57"/>
      <c r="P156" s="57"/>
      <c r="Q156" s="57"/>
      <c r="R156" s="57"/>
      <c r="S156" s="58">
        <v>0</v>
      </c>
      <c r="T156" s="59">
        <f>$L156*Variables!$C$22/100</f>
        <v>0</v>
      </c>
      <c r="U156" s="59">
        <f>$L156*Variables!$C$23/100</f>
        <v>0</v>
      </c>
      <c r="V156" s="59">
        <f>$L156*Variables!$C$24/100</f>
        <v>0</v>
      </c>
      <c r="W156" s="59">
        <f>$L156*Variables!$C$25/100</f>
        <v>0</v>
      </c>
      <c r="X156" s="62">
        <f>T156*Variables!$E$26*Variables!$C$18+'Cost Calculations'!U156*Variables!$E$27*Variables!$C$18+'Cost Calculations'!V156*Variables!$E$28*Variables!$C$18+W156*Variables!$E$29*Variables!$C$18</f>
        <v>0</v>
      </c>
      <c r="Y156" s="58">
        <f>J156*Variables!$E$30</f>
        <v>204839.77833</v>
      </c>
      <c r="Z156" s="1"/>
      <c r="AA156" s="245">
        <f>D156*(IF(D156&lt;Variables!$C$7,Variables!$C$38,IF(D156&gt;Variables!$C$6,Variables!$C$36,Variables!$C$37)))</f>
        <v>510.00980970968664</v>
      </c>
      <c r="AB156" s="64">
        <f t="shared" si="13"/>
        <v>502</v>
      </c>
      <c r="AC156" s="66">
        <f t="shared" si="2"/>
        <v>8</v>
      </c>
      <c r="AD156" s="62">
        <f>AC156*Variables!$E$41</f>
        <v>4300800</v>
      </c>
      <c r="AE156" s="71">
        <f>ROUND((H156/(3.14*Variables!$C$35^2)),0)</f>
        <v>22</v>
      </c>
      <c r="AF156" s="57">
        <f t="shared" si="14"/>
        <v>22</v>
      </c>
      <c r="AG156" s="57">
        <f t="shared" si="3"/>
        <v>0</v>
      </c>
      <c r="AH156" s="58">
        <f>AG156*Variables!$E$42*Variables!$C$18</f>
        <v>0</v>
      </c>
      <c r="AI156" s="73">
        <f t="shared" si="4"/>
        <v>4</v>
      </c>
      <c r="AJ156" s="66">
        <f t="shared" si="15"/>
        <v>4</v>
      </c>
      <c r="AK156" s="66">
        <f t="shared" si="5"/>
        <v>0</v>
      </c>
      <c r="AL156" s="62">
        <f>IF(AK156*Variables!$E$43*Variables!$C$18&lt;0,0,AK156*Variables!$E$43*Variables!$C$18)</f>
        <v>0</v>
      </c>
      <c r="AM156" s="58">
        <f>AA156*Variables!$E$39*Variables!$C$18</f>
        <v>147419515.96728575</v>
      </c>
      <c r="AN156" s="1"/>
      <c r="AO156" s="76">
        <f t="shared" si="16"/>
        <v>0.67714285714285716</v>
      </c>
      <c r="AP156" s="76">
        <f t="shared" si="6"/>
        <v>102.71182749925141</v>
      </c>
      <c r="AQ156" s="75">
        <f>VLOOKUP(B156,'Household Information'!$B$2:$E$48,4,FALSE)</f>
        <v>89.08</v>
      </c>
      <c r="AR156" s="79">
        <f>IF(12*(AP156-Variables!$C$45*AQ156*F156)*(G156/5)&lt;0,0,12*(AP156-Variables!$C$45*AQ156*F156)*(G156/5))</f>
        <v>27812437.81144258</v>
      </c>
      <c r="AS156" s="1"/>
      <c r="AT156" s="62">
        <v>0</v>
      </c>
      <c r="AU156" s="1"/>
    </row>
    <row r="157" spans="1:47" ht="14.25" customHeight="1">
      <c r="A157" s="1">
        <v>13</v>
      </c>
      <c r="B157" s="3" t="s">
        <v>181</v>
      </c>
      <c r="C157" s="1">
        <v>2022</v>
      </c>
      <c r="D157" s="13">
        <f>VLOOKUP(B157,Population!$B$1:$O$48,6,FALSE)</f>
        <v>478899.97040460724</v>
      </c>
      <c r="E157" s="13" t="str">
        <f t="shared" si="18"/>
        <v>Medium</v>
      </c>
      <c r="F157" s="54">
        <f>VLOOKUP(B157,'Household Information'!$B$1:$E$48,2,FALSE)</f>
        <v>2.4075040417460345</v>
      </c>
      <c r="G157" s="54">
        <f t="shared" si="0"/>
        <v>198919.69529458674</v>
      </c>
      <c r="H157" s="55">
        <f>IF(D157&gt;Variables!$C$6,H110,H110*(1+Variables!$C$9))</f>
        <v>82.9</v>
      </c>
      <c r="I157" s="55"/>
      <c r="J157" s="13">
        <f>H157*Variables!$C$21</f>
        <v>1492.2</v>
      </c>
      <c r="K157" s="13">
        <f t="shared" si="12"/>
        <v>1492.2</v>
      </c>
      <c r="L157" s="54">
        <f t="shared" si="1"/>
        <v>0</v>
      </c>
      <c r="M157" s="56"/>
      <c r="N157" s="57"/>
      <c r="O157" s="57"/>
      <c r="P157" s="57"/>
      <c r="Q157" s="57"/>
      <c r="R157" s="57"/>
      <c r="S157" s="58">
        <v>0</v>
      </c>
      <c r="T157" s="59">
        <f>$L157*Variables!$C$22/100</f>
        <v>0</v>
      </c>
      <c r="U157" s="59">
        <f>$L157*Variables!$C$23/100</f>
        <v>0</v>
      </c>
      <c r="V157" s="59">
        <f>$L157*Variables!$C$24/100</f>
        <v>0</v>
      </c>
      <c r="W157" s="59">
        <f>$L157*Variables!$C$25/100</f>
        <v>0</v>
      </c>
      <c r="X157" s="62">
        <f>T157*Variables!$E$26*Variables!$C$18+'Cost Calculations'!U157*Variables!$E$27*Variables!$C$18+'Cost Calculations'!V157*Variables!$E$28*Variables!$C$18+W157*Variables!$E$29*Variables!$C$18</f>
        <v>0</v>
      </c>
      <c r="Y157" s="58">
        <f>J157*Variables!$E$30</f>
        <v>977391</v>
      </c>
      <c r="Z157" s="1"/>
      <c r="AA157" s="245">
        <f>D157*(IF(D157&lt;Variables!$C$7,Variables!$C$38,IF(D157&gt;Variables!$C$6,Variables!$C$36,Variables!$C$37)))</f>
        <v>574.67996448552867</v>
      </c>
      <c r="AB157" s="64">
        <f t="shared" si="13"/>
        <v>566</v>
      </c>
      <c r="AC157" s="66">
        <f t="shared" si="2"/>
        <v>9</v>
      </c>
      <c r="AD157" s="62">
        <f>AC157*Variables!$E$41</f>
        <v>4838400</v>
      </c>
      <c r="AE157" s="71">
        <f>ROUND((H157/(3.14*Variables!$C$35^2)),0)</f>
        <v>106</v>
      </c>
      <c r="AF157" s="57">
        <f t="shared" si="14"/>
        <v>106</v>
      </c>
      <c r="AG157" s="57">
        <f t="shared" si="3"/>
        <v>0</v>
      </c>
      <c r="AH157" s="58">
        <f>AG157*Variables!$E$42*Variables!$C$18</f>
        <v>0</v>
      </c>
      <c r="AI157" s="73">
        <f t="shared" si="4"/>
        <v>5</v>
      </c>
      <c r="AJ157" s="66">
        <f t="shared" si="15"/>
        <v>5</v>
      </c>
      <c r="AK157" s="66">
        <f t="shared" si="5"/>
        <v>0</v>
      </c>
      <c r="AL157" s="62">
        <f>IF(AK157*Variables!$E$43*Variables!$C$18&lt;0,0,AK157*Variables!$E$43*Variables!$C$18)</f>
        <v>0</v>
      </c>
      <c r="AM157" s="58">
        <f>AA157*Variables!$E$39*Variables!$C$18</f>
        <v>166112573.89103615</v>
      </c>
      <c r="AN157" s="1"/>
      <c r="AO157" s="76">
        <f t="shared" si="16"/>
        <v>0.67714285714285716</v>
      </c>
      <c r="AP157" s="76">
        <f t="shared" si="6"/>
        <v>97.81344992465317</v>
      </c>
      <c r="AQ157" s="75">
        <f>VLOOKUP(B157,'Household Information'!$B$2:$E$48,4,FALSE)</f>
        <v>71.48</v>
      </c>
      <c r="AR157" s="79">
        <f>IF(12*(AP157-Variables!$C$45*AQ157*F157)*(G157/5)&lt;0,0,12*(AP157-Variables!$C$45*AQ157*F157)*(G157/5))</f>
        <v>34373414.812910713</v>
      </c>
      <c r="AS157" s="1"/>
      <c r="AT157" s="62">
        <v>0</v>
      </c>
      <c r="AU157" s="1"/>
    </row>
    <row r="158" spans="1:47" ht="14.25" customHeight="1">
      <c r="A158" s="1">
        <v>14</v>
      </c>
      <c r="B158" s="3" t="s">
        <v>206</v>
      </c>
      <c r="C158" s="1">
        <v>2022</v>
      </c>
      <c r="D158" s="13">
        <f>VLOOKUP(B158,Population!$B$1:$O$48,6,FALSE)</f>
        <v>333826.43212387856</v>
      </c>
      <c r="E158" s="13" t="str">
        <f t="shared" si="18"/>
        <v>Medium</v>
      </c>
      <c r="F158" s="54">
        <f>VLOOKUP(B158,'Household Information'!$B$1:$E$48,2,FALSE)</f>
        <v>2.4590017825311943</v>
      </c>
      <c r="G158" s="54">
        <f t="shared" si="0"/>
        <v>135756.88903334242</v>
      </c>
      <c r="H158" s="55">
        <f>IF(D158&gt;Variables!$C$6,H111,H111*(1+Variables!$C$9))</f>
        <v>25.496505999999997</v>
      </c>
      <c r="I158" s="55"/>
      <c r="J158" s="13">
        <f>H158*Variables!$C$21</f>
        <v>458.93710799999997</v>
      </c>
      <c r="K158" s="13">
        <f t="shared" si="12"/>
        <v>458.93710799999997</v>
      </c>
      <c r="L158" s="54">
        <f t="shared" si="1"/>
        <v>0</v>
      </c>
      <c r="M158" s="56"/>
      <c r="N158" s="57"/>
      <c r="O158" s="57"/>
      <c r="P158" s="57"/>
      <c r="Q158" s="57"/>
      <c r="R158" s="57"/>
      <c r="S158" s="58">
        <v>0</v>
      </c>
      <c r="T158" s="59">
        <f>$L158*Variables!$C$22/100</f>
        <v>0</v>
      </c>
      <c r="U158" s="59">
        <f>$L158*Variables!$C$23/100</f>
        <v>0</v>
      </c>
      <c r="V158" s="59">
        <f>$L158*Variables!$C$24/100</f>
        <v>0</v>
      </c>
      <c r="W158" s="59">
        <f>$L158*Variables!$C$25/100</f>
        <v>0</v>
      </c>
      <c r="X158" s="62">
        <f>T158*Variables!$E$26*Variables!$C$18+'Cost Calculations'!U158*Variables!$E$27*Variables!$C$18+'Cost Calculations'!V158*Variables!$E$28*Variables!$C$18+W158*Variables!$E$29*Variables!$C$18</f>
        <v>0</v>
      </c>
      <c r="Y158" s="58">
        <f>J158*Variables!$E$30</f>
        <v>300603.80573999998</v>
      </c>
      <c r="Z158" s="1"/>
      <c r="AA158" s="245">
        <f>D158*(IF(D158&lt;Variables!$C$7,Variables!$C$38,IF(D158&gt;Variables!$C$6,Variables!$C$36,Variables!$C$37)))</f>
        <v>400.59171854865423</v>
      </c>
      <c r="AB158" s="64">
        <f t="shared" si="13"/>
        <v>395</v>
      </c>
      <c r="AC158" s="66">
        <f t="shared" si="2"/>
        <v>6</v>
      </c>
      <c r="AD158" s="62">
        <f>AC158*Variables!$E$41</f>
        <v>3225600</v>
      </c>
      <c r="AE158" s="71">
        <f>ROUND((H158/(3.14*Variables!$C$35^2)),0)</f>
        <v>32</v>
      </c>
      <c r="AF158" s="57">
        <f t="shared" si="14"/>
        <v>32</v>
      </c>
      <c r="AG158" s="57">
        <f t="shared" si="3"/>
        <v>0</v>
      </c>
      <c r="AH158" s="58">
        <f>AG158*Variables!$E$42*Variables!$C$18</f>
        <v>0</v>
      </c>
      <c r="AI158" s="73">
        <f t="shared" si="4"/>
        <v>3</v>
      </c>
      <c r="AJ158" s="66">
        <f t="shared" si="15"/>
        <v>3</v>
      </c>
      <c r="AK158" s="66">
        <f t="shared" si="5"/>
        <v>0</v>
      </c>
      <c r="AL158" s="62">
        <f>IF(AK158*Variables!$E$43*Variables!$C$18&lt;0,0,AK158*Variables!$E$43*Variables!$C$18)</f>
        <v>0</v>
      </c>
      <c r="AM158" s="58">
        <f>AA158*Variables!$E$39*Variables!$C$18</f>
        <v>115791963.45764747</v>
      </c>
      <c r="AN158" s="1"/>
      <c r="AO158" s="76">
        <f t="shared" si="16"/>
        <v>0.67714285714285716</v>
      </c>
      <c r="AP158" s="76">
        <f t="shared" si="6"/>
        <v>99.905729564553084</v>
      </c>
      <c r="AQ158" s="75">
        <f>VLOOKUP(B158,'Household Information'!$B$2:$E$48,4,FALSE)</f>
        <v>65.935833333333335</v>
      </c>
      <c r="AR158" s="79">
        <f>IF(12*(AP158-Variables!$C$45*AQ158*F158)*(G158/5)&lt;0,0,12*(AP158-Variables!$C$45*AQ158*F158)*(G158/5))</f>
        <v>24626933.864815067</v>
      </c>
      <c r="AS158" s="1"/>
      <c r="AT158" s="62">
        <v>0</v>
      </c>
      <c r="AU158" s="1"/>
    </row>
    <row r="159" spans="1:47" ht="14.25" customHeight="1">
      <c r="A159" s="1">
        <v>15</v>
      </c>
      <c r="B159" s="3" t="s">
        <v>207</v>
      </c>
      <c r="C159" s="1">
        <v>2022</v>
      </c>
      <c r="D159" s="13">
        <f>VLOOKUP(B159,Population!$B$1:$O$48,6,FALSE)</f>
        <v>292555.31045782549</v>
      </c>
      <c r="E159" s="13" t="str">
        <f t="shared" si="18"/>
        <v>Medium</v>
      </c>
      <c r="F159" s="54">
        <f>VLOOKUP(B159,'Household Information'!$B$1:$E$48,2,FALSE)</f>
        <v>2.4536973570595619</v>
      </c>
      <c r="G159" s="54">
        <f t="shared" si="0"/>
        <v>119230.39718656057</v>
      </c>
      <c r="H159" s="55">
        <f>IF(D159&gt;Variables!$C$6,H112,H112*(1+Variables!$C$9))</f>
        <v>19.38</v>
      </c>
      <c r="I159" s="55"/>
      <c r="J159" s="13">
        <f>H159*Variables!$C$21</f>
        <v>348.84</v>
      </c>
      <c r="K159" s="13">
        <f t="shared" si="12"/>
        <v>348.84</v>
      </c>
      <c r="L159" s="54">
        <f t="shared" si="1"/>
        <v>0</v>
      </c>
      <c r="M159" s="56"/>
      <c r="N159" s="57"/>
      <c r="O159" s="57"/>
      <c r="P159" s="57"/>
      <c r="Q159" s="57"/>
      <c r="R159" s="57"/>
      <c r="S159" s="58">
        <v>0</v>
      </c>
      <c r="T159" s="59">
        <f>$L159*Variables!$C$22/100</f>
        <v>0</v>
      </c>
      <c r="U159" s="59">
        <f>$L159*Variables!$C$23/100</f>
        <v>0</v>
      </c>
      <c r="V159" s="59">
        <f>$L159*Variables!$C$24/100</f>
        <v>0</v>
      </c>
      <c r="W159" s="59">
        <f>$L159*Variables!$C$25/100</f>
        <v>0</v>
      </c>
      <c r="X159" s="62">
        <f>T159*Variables!$E$26*Variables!$C$18+'Cost Calculations'!U159*Variables!$E$27*Variables!$C$18+'Cost Calculations'!V159*Variables!$E$28*Variables!$C$18+W159*Variables!$E$29*Variables!$C$18</f>
        <v>0</v>
      </c>
      <c r="Y159" s="58">
        <f>J159*Variables!$E$30</f>
        <v>228490.19999999998</v>
      </c>
      <c r="Z159" s="1"/>
      <c r="AA159" s="245">
        <f>D159*(IF(D159&lt;Variables!$C$7,Variables!$C$38,IF(D159&gt;Variables!$C$6,Variables!$C$36,Variables!$C$37)))</f>
        <v>351.06637254939056</v>
      </c>
      <c r="AB159" s="64">
        <f t="shared" si="13"/>
        <v>346</v>
      </c>
      <c r="AC159" s="66">
        <f t="shared" si="2"/>
        <v>5</v>
      </c>
      <c r="AD159" s="62">
        <f>AC159*Variables!$E$41</f>
        <v>2688000</v>
      </c>
      <c r="AE159" s="71">
        <f>ROUND((H159/(3.14*Variables!$C$35^2)),0)</f>
        <v>25</v>
      </c>
      <c r="AF159" s="57">
        <f t="shared" si="14"/>
        <v>25</v>
      </c>
      <c r="AG159" s="57">
        <f t="shared" si="3"/>
        <v>0</v>
      </c>
      <c r="AH159" s="58">
        <f>AG159*Variables!$E$42*Variables!$C$18</f>
        <v>0</v>
      </c>
      <c r="AI159" s="73">
        <f t="shared" si="4"/>
        <v>3</v>
      </c>
      <c r="AJ159" s="66">
        <f t="shared" si="15"/>
        <v>3</v>
      </c>
      <c r="AK159" s="66">
        <f t="shared" si="5"/>
        <v>0</v>
      </c>
      <c r="AL159" s="62">
        <f>IF(AK159*Variables!$E$43*Variables!$C$18&lt;0,0,AK159*Variables!$E$43*Variables!$C$18)</f>
        <v>0</v>
      </c>
      <c r="AM159" s="58">
        <f>AA159*Variables!$E$39*Variables!$C$18</f>
        <v>101476547.56500071</v>
      </c>
      <c r="AN159" s="1"/>
      <c r="AO159" s="76">
        <f t="shared" si="16"/>
        <v>0.67714285714285716</v>
      </c>
      <c r="AP159" s="76">
        <f t="shared" si="6"/>
        <v>99.690218335391336</v>
      </c>
      <c r="AQ159" s="75">
        <f>VLOOKUP(B159,'Household Information'!$B$2:$E$48,4,FALSE)</f>
        <v>65.935833333333335</v>
      </c>
      <c r="AR159" s="79">
        <f>IF(12*(AP159-Variables!$C$45*AQ159*F159)*(G159/5)&lt;0,0,12*(AP159-Variables!$C$45*AQ159*F159)*(G159/5))</f>
        <v>21582294.237778407</v>
      </c>
      <c r="AS159" s="1"/>
      <c r="AT159" s="62">
        <v>0</v>
      </c>
      <c r="AU159" s="1"/>
    </row>
    <row r="160" spans="1:47" ht="14.25" customHeight="1">
      <c r="A160" s="1">
        <v>16</v>
      </c>
      <c r="B160" s="3" t="s">
        <v>208</v>
      </c>
      <c r="C160" s="1">
        <v>2022</v>
      </c>
      <c r="D160" s="13">
        <f>VLOOKUP(B160,Population!$B$1:$O$48,6,FALSE)</f>
        <v>487536.28561604285</v>
      </c>
      <c r="E160" s="13" t="str">
        <f t="shared" si="18"/>
        <v>Medium</v>
      </c>
      <c r="F160" s="54">
        <f>VLOOKUP(B160,'Household Information'!$B$1:$E$48,2,FALSE)</f>
        <v>3.2379076029492619</v>
      </c>
      <c r="G160" s="54">
        <f t="shared" si="0"/>
        <v>150571.40147296616</v>
      </c>
      <c r="H160" s="55">
        <f>IF(D160&gt;Variables!$C$6,H113,H113*(1+Variables!$C$9))</f>
        <v>31.656284999999997</v>
      </c>
      <c r="I160" s="55"/>
      <c r="J160" s="13">
        <f>H160*Variables!$C$21</f>
        <v>569.81313</v>
      </c>
      <c r="K160" s="13">
        <f t="shared" si="12"/>
        <v>582</v>
      </c>
      <c r="L160" s="54">
        <f t="shared" si="1"/>
        <v>0</v>
      </c>
      <c r="M160" s="56"/>
      <c r="N160" s="57"/>
      <c r="O160" s="57"/>
      <c r="P160" s="57"/>
      <c r="Q160" s="57"/>
      <c r="R160" s="57"/>
      <c r="S160" s="58">
        <v>0</v>
      </c>
      <c r="T160" s="59">
        <f>$L160*Variables!$C$22/100</f>
        <v>0</v>
      </c>
      <c r="U160" s="59">
        <f>$L160*Variables!$C$23/100</f>
        <v>0</v>
      </c>
      <c r="V160" s="59">
        <f>$L160*Variables!$C$24/100</f>
        <v>0</v>
      </c>
      <c r="W160" s="59">
        <f>$L160*Variables!$C$25/100</f>
        <v>0</v>
      </c>
      <c r="X160" s="62">
        <f>T160*Variables!$E$26*Variables!$C$18+'Cost Calculations'!U160*Variables!$E$27*Variables!$C$18+'Cost Calculations'!V160*Variables!$E$28*Variables!$C$18+W160*Variables!$E$29*Variables!$C$18</f>
        <v>0</v>
      </c>
      <c r="Y160" s="58">
        <f>J160*Variables!$E$30</f>
        <v>373227.60015000001</v>
      </c>
      <c r="Z160" s="1"/>
      <c r="AA160" s="245">
        <f>D160*(IF(D160&lt;Variables!$C$7,Variables!$C$38,IF(D160&gt;Variables!$C$6,Variables!$C$36,Variables!$C$37)))</f>
        <v>585.04354273925139</v>
      </c>
      <c r="AB160" s="64">
        <f t="shared" si="13"/>
        <v>576</v>
      </c>
      <c r="AC160" s="66">
        <f t="shared" si="2"/>
        <v>9</v>
      </c>
      <c r="AD160" s="62">
        <f>AC160*Variables!$E$41</f>
        <v>4838400</v>
      </c>
      <c r="AE160" s="71">
        <f>ROUND((H160/(3.14*Variables!$C$35^2)),0)</f>
        <v>40</v>
      </c>
      <c r="AF160" s="57">
        <f t="shared" si="14"/>
        <v>40</v>
      </c>
      <c r="AG160" s="57">
        <f t="shared" si="3"/>
        <v>0</v>
      </c>
      <c r="AH160" s="58">
        <f>AG160*Variables!$E$42*Variables!$C$18</f>
        <v>0</v>
      </c>
      <c r="AI160" s="73">
        <f t="shared" si="4"/>
        <v>5</v>
      </c>
      <c r="AJ160" s="66">
        <f t="shared" si="15"/>
        <v>5</v>
      </c>
      <c r="AK160" s="66">
        <f t="shared" si="5"/>
        <v>0</v>
      </c>
      <c r="AL160" s="62">
        <f>IF(AK160*Variables!$E$43*Variables!$C$18&lt;0,0,AK160*Variables!$E$43*Variables!$C$18)</f>
        <v>0</v>
      </c>
      <c r="AM160" s="58">
        <f>AA160*Variables!$E$39*Variables!$C$18</f>
        <v>169108190.17285347</v>
      </c>
      <c r="AN160" s="1"/>
      <c r="AO160" s="76">
        <f t="shared" si="16"/>
        <v>0.67714285714285716</v>
      </c>
      <c r="AP160" s="76">
        <f t="shared" si="6"/>
        <v>131.55156032553859</v>
      </c>
      <c r="AQ160" s="75">
        <f>VLOOKUP(B160,'Household Information'!$B$2:$E$48,4,FALSE)</f>
        <v>65.935833333333335</v>
      </c>
      <c r="AR160" s="79">
        <f>IF(12*(AP160-Variables!$C$45*AQ160*F160)*(G160/5)&lt;0,0,12*(AP160-Variables!$C$45*AQ160*F160)*(G160/5))</f>
        <v>35966366.671972871</v>
      </c>
      <c r="AS160" s="1"/>
      <c r="AT160" s="62">
        <v>0</v>
      </c>
      <c r="AU160" s="1"/>
    </row>
    <row r="161" spans="1:47" ht="14.25" customHeight="1">
      <c r="A161" s="1">
        <v>17</v>
      </c>
      <c r="B161" s="3" t="s">
        <v>209</v>
      </c>
      <c r="C161" s="1">
        <v>2022</v>
      </c>
      <c r="D161" s="13">
        <f>VLOOKUP(B161,Population!$B$1:$O$48,6,FALSE)</f>
        <v>460337.78326772666</v>
      </c>
      <c r="E161" s="13" t="str">
        <f t="shared" si="18"/>
        <v>Medium</v>
      </c>
      <c r="F161" s="54">
        <f>VLOOKUP(B161,'Household Information'!$B$1:$E$48,2,FALSE)</f>
        <v>3.2463324451363733</v>
      </c>
      <c r="G161" s="54">
        <f t="shared" si="0"/>
        <v>141802.41581770242</v>
      </c>
      <c r="H161" s="55">
        <f>IF(D161&gt;Variables!$C$6,H114,H114*(1+Variables!$C$9))</f>
        <v>25.896000000000001</v>
      </c>
      <c r="I161" s="55"/>
      <c r="J161" s="13">
        <f>H161*Variables!$C$21</f>
        <v>466.12800000000004</v>
      </c>
      <c r="K161" s="13">
        <f t="shared" si="12"/>
        <v>961.78647000000012</v>
      </c>
      <c r="L161" s="54">
        <f t="shared" si="1"/>
        <v>0</v>
      </c>
      <c r="M161" s="56"/>
      <c r="N161" s="57"/>
      <c r="O161" s="57"/>
      <c r="P161" s="57"/>
      <c r="Q161" s="57"/>
      <c r="R161" s="57"/>
      <c r="S161" s="58">
        <v>0</v>
      </c>
      <c r="T161" s="59">
        <f>$L161*Variables!$C$22/100</f>
        <v>0</v>
      </c>
      <c r="U161" s="59">
        <f>$L161*Variables!$C$23/100</f>
        <v>0</v>
      </c>
      <c r="V161" s="59">
        <f>$L161*Variables!$C$24/100</f>
        <v>0</v>
      </c>
      <c r="W161" s="59">
        <f>$L161*Variables!$C$25/100</f>
        <v>0</v>
      </c>
      <c r="X161" s="62">
        <f>T161*Variables!$E$26*Variables!$C$18+'Cost Calculations'!U161*Variables!$E$27*Variables!$C$18+'Cost Calculations'!V161*Variables!$E$28*Variables!$C$18+W161*Variables!$E$29*Variables!$C$18</f>
        <v>0</v>
      </c>
      <c r="Y161" s="58">
        <f>J161*Variables!$E$30</f>
        <v>305313.84000000003</v>
      </c>
      <c r="Z161" s="1"/>
      <c r="AA161" s="245">
        <f>D161*(IF(D161&lt;Variables!$C$7,Variables!$C$38,IF(D161&gt;Variables!$C$6,Variables!$C$36,Variables!$C$37)))</f>
        <v>552.40533992127189</v>
      </c>
      <c r="AB161" s="64">
        <f t="shared" si="13"/>
        <v>544</v>
      </c>
      <c r="AC161" s="66">
        <f t="shared" si="2"/>
        <v>8</v>
      </c>
      <c r="AD161" s="62">
        <f>AC161*Variables!$E$41</f>
        <v>4300800</v>
      </c>
      <c r="AE161" s="71">
        <f>ROUND((H161/(3.14*Variables!$C$35^2)),0)</f>
        <v>33</v>
      </c>
      <c r="AF161" s="57">
        <f t="shared" si="14"/>
        <v>33</v>
      </c>
      <c r="AG161" s="57">
        <f t="shared" si="3"/>
        <v>0</v>
      </c>
      <c r="AH161" s="58">
        <f>AG161*Variables!$E$42*Variables!$C$18</f>
        <v>0</v>
      </c>
      <c r="AI161" s="73">
        <f t="shared" si="4"/>
        <v>5</v>
      </c>
      <c r="AJ161" s="66">
        <f t="shared" si="15"/>
        <v>5</v>
      </c>
      <c r="AK161" s="66">
        <f t="shared" si="5"/>
        <v>0</v>
      </c>
      <c r="AL161" s="62">
        <f>IF(AK161*Variables!$E$43*Variables!$C$18&lt;0,0,AK161*Variables!$E$43*Variables!$C$18)</f>
        <v>0</v>
      </c>
      <c r="AM161" s="58">
        <f>AA161*Variables!$E$39*Variables!$C$18</f>
        <v>159674042.10380456</v>
      </c>
      <c r="AN161" s="1"/>
      <c r="AO161" s="76">
        <f t="shared" si="16"/>
        <v>0.67714285714285716</v>
      </c>
      <c r="AP161" s="76">
        <f t="shared" si="6"/>
        <v>131.89384962811206</v>
      </c>
      <c r="AQ161" s="75">
        <f>VLOOKUP(B161,'Household Information'!$B$2:$E$48,4,FALSE)</f>
        <v>47.15</v>
      </c>
      <c r="AR161" s="79">
        <f>IF(12*(AP161-Variables!$C$45*AQ161*F161)*(G161/5)&lt;0,0,12*(AP161-Variables!$C$45*AQ161*F161)*(G161/5))</f>
        <v>37073106.08784496</v>
      </c>
      <c r="AS161" s="1"/>
      <c r="AT161" s="62">
        <v>0</v>
      </c>
      <c r="AU161" s="1"/>
    </row>
    <row r="162" spans="1:47" ht="14.25" customHeight="1">
      <c r="A162" s="1">
        <v>18</v>
      </c>
      <c r="B162" s="3" t="s">
        <v>210</v>
      </c>
      <c r="C162" s="1">
        <v>2022</v>
      </c>
      <c r="D162" s="13">
        <f>VLOOKUP(B162,Population!$B$1:$O$48,6,FALSE)</f>
        <v>291473.78099973861</v>
      </c>
      <c r="E162" s="13" t="str">
        <f t="shared" si="18"/>
        <v>Medium</v>
      </c>
      <c r="F162" s="54">
        <f>VLOOKUP(B162,'Household Information'!$B$1:$E$48,2,FALSE)</f>
        <v>3.2199371541131225</v>
      </c>
      <c r="G162" s="54">
        <f t="shared" si="0"/>
        <v>90521.574505704964</v>
      </c>
      <c r="H162" s="55">
        <f>IF(D162&gt;Variables!$C$6,H115,H115*(1+Variables!$C$9))</f>
        <v>16.261485999999998</v>
      </c>
      <c r="I162" s="55"/>
      <c r="J162" s="13">
        <f>H162*Variables!$C$21</f>
        <v>292.70674799999995</v>
      </c>
      <c r="K162" s="13">
        <f t="shared" si="12"/>
        <v>512</v>
      </c>
      <c r="L162" s="54">
        <f t="shared" si="1"/>
        <v>0</v>
      </c>
      <c r="M162" s="56"/>
      <c r="N162" s="57"/>
      <c r="O162" s="57"/>
      <c r="P162" s="57"/>
      <c r="Q162" s="57"/>
      <c r="R162" s="57"/>
      <c r="S162" s="58">
        <v>0</v>
      </c>
      <c r="T162" s="59">
        <f>$L162*Variables!$C$22/100</f>
        <v>0</v>
      </c>
      <c r="U162" s="59">
        <f>$L162*Variables!$C$23/100</f>
        <v>0</v>
      </c>
      <c r="V162" s="59">
        <f>$L162*Variables!$C$24/100</f>
        <v>0</v>
      </c>
      <c r="W162" s="59">
        <f>$L162*Variables!$C$25/100</f>
        <v>0</v>
      </c>
      <c r="X162" s="62">
        <f>T162*Variables!$E$26*Variables!$C$18+'Cost Calculations'!U162*Variables!$E$27*Variables!$C$18+'Cost Calculations'!V162*Variables!$E$28*Variables!$C$18+W162*Variables!$E$29*Variables!$C$18</f>
        <v>0</v>
      </c>
      <c r="Y162" s="58">
        <f>J162*Variables!$E$30</f>
        <v>191722.91993999996</v>
      </c>
      <c r="Z162" s="1"/>
      <c r="AA162" s="245">
        <f>D162*(IF(D162&lt;Variables!$C$7,Variables!$C$38,IF(D162&gt;Variables!$C$6,Variables!$C$36,Variables!$C$37)))</f>
        <v>349.76853719968631</v>
      </c>
      <c r="AB162" s="64">
        <f t="shared" si="13"/>
        <v>345</v>
      </c>
      <c r="AC162" s="66">
        <f t="shared" si="2"/>
        <v>5</v>
      </c>
      <c r="AD162" s="62">
        <f>AC162*Variables!$E$41</f>
        <v>2688000</v>
      </c>
      <c r="AE162" s="71">
        <f>ROUND((H162/(3.14*Variables!$C$35^2)),0)</f>
        <v>21</v>
      </c>
      <c r="AF162" s="57">
        <f t="shared" si="14"/>
        <v>21</v>
      </c>
      <c r="AG162" s="57">
        <f t="shared" si="3"/>
        <v>0</v>
      </c>
      <c r="AH162" s="58">
        <f>AG162*Variables!$E$42*Variables!$C$18</f>
        <v>0</v>
      </c>
      <c r="AI162" s="73">
        <f t="shared" si="4"/>
        <v>3</v>
      </c>
      <c r="AJ162" s="66">
        <f t="shared" si="15"/>
        <v>3</v>
      </c>
      <c r="AK162" s="66">
        <f t="shared" si="5"/>
        <v>0</v>
      </c>
      <c r="AL162" s="62">
        <f>IF(AK162*Variables!$E$43*Variables!$C$18&lt;0,0,AK162*Variables!$E$43*Variables!$C$18)</f>
        <v>0</v>
      </c>
      <c r="AM162" s="58">
        <f>AA162*Variables!$E$39*Variables!$C$18</f>
        <v>101101405.25319391</v>
      </c>
      <c r="AN162" s="1"/>
      <c r="AO162" s="76">
        <f t="shared" si="16"/>
        <v>0.67714285714285716</v>
      </c>
      <c r="AP162" s="76">
        <f t="shared" si="6"/>
        <v>130.82144666139601</v>
      </c>
      <c r="AQ162" s="75">
        <f>VLOOKUP(B162,'Household Information'!$B$2:$E$48,4,FALSE)</f>
        <v>65.935833333333335</v>
      </c>
      <c r="AR162" s="79">
        <f>IF(12*(AP162-Variables!$C$45*AQ162*F162)*(G162/5)&lt;0,0,12*(AP162-Variables!$C$45*AQ162*F162)*(G162/5))</f>
        <v>21502508.001956102</v>
      </c>
      <c r="AS162" s="1"/>
      <c r="AT162" s="62">
        <v>0</v>
      </c>
      <c r="AU162" s="1"/>
    </row>
    <row r="163" spans="1:47" ht="14.25" customHeight="1">
      <c r="A163" s="1">
        <v>19</v>
      </c>
      <c r="B163" s="3" t="s">
        <v>211</v>
      </c>
      <c r="C163" s="1">
        <v>2022</v>
      </c>
      <c r="D163" s="13">
        <f>VLOOKUP(B163,Population!$B$1:$O$48,6,FALSE)</f>
        <v>294284.27168179362</v>
      </c>
      <c r="E163" s="13" t="str">
        <f t="shared" si="18"/>
        <v>Medium</v>
      </c>
      <c r="F163" s="54">
        <f>VLOOKUP(B163,'Household Information'!$B$1:$E$48,2,FALSE)</f>
        <v>2.5344143617118515</v>
      </c>
      <c r="G163" s="54">
        <f t="shared" si="0"/>
        <v>116115.2951654762</v>
      </c>
      <c r="H163" s="55">
        <f>IF(D163&gt;Variables!$C$6,H116,H116*(1+Variables!$C$9))</f>
        <v>33.110705594037988</v>
      </c>
      <c r="I163" s="55"/>
      <c r="J163" s="13">
        <f>H163*Variables!$C$21</f>
        <v>595.9927006926838</v>
      </c>
      <c r="K163" s="13">
        <f t="shared" si="12"/>
        <v>595.9927006926838</v>
      </c>
      <c r="L163" s="54">
        <f t="shared" si="1"/>
        <v>0</v>
      </c>
      <c r="M163" s="56"/>
      <c r="N163" s="57"/>
      <c r="O163" s="57"/>
      <c r="P163" s="57"/>
      <c r="Q163" s="57"/>
      <c r="R163" s="57"/>
      <c r="S163" s="58">
        <v>0</v>
      </c>
      <c r="T163" s="59">
        <f>$L163*Variables!$C$22/100</f>
        <v>0</v>
      </c>
      <c r="U163" s="59">
        <f>$L163*Variables!$C$23/100</f>
        <v>0</v>
      </c>
      <c r="V163" s="59">
        <f>$L163*Variables!$C$24/100</f>
        <v>0</v>
      </c>
      <c r="W163" s="59">
        <f>$L163*Variables!$C$25/100</f>
        <v>0</v>
      </c>
      <c r="X163" s="62">
        <f>T163*Variables!$E$26*Variables!$C$18+'Cost Calculations'!U163*Variables!$E$27*Variables!$C$18+'Cost Calculations'!V163*Variables!$E$28*Variables!$C$18+W163*Variables!$E$29*Variables!$C$18</f>
        <v>0</v>
      </c>
      <c r="Y163" s="58">
        <f>J163*Variables!$E$30</f>
        <v>390375.2189537079</v>
      </c>
      <c r="Z163" s="1"/>
      <c r="AA163" s="245">
        <f>D163*(IF(D163&lt;Variables!$C$7,Variables!$C$38,IF(D163&gt;Variables!$C$6,Variables!$C$36,Variables!$C$37)))</f>
        <v>353.14112601815231</v>
      </c>
      <c r="AB163" s="64">
        <f t="shared" si="13"/>
        <v>348</v>
      </c>
      <c r="AC163" s="66">
        <f t="shared" si="2"/>
        <v>5</v>
      </c>
      <c r="AD163" s="62">
        <f>AC163*Variables!$E$41</f>
        <v>2688000</v>
      </c>
      <c r="AE163" s="71">
        <f>ROUND((H163/(3.14*Variables!$C$35^2)),0)</f>
        <v>42</v>
      </c>
      <c r="AF163" s="57">
        <f t="shared" si="14"/>
        <v>42</v>
      </c>
      <c r="AG163" s="57">
        <f t="shared" si="3"/>
        <v>0</v>
      </c>
      <c r="AH163" s="58">
        <f>AG163*Variables!$E$42*Variables!$C$18</f>
        <v>0</v>
      </c>
      <c r="AI163" s="73">
        <f t="shared" si="4"/>
        <v>3</v>
      </c>
      <c r="AJ163" s="66">
        <f t="shared" si="15"/>
        <v>3</v>
      </c>
      <c r="AK163" s="66">
        <f t="shared" si="5"/>
        <v>0</v>
      </c>
      <c r="AL163" s="62">
        <f>IF(AK163*Variables!$E$43*Variables!$C$18&lt;0,0,AK163*Variables!$E$43*Variables!$C$18)</f>
        <v>0</v>
      </c>
      <c r="AM163" s="58">
        <f>AA163*Variables!$E$39*Variables!$C$18</f>
        <v>102076259.85737878</v>
      </c>
      <c r="AN163" s="1"/>
      <c r="AO163" s="76">
        <f t="shared" si="16"/>
        <v>0.67714285714285716</v>
      </c>
      <c r="AP163" s="76">
        <f t="shared" si="6"/>
        <v>102.96963492440722</v>
      </c>
      <c r="AQ163" s="75">
        <f>VLOOKUP(B163,'Household Information'!$B$2:$E$48,4,FALSE)</f>
        <v>65.935833333333335</v>
      </c>
      <c r="AR163" s="79">
        <f>IF(12*(AP163-Variables!$C$45*AQ163*F163)*(G163/5)&lt;0,0,12*(AP163-Variables!$C$45*AQ163*F163)*(G163/5))</f>
        <v>21709842.597105727</v>
      </c>
      <c r="AS163" s="1"/>
      <c r="AT163" s="62">
        <v>0</v>
      </c>
      <c r="AU163" s="1"/>
    </row>
    <row r="164" spans="1:47" ht="14.25" customHeight="1">
      <c r="A164" s="1">
        <v>20</v>
      </c>
      <c r="B164" s="3" t="s">
        <v>212</v>
      </c>
      <c r="C164" s="1">
        <v>2022</v>
      </c>
      <c r="D164" s="13">
        <f>VLOOKUP(B164,Population!$B$1:$O$48,6,FALSE)</f>
        <v>178299.52423304427</v>
      </c>
      <c r="E164" s="13" t="str">
        <f t="shared" si="18"/>
        <v>Medium</v>
      </c>
      <c r="F164" s="54">
        <f>VLOOKUP(B164,'Household Information'!$B$1:$E$48,2,FALSE)</f>
        <v>2.6024941905499612</v>
      </c>
      <c r="G164" s="54">
        <f t="shared" si="0"/>
        <v>68511.017192843705</v>
      </c>
      <c r="H164" s="55">
        <f>IF(D164&gt;Variables!$C$6,H117,H117*(1+Variables!$C$9))</f>
        <v>15</v>
      </c>
      <c r="I164" s="55"/>
      <c r="J164" s="13">
        <f>H164*Variables!$C$21</f>
        <v>270</v>
      </c>
      <c r="K164" s="13">
        <f t="shared" si="12"/>
        <v>270</v>
      </c>
      <c r="L164" s="54">
        <f t="shared" si="1"/>
        <v>0</v>
      </c>
      <c r="M164" s="56"/>
      <c r="N164" s="57"/>
      <c r="O164" s="57"/>
      <c r="P164" s="57"/>
      <c r="Q164" s="57"/>
      <c r="R164" s="57"/>
      <c r="S164" s="58">
        <v>0</v>
      </c>
      <c r="T164" s="59">
        <f>$L164*Variables!$C$22/100</f>
        <v>0</v>
      </c>
      <c r="U164" s="59">
        <f>$L164*Variables!$C$23/100</f>
        <v>0</v>
      </c>
      <c r="V164" s="59">
        <f>$L164*Variables!$C$24/100</f>
        <v>0</v>
      </c>
      <c r="W164" s="59">
        <f>$L164*Variables!$C$25/100</f>
        <v>0</v>
      </c>
      <c r="X164" s="62">
        <f>T164*Variables!$E$26*Variables!$C$18+'Cost Calculations'!U164*Variables!$E$27*Variables!$C$18+'Cost Calculations'!V164*Variables!$E$28*Variables!$C$18+W164*Variables!$E$29*Variables!$C$18</f>
        <v>0</v>
      </c>
      <c r="Y164" s="58">
        <f>J164*Variables!$E$30</f>
        <v>176850</v>
      </c>
      <c r="Z164" s="1"/>
      <c r="AA164" s="245">
        <f>D164*(IF(D164&lt;Variables!$C$7,Variables!$C$38,IF(D164&gt;Variables!$C$6,Variables!$C$36,Variables!$C$37)))</f>
        <v>213.95942907965312</v>
      </c>
      <c r="AB164" s="64">
        <f t="shared" si="13"/>
        <v>211</v>
      </c>
      <c r="AC164" s="66">
        <f t="shared" si="2"/>
        <v>3</v>
      </c>
      <c r="AD164" s="62">
        <f>AC164*Variables!$E$41</f>
        <v>1612800</v>
      </c>
      <c r="AE164" s="71">
        <f>ROUND((H164/(3.14*Variables!$C$35^2)),0)</f>
        <v>19</v>
      </c>
      <c r="AF164" s="57">
        <f t="shared" si="14"/>
        <v>19</v>
      </c>
      <c r="AG164" s="57">
        <f t="shared" si="3"/>
        <v>0</v>
      </c>
      <c r="AH164" s="58">
        <f>AG164*Variables!$E$42*Variables!$C$18</f>
        <v>0</v>
      </c>
      <c r="AI164" s="73">
        <f t="shared" si="4"/>
        <v>2</v>
      </c>
      <c r="AJ164" s="66">
        <f t="shared" si="15"/>
        <v>2</v>
      </c>
      <c r="AK164" s="66">
        <f t="shared" si="5"/>
        <v>0</v>
      </c>
      <c r="AL164" s="62">
        <f>IF(AK164*Variables!$E$43*Variables!$C$18&lt;0,0,AK164*Variables!$E$43*Variables!$C$18)</f>
        <v>0</v>
      </c>
      <c r="AM164" s="58">
        <f>AA164*Variables!$E$39*Variables!$C$18</f>
        <v>61845468.206805348</v>
      </c>
      <c r="AN164" s="1"/>
      <c r="AO164" s="76">
        <f t="shared" si="16"/>
        <v>0.67714285714285716</v>
      </c>
      <c r="AP164" s="76">
        <f t="shared" si="6"/>
        <v>105.73562111320128</v>
      </c>
      <c r="AQ164" s="75">
        <f>VLOOKUP(B164,'Household Information'!$B$2:$E$48,4,FALSE)</f>
        <v>65.935833333333335</v>
      </c>
      <c r="AR164" s="79">
        <f>IF(12*(AP164-Variables!$C$45*AQ164*F164)*(G164/5)&lt;0,0,12*(AP164-Variables!$C$45*AQ164*F164)*(G164/5))</f>
        <v>13153453.917590747</v>
      </c>
      <c r="AS164" s="1"/>
      <c r="AT164" s="62">
        <v>0</v>
      </c>
      <c r="AU164" s="1"/>
    </row>
    <row r="165" spans="1:47" ht="14.25" customHeight="1">
      <c r="A165" s="1">
        <v>21</v>
      </c>
      <c r="B165" s="3" t="s">
        <v>213</v>
      </c>
      <c r="C165" s="1">
        <v>2022</v>
      </c>
      <c r="D165" s="13">
        <f>VLOOKUP(B165,Population!$B$1:$O$48,6,FALSE)</f>
        <v>188469.50977513302</v>
      </c>
      <c r="E165" s="13" t="str">
        <f t="shared" si="18"/>
        <v>Medium</v>
      </c>
      <c r="F165" s="54">
        <f>VLOOKUP(B165,'Household Information'!$B$1:$E$48,2,FALSE)</f>
        <v>3.3084232295567606</v>
      </c>
      <c r="G165" s="54">
        <f t="shared" si="0"/>
        <v>56966.565852695589</v>
      </c>
      <c r="H165" s="55">
        <f>IF(D165&gt;Variables!$C$6,H118,H118*(1+Variables!$C$9))</f>
        <v>35.084811999999992</v>
      </c>
      <c r="I165" s="55"/>
      <c r="J165" s="13">
        <f>H165*Variables!$C$21</f>
        <v>631.52661599999988</v>
      </c>
      <c r="K165" s="13">
        <f t="shared" si="12"/>
        <v>631.52661599999988</v>
      </c>
      <c r="L165" s="54">
        <f t="shared" si="1"/>
        <v>0</v>
      </c>
      <c r="M165" s="56"/>
      <c r="N165" s="57"/>
      <c r="O165" s="57"/>
      <c r="P165" s="57"/>
      <c r="Q165" s="57"/>
      <c r="R165" s="57"/>
      <c r="S165" s="58">
        <v>0</v>
      </c>
      <c r="T165" s="59">
        <f>$L165*Variables!$C$22/100</f>
        <v>0</v>
      </c>
      <c r="U165" s="59">
        <f>$L165*Variables!$C$23/100</f>
        <v>0</v>
      </c>
      <c r="V165" s="59">
        <f>$L165*Variables!$C$24/100</f>
        <v>0</v>
      </c>
      <c r="W165" s="59">
        <f>$L165*Variables!$C$25/100</f>
        <v>0</v>
      </c>
      <c r="X165" s="62">
        <f>T165*Variables!$E$26*Variables!$C$18+'Cost Calculations'!U165*Variables!$E$27*Variables!$C$18+'Cost Calculations'!V165*Variables!$E$28*Variables!$C$18+W165*Variables!$E$29*Variables!$C$18</f>
        <v>0</v>
      </c>
      <c r="Y165" s="58">
        <f>J165*Variables!$E$30</f>
        <v>413649.93347999989</v>
      </c>
      <c r="Z165" s="1"/>
      <c r="AA165" s="245">
        <f>D165*(IF(D165&lt;Variables!$C$7,Variables!$C$38,IF(D165&gt;Variables!$C$6,Variables!$C$36,Variables!$C$37)))</f>
        <v>226.16341173015959</v>
      </c>
      <c r="AB165" s="64">
        <f t="shared" si="13"/>
        <v>223</v>
      </c>
      <c r="AC165" s="66">
        <f t="shared" si="2"/>
        <v>3</v>
      </c>
      <c r="AD165" s="62">
        <f>AC165*Variables!$E$41</f>
        <v>1612800</v>
      </c>
      <c r="AE165" s="71">
        <f>ROUND((H165/(3.14*Variables!$C$35^2)),0)</f>
        <v>45</v>
      </c>
      <c r="AF165" s="57">
        <f t="shared" si="14"/>
        <v>45</v>
      </c>
      <c r="AG165" s="57">
        <f t="shared" si="3"/>
        <v>0</v>
      </c>
      <c r="AH165" s="58">
        <f>AG165*Variables!$E$42*Variables!$C$18</f>
        <v>0</v>
      </c>
      <c r="AI165" s="73">
        <f t="shared" si="4"/>
        <v>2</v>
      </c>
      <c r="AJ165" s="66">
        <f t="shared" si="15"/>
        <v>2</v>
      </c>
      <c r="AK165" s="66">
        <f t="shared" si="5"/>
        <v>0</v>
      </c>
      <c r="AL165" s="62">
        <f>IF(AK165*Variables!$E$43*Variables!$C$18&lt;0,0,AK165*Variables!$E$43*Variables!$C$18)</f>
        <v>0</v>
      </c>
      <c r="AM165" s="58">
        <f>AA165*Variables!$E$39*Variables!$C$18</f>
        <v>65373057.639320225</v>
      </c>
      <c r="AN165" s="1"/>
      <c r="AO165" s="76">
        <f t="shared" si="16"/>
        <v>0.67714285714285716</v>
      </c>
      <c r="AP165" s="76">
        <f t="shared" si="6"/>
        <v>134.4165094979918</v>
      </c>
      <c r="AQ165" s="75">
        <f>VLOOKUP(B165,'Household Information'!$B$2:$E$48,4,FALSE)</f>
        <v>65.935833333333335</v>
      </c>
      <c r="AR165" s="79">
        <f>IF(12*(AP165-Variables!$C$45*AQ165*F165)*(G165/5)&lt;0,0,12*(AP165-Variables!$C$45*AQ165*F165)*(G165/5))</f>
        <v>13903710.749435039</v>
      </c>
      <c r="AS165" s="1"/>
      <c r="AT165" s="62">
        <v>0</v>
      </c>
      <c r="AU165" s="1"/>
    </row>
    <row r="166" spans="1:47" ht="14.25" customHeight="1">
      <c r="A166" s="1">
        <v>22</v>
      </c>
      <c r="B166" s="3" t="s">
        <v>214</v>
      </c>
      <c r="C166" s="1">
        <v>2022</v>
      </c>
      <c r="D166" s="13">
        <f>VLOOKUP(B166,Population!$B$1:$O$48,6,FALSE)</f>
        <v>166410.12973894304</v>
      </c>
      <c r="E166" s="13" t="str">
        <f t="shared" si="18"/>
        <v>Medium</v>
      </c>
      <c r="F166" s="54">
        <f>VLOOKUP(B166,'Household Information'!$B$1:$E$48,2,FALSE)</f>
        <v>2.4748082204754236</v>
      </c>
      <c r="G166" s="54">
        <f t="shared" si="0"/>
        <v>67241.626386296222</v>
      </c>
      <c r="H166" s="55">
        <f>IF(D166&gt;Variables!$C$6,H119,H119*(1+Variables!$C$9))</f>
        <v>31.3</v>
      </c>
      <c r="I166" s="55"/>
      <c r="J166" s="13">
        <f>H166*Variables!$C$21</f>
        <v>563.4</v>
      </c>
      <c r="K166" s="13">
        <f t="shared" si="12"/>
        <v>563.4</v>
      </c>
      <c r="L166" s="54">
        <f t="shared" si="1"/>
        <v>0</v>
      </c>
      <c r="M166" s="56"/>
      <c r="N166" s="57"/>
      <c r="O166" s="57"/>
      <c r="P166" s="57"/>
      <c r="Q166" s="57"/>
      <c r="R166" s="57"/>
      <c r="S166" s="58">
        <v>0</v>
      </c>
      <c r="T166" s="59">
        <f>$L166*Variables!$C$22/100</f>
        <v>0</v>
      </c>
      <c r="U166" s="59">
        <f>$L166*Variables!$C$23/100</f>
        <v>0</v>
      </c>
      <c r="V166" s="59">
        <f>$L166*Variables!$C$24/100</f>
        <v>0</v>
      </c>
      <c r="W166" s="59">
        <f>$L166*Variables!$C$25/100</f>
        <v>0</v>
      </c>
      <c r="X166" s="62">
        <f>T166*Variables!$E$26*Variables!$C$18+'Cost Calculations'!U166*Variables!$E$27*Variables!$C$18+'Cost Calculations'!V166*Variables!$E$28*Variables!$C$18+W166*Variables!$E$29*Variables!$C$18</f>
        <v>0</v>
      </c>
      <c r="Y166" s="58">
        <f>J166*Variables!$E$30</f>
        <v>369027</v>
      </c>
      <c r="Z166" s="1"/>
      <c r="AA166" s="245">
        <f>D166*(IF(D166&lt;Variables!$C$7,Variables!$C$38,IF(D166&gt;Variables!$C$6,Variables!$C$36,Variables!$C$37)))</f>
        <v>199.69215568673164</v>
      </c>
      <c r="AB166" s="64">
        <f t="shared" si="13"/>
        <v>197</v>
      </c>
      <c r="AC166" s="66">
        <f t="shared" si="2"/>
        <v>3</v>
      </c>
      <c r="AD166" s="62">
        <f>AC166*Variables!$E$41</f>
        <v>1612800</v>
      </c>
      <c r="AE166" s="71">
        <f>ROUND((H166/(3.14*Variables!$C$35^2)),0)</f>
        <v>40</v>
      </c>
      <c r="AF166" s="57">
        <f t="shared" si="14"/>
        <v>40</v>
      </c>
      <c r="AG166" s="57">
        <f t="shared" si="3"/>
        <v>0</v>
      </c>
      <c r="AH166" s="58">
        <f>AG166*Variables!$E$42*Variables!$C$18</f>
        <v>0</v>
      </c>
      <c r="AI166" s="73">
        <f t="shared" si="4"/>
        <v>2</v>
      </c>
      <c r="AJ166" s="66">
        <f t="shared" si="15"/>
        <v>2</v>
      </c>
      <c r="AK166" s="66">
        <f t="shared" si="5"/>
        <v>0</v>
      </c>
      <c r="AL166" s="62">
        <f>IF(AK166*Variables!$E$43*Variables!$C$18&lt;0,0,AK166*Variables!$E$43*Variables!$C$18)</f>
        <v>0</v>
      </c>
      <c r="AM166" s="58">
        <f>AA166*Variables!$E$39*Variables!$C$18</f>
        <v>57721479.809494577</v>
      </c>
      <c r="AN166" s="1"/>
      <c r="AO166" s="76">
        <f t="shared" si="16"/>
        <v>0.67714285714285716</v>
      </c>
      <c r="AP166" s="76">
        <f t="shared" si="6"/>
        <v>100.5479225576015</v>
      </c>
      <c r="AQ166" s="75">
        <f>VLOOKUP(B166,'Household Information'!$B$2:$E$48,4,FALSE)</f>
        <v>65.935833333333335</v>
      </c>
      <c r="AR166" s="79">
        <f>IF(12*(AP166-Variables!$C$45*AQ166*F166)*(G166/5)&lt;0,0,12*(AP166-Variables!$C$45*AQ166*F166)*(G166/5))</f>
        <v>12276353.413487246</v>
      </c>
      <c r="AS166" s="1"/>
      <c r="AT166" s="62">
        <v>0</v>
      </c>
      <c r="AU166" s="1"/>
    </row>
    <row r="167" spans="1:47" ht="14.25" customHeight="1">
      <c r="A167" s="1">
        <v>23</v>
      </c>
      <c r="B167" s="3" t="s">
        <v>215</v>
      </c>
      <c r="C167" s="1">
        <v>2022</v>
      </c>
      <c r="D167" s="13">
        <f>VLOOKUP(B167,Population!$B$1:$O$48,6,FALSE)</f>
        <v>128084.29192587431</v>
      </c>
      <c r="E167" s="13" t="str">
        <f t="shared" si="18"/>
        <v>Medium</v>
      </c>
      <c r="F167" s="54">
        <f>VLOOKUP(B167,'Household Information'!$B$1:$E$48,2,FALSE)</f>
        <v>2.7568018275271275</v>
      </c>
      <c r="G167" s="54">
        <f t="shared" si="0"/>
        <v>46461.189428609345</v>
      </c>
      <c r="H167" s="55">
        <f>IF(D167&gt;Variables!$C$6,H120,H120*(1+Variables!$C$9))</f>
        <v>14.881089649499996</v>
      </c>
      <c r="I167" s="55"/>
      <c r="J167" s="13">
        <f>H167*Variables!$C$21</f>
        <v>267.85961369099994</v>
      </c>
      <c r="K167" s="13">
        <f t="shared" si="12"/>
        <v>267.85961369099994</v>
      </c>
      <c r="L167" s="54">
        <f t="shared" si="1"/>
        <v>0</v>
      </c>
      <c r="M167" s="56"/>
      <c r="N167" s="57"/>
      <c r="O167" s="57"/>
      <c r="P167" s="57"/>
      <c r="Q167" s="57"/>
      <c r="R167" s="57"/>
      <c r="S167" s="58">
        <v>0</v>
      </c>
      <c r="T167" s="59">
        <f>$L167*Variables!$C$22/100</f>
        <v>0</v>
      </c>
      <c r="U167" s="59">
        <f>$L167*Variables!$C$23/100</f>
        <v>0</v>
      </c>
      <c r="V167" s="59">
        <f>$L167*Variables!$C$24/100</f>
        <v>0</v>
      </c>
      <c r="W167" s="59">
        <f>$L167*Variables!$C$25/100</f>
        <v>0</v>
      </c>
      <c r="X167" s="62">
        <f>T167*Variables!$E$26*Variables!$C$18+'Cost Calculations'!U167*Variables!$E$27*Variables!$C$18+'Cost Calculations'!V167*Variables!$E$28*Variables!$C$18+W167*Variables!$E$29*Variables!$C$18</f>
        <v>0</v>
      </c>
      <c r="Y167" s="58">
        <f>J167*Variables!$E$30</f>
        <v>175448.04696760495</v>
      </c>
      <c r="Z167" s="1"/>
      <c r="AA167" s="245">
        <f>D167*(IF(D167&lt;Variables!$C$7,Variables!$C$38,IF(D167&gt;Variables!$C$6,Variables!$C$36,Variables!$C$37)))</f>
        <v>153.70115031104916</v>
      </c>
      <c r="AB167" s="64">
        <f t="shared" si="13"/>
        <v>151</v>
      </c>
      <c r="AC167" s="66">
        <f t="shared" si="2"/>
        <v>3</v>
      </c>
      <c r="AD167" s="62">
        <f>AC167*Variables!$E$41</f>
        <v>1612800</v>
      </c>
      <c r="AE167" s="71">
        <f>ROUND((H167/(3.14*Variables!$C$35^2)),0)</f>
        <v>19</v>
      </c>
      <c r="AF167" s="57">
        <f t="shared" si="14"/>
        <v>19</v>
      </c>
      <c r="AG167" s="57">
        <f t="shared" si="3"/>
        <v>0</v>
      </c>
      <c r="AH167" s="58">
        <f>AG167*Variables!$E$42*Variables!$C$18</f>
        <v>0</v>
      </c>
      <c r="AI167" s="73">
        <f t="shared" si="4"/>
        <v>1</v>
      </c>
      <c r="AJ167" s="66">
        <f t="shared" si="15"/>
        <v>1</v>
      </c>
      <c r="AK167" s="66">
        <f t="shared" si="5"/>
        <v>0</v>
      </c>
      <c r="AL167" s="62">
        <f>IF(AK167*Variables!$E$43*Variables!$C$18&lt;0,0,AK167*Variables!$E$43*Variables!$C$18)</f>
        <v>0</v>
      </c>
      <c r="AM167" s="58">
        <f>AA167*Variables!$E$39*Variables!$C$18</f>
        <v>44427673.254692592</v>
      </c>
      <c r="AN167" s="1"/>
      <c r="AO167" s="76">
        <f t="shared" si="16"/>
        <v>0.67714285714285716</v>
      </c>
      <c r="AP167" s="76">
        <f t="shared" si="6"/>
        <v>112.00491996410214</v>
      </c>
      <c r="AQ167" s="75">
        <f>VLOOKUP(B167,'Household Information'!$B$2:$E$48,4,FALSE)</f>
        <v>65.935833333333335</v>
      </c>
      <c r="AR167" s="79">
        <f>IF(12*(AP167-Variables!$C$45*AQ167*F167)*(G167/5)&lt;0,0,12*(AP167-Variables!$C$45*AQ167*F167)*(G167/5))</f>
        <v>9448992.299116822</v>
      </c>
      <c r="AS167" s="1"/>
      <c r="AT167" s="62">
        <v>0</v>
      </c>
      <c r="AU167" s="1"/>
    </row>
    <row r="168" spans="1:47" ht="14.25" customHeight="1">
      <c r="A168" s="1">
        <v>24</v>
      </c>
      <c r="B168" s="3" t="s">
        <v>216</v>
      </c>
      <c r="C168" s="1">
        <v>2022</v>
      </c>
      <c r="D168" s="13">
        <f>VLOOKUP(B168,Population!$B$1:$O$48,6,FALSE)</f>
        <v>80382.368506584331</v>
      </c>
      <c r="E168" s="13" t="str">
        <f t="shared" si="18"/>
        <v>Small</v>
      </c>
      <c r="F168" s="54">
        <f>VLOOKUP(B168,'Household Information'!$B$1:$E$48,2,FALSE)</f>
        <v>2.845682723378673</v>
      </c>
      <c r="G168" s="54">
        <f t="shared" si="0"/>
        <v>28247.129536333734</v>
      </c>
      <c r="H168" s="55">
        <f>IF(D168&gt;Variables!$C$6,H121,H121*(1+Variables!$C$9))</f>
        <v>9.368203307524146</v>
      </c>
      <c r="I168" s="55"/>
      <c r="J168" s="13">
        <f>H168*Variables!$C$21</f>
        <v>168.62765953543462</v>
      </c>
      <c r="K168" s="13">
        <f t="shared" si="12"/>
        <v>163.24071591039171</v>
      </c>
      <c r="L168" s="54">
        <f t="shared" si="1"/>
        <v>5.3869436250429032</v>
      </c>
      <c r="M168" s="56"/>
      <c r="N168" s="57"/>
      <c r="O168" s="57"/>
      <c r="P168" s="57"/>
      <c r="Q168" s="57"/>
      <c r="R168" s="57"/>
      <c r="S168" s="58">
        <v>0</v>
      </c>
      <c r="T168" s="59">
        <f>$L168*Variables!$C$22/100</f>
        <v>0.29250372624667348</v>
      </c>
      <c r="U168" s="59">
        <f>$L168*Variables!$C$23/100</f>
        <v>0.5118815209316786</v>
      </c>
      <c r="V168" s="59">
        <f>$L168*Variables!$C$24/100</f>
        <v>0.53625683145223468</v>
      </c>
      <c r="W168" s="59">
        <f>$L168*Variables!$C$25/100</f>
        <v>3.9000496832889797</v>
      </c>
      <c r="X168" s="62">
        <f>T168*Variables!$E$26*Variables!$C$18+'Cost Calculations'!U168*Variables!$E$27*Variables!$C$18+'Cost Calculations'!V168*Variables!$E$28*Variables!$C$18+W168*Variables!$E$29*Variables!$C$18</f>
        <v>6123489.5311312173</v>
      </c>
      <c r="Y168" s="58">
        <f>J168*Variables!$E$30</f>
        <v>110451.11699570967</v>
      </c>
      <c r="Z168" s="1"/>
      <c r="AA168" s="245">
        <f>D168*(IF(D168&lt;Variables!$C$7,Variables!$C$38,IF(D168&gt;Variables!$C$6,Variables!$C$36,Variables!$C$37)))</f>
        <v>64.305894805267471</v>
      </c>
      <c r="AB168" s="64">
        <f t="shared" si="13"/>
        <v>63</v>
      </c>
      <c r="AC168" s="66">
        <f t="shared" si="2"/>
        <v>1</v>
      </c>
      <c r="AD168" s="62">
        <f>AC168*Variables!$E$41</f>
        <v>537600</v>
      </c>
      <c r="AE168" s="71">
        <f>ROUND((H168/(3.14*Variables!$C$35^2)),0)</f>
        <v>12</v>
      </c>
      <c r="AF168" s="57">
        <f t="shared" si="14"/>
        <v>12</v>
      </c>
      <c r="AG168" s="57">
        <f t="shared" si="3"/>
        <v>0</v>
      </c>
      <c r="AH168" s="58">
        <f>AG168*Variables!$E$42*Variables!$C$18</f>
        <v>0</v>
      </c>
      <c r="AI168" s="73">
        <f t="shared" si="4"/>
        <v>1</v>
      </c>
      <c r="AJ168" s="66">
        <f t="shared" si="15"/>
        <v>1</v>
      </c>
      <c r="AK168" s="66">
        <f t="shared" si="5"/>
        <v>0</v>
      </c>
      <c r="AL168" s="62">
        <f>IF(AK168*Variables!$E$43*Variables!$C$18&lt;0,0,AK168*Variables!$E$43*Variables!$C$18)</f>
        <v>0</v>
      </c>
      <c r="AM168" s="58">
        <f>AA168*Variables!$E$39*Variables!$C$18</f>
        <v>18587767.736138258</v>
      </c>
      <c r="AN168" s="1"/>
      <c r="AO168" s="76">
        <f t="shared" si="16"/>
        <v>0.67714285714285716</v>
      </c>
      <c r="AP168" s="76">
        <f t="shared" si="6"/>
        <v>115.61602378984207</v>
      </c>
      <c r="AQ168" s="75">
        <f>VLOOKUP(B168,'Household Information'!$B$2:$E$48,4,FALSE)</f>
        <v>65.935833333333335</v>
      </c>
      <c r="AR168" s="79">
        <f>IF(12*(AP168-Variables!$C$45*AQ168*F168)*(G168/5)&lt;0,0,12*(AP168-Variables!$C$45*AQ168*F168)*(G168/5))</f>
        <v>5929941.6781180874</v>
      </c>
      <c r="AS168" s="1"/>
      <c r="AT168" s="62">
        <v>0</v>
      </c>
      <c r="AU168" s="1"/>
    </row>
    <row r="169" spans="1:47" ht="14.25" customHeight="1">
      <c r="A169" s="1">
        <v>25</v>
      </c>
      <c r="B169" s="3" t="s">
        <v>217</v>
      </c>
      <c r="C169" s="1">
        <v>2022</v>
      </c>
      <c r="D169" s="13">
        <f>VLOOKUP(B169,Population!$B$1:$O$48,6,FALSE)</f>
        <v>166572.51836218865</v>
      </c>
      <c r="E169" s="13" t="str">
        <f t="shared" si="18"/>
        <v>Medium</v>
      </c>
      <c r="F169" s="54">
        <f>VLOOKUP(B169,'Household Information'!$B$1:$E$48,2,FALSE)</f>
        <v>2.502264030612245</v>
      </c>
      <c r="G169" s="54">
        <f t="shared" si="0"/>
        <v>66568.721895199953</v>
      </c>
      <c r="H169" s="55">
        <f>IF(D169&gt;Variables!$C$6,H122,H122*(1+Variables!$C$9))</f>
        <v>22.498002944169993</v>
      </c>
      <c r="I169" s="55"/>
      <c r="J169" s="13">
        <f>H169*Variables!$C$21</f>
        <v>404.96405299505989</v>
      </c>
      <c r="K169" s="13">
        <f t="shared" si="12"/>
        <v>404.96405299505989</v>
      </c>
      <c r="L169" s="54">
        <f t="shared" si="1"/>
        <v>0</v>
      </c>
      <c r="M169" s="56"/>
      <c r="N169" s="57"/>
      <c r="O169" s="57"/>
      <c r="P169" s="57"/>
      <c r="Q169" s="57"/>
      <c r="R169" s="57"/>
      <c r="S169" s="58">
        <v>0</v>
      </c>
      <c r="T169" s="59">
        <f>$L169*Variables!$C$22/100</f>
        <v>0</v>
      </c>
      <c r="U169" s="59">
        <f>$L169*Variables!$C$23/100</f>
        <v>0</v>
      </c>
      <c r="V169" s="59">
        <f>$L169*Variables!$C$24/100</f>
        <v>0</v>
      </c>
      <c r="W169" s="59">
        <f>$L169*Variables!$C$25/100</f>
        <v>0</v>
      </c>
      <c r="X169" s="62">
        <f>T169*Variables!$E$26*Variables!$C$18+'Cost Calculations'!U169*Variables!$E$27*Variables!$C$18+'Cost Calculations'!V169*Variables!$E$28*Variables!$C$18+W169*Variables!$E$29*Variables!$C$18</f>
        <v>0</v>
      </c>
      <c r="Y169" s="58">
        <f>J169*Variables!$E$30</f>
        <v>265251.45471176424</v>
      </c>
      <c r="Z169" s="1"/>
      <c r="AA169" s="245">
        <f>D169*(IF(D169&lt;Variables!$C$7,Variables!$C$38,IF(D169&gt;Variables!$C$6,Variables!$C$36,Variables!$C$37)))</f>
        <v>199.88702203462637</v>
      </c>
      <c r="AB169" s="64">
        <f t="shared" si="13"/>
        <v>197</v>
      </c>
      <c r="AC169" s="66">
        <f t="shared" si="2"/>
        <v>3</v>
      </c>
      <c r="AD169" s="62">
        <f>AC169*Variables!$E$41</f>
        <v>1612800</v>
      </c>
      <c r="AE169" s="71">
        <f>ROUND((H169/(3.14*Variables!$C$35^2)),0)</f>
        <v>29</v>
      </c>
      <c r="AF169" s="57">
        <f t="shared" si="14"/>
        <v>29</v>
      </c>
      <c r="AG169" s="57">
        <f t="shared" si="3"/>
        <v>0</v>
      </c>
      <c r="AH169" s="58">
        <f>AG169*Variables!$E$42*Variables!$C$18</f>
        <v>0</v>
      </c>
      <c r="AI169" s="73">
        <f t="shared" si="4"/>
        <v>2</v>
      </c>
      <c r="AJ169" s="66">
        <f t="shared" si="15"/>
        <v>2</v>
      </c>
      <c r="AK169" s="66">
        <f t="shared" si="5"/>
        <v>0</v>
      </c>
      <c r="AL169" s="62">
        <f>IF(AK169*Variables!$E$43*Variables!$C$18&lt;0,0,AK169*Variables!$E$43*Variables!$C$18)</f>
        <v>0</v>
      </c>
      <c r="AM169" s="58">
        <f>AA169*Variables!$E$39*Variables!$C$18</f>
        <v>57777806.378391959</v>
      </c>
      <c r="AN169" s="1"/>
      <c r="AO169" s="76">
        <f t="shared" si="16"/>
        <v>0.67714285714285716</v>
      </c>
      <c r="AP169" s="76">
        <f t="shared" si="6"/>
        <v>101.66341290087463</v>
      </c>
      <c r="AQ169" s="75">
        <f>VLOOKUP(B169,'Household Information'!$B$2:$E$48,4,FALSE)</f>
        <v>65.935833333333335</v>
      </c>
      <c r="AR169" s="79">
        <f>IF(12*(AP169-Variables!$C$45*AQ169*F169)*(G169/5)&lt;0,0,12*(AP169-Variables!$C$45*AQ169*F169)*(G169/5))</f>
        <v>12288333.09364506</v>
      </c>
      <c r="AS169" s="1"/>
      <c r="AT169" s="62">
        <v>0</v>
      </c>
      <c r="AU169" s="1"/>
    </row>
    <row r="170" spans="1:47" ht="14.25" customHeight="1">
      <c r="A170" s="1">
        <v>26</v>
      </c>
      <c r="B170" s="3" t="s">
        <v>219</v>
      </c>
      <c r="C170" s="1">
        <v>2022</v>
      </c>
      <c r="D170" s="13">
        <f>VLOOKUP(B170,Population!$B$1:$O$48,6,FALSE)</f>
        <v>45473.059962977473</v>
      </c>
      <c r="E170" s="13" t="str">
        <f t="shared" si="18"/>
        <v>Small</v>
      </c>
      <c r="F170" s="54">
        <f>VLOOKUP(B170,'Household Information'!$B$1:$E$48,2,FALSE)</f>
        <v>3.6899491861166136</v>
      </c>
      <c r="G170" s="54">
        <f t="shared" si="0"/>
        <v>12323.492186306868</v>
      </c>
      <c r="H170" s="55">
        <f>IF(D170&gt;Variables!$C$6,H123,H123*(1+Variables!$C$9))</f>
        <v>4.078520866899999</v>
      </c>
      <c r="I170" s="55"/>
      <c r="J170" s="13">
        <f>H170*Variables!$C$21</f>
        <v>73.413375604199985</v>
      </c>
      <c r="K170" s="13">
        <f t="shared" si="12"/>
        <v>71.068127399999995</v>
      </c>
      <c r="L170" s="54">
        <f t="shared" si="1"/>
        <v>2.34524820419999</v>
      </c>
      <c r="M170" s="56"/>
      <c r="N170" s="57"/>
      <c r="O170" s="57"/>
      <c r="P170" s="57"/>
      <c r="Q170" s="57"/>
      <c r="R170" s="57"/>
      <c r="S170" s="58">
        <v>0</v>
      </c>
      <c r="T170" s="59">
        <f>$L170*Variables!$C$22/100</f>
        <v>0.1273437938932121</v>
      </c>
      <c r="U170" s="59">
        <f>$L170*Variables!$C$23/100</f>
        <v>0.22285163931312124</v>
      </c>
      <c r="V170" s="59">
        <f>$L170*Variables!$C$24/100</f>
        <v>0.23346362213755559</v>
      </c>
      <c r="W170" s="59">
        <f>$L170*Variables!$C$25/100</f>
        <v>1.6979172519094952</v>
      </c>
      <c r="X170" s="62">
        <f>T170*Variables!$E$26*Variables!$C$18+'Cost Calculations'!U170*Variables!$E$27*Variables!$C$18+'Cost Calculations'!V170*Variables!$E$28*Variables!$C$18+W170*Variables!$E$29*Variables!$C$18</f>
        <v>2665909.2476039324</v>
      </c>
      <c r="Y170" s="58">
        <f>J170*Variables!$E$30</f>
        <v>48085.761020750993</v>
      </c>
      <c r="Z170" s="1"/>
      <c r="AA170" s="245">
        <f>D170*(IF(D170&lt;Variables!$C$7,Variables!$C$38,IF(D170&gt;Variables!$C$6,Variables!$C$36,Variables!$C$37)))</f>
        <v>22.736529981488736</v>
      </c>
      <c r="AB170" s="64">
        <f t="shared" si="13"/>
        <v>22</v>
      </c>
      <c r="AC170" s="66">
        <f t="shared" si="2"/>
        <v>1</v>
      </c>
      <c r="AD170" s="62">
        <f>AC170*Variables!$E$41</f>
        <v>537600</v>
      </c>
      <c r="AE170" s="71">
        <f>ROUND((H170/(3.14*Variables!$C$35^2)),0)</f>
        <v>5</v>
      </c>
      <c r="AF170" s="57">
        <f t="shared" si="14"/>
        <v>5</v>
      </c>
      <c r="AG170" s="57">
        <f t="shared" si="3"/>
        <v>0</v>
      </c>
      <c r="AH170" s="58">
        <f>AG170*Variables!$E$42*Variables!$C$18</f>
        <v>0</v>
      </c>
      <c r="AI170" s="73">
        <f t="shared" si="4"/>
        <v>0</v>
      </c>
      <c r="AJ170" s="66">
        <f t="shared" si="15"/>
        <v>0</v>
      </c>
      <c r="AK170" s="66">
        <f t="shared" si="5"/>
        <v>0</v>
      </c>
      <c r="AL170" s="62">
        <f>IF(AK170*Variables!$E$43*Variables!$C$18&lt;0,0,AK170*Variables!$E$43*Variables!$C$18)</f>
        <v>0</v>
      </c>
      <c r="AM170" s="58">
        <f>AA170*Variables!$E$39*Variables!$C$18</f>
        <v>6572046.6172105651</v>
      </c>
      <c r="AN170" s="1"/>
      <c r="AO170" s="76">
        <f t="shared" si="16"/>
        <v>0.67714285714285716</v>
      </c>
      <c r="AP170" s="76">
        <f t="shared" si="6"/>
        <v>149.91736407593783</v>
      </c>
      <c r="AQ170" s="75">
        <f>VLOOKUP(B170,'Household Information'!$B$2:$E$48,4,FALSE)</f>
        <v>65.935833333333335</v>
      </c>
      <c r="AR170" s="79">
        <f>IF(12*(AP170-Variables!$C$45*AQ170*F170)*(G170/5)&lt;0,0,12*(AP170-Variables!$C$45*AQ170*F170)*(G170/5))</f>
        <v>3354623.6384405</v>
      </c>
      <c r="AS170" s="1"/>
      <c r="AT170" s="62">
        <v>0</v>
      </c>
      <c r="AU170" s="1"/>
    </row>
    <row r="171" spans="1:47" ht="14.25" customHeight="1">
      <c r="A171" s="1">
        <v>27</v>
      </c>
      <c r="B171" s="3" t="s">
        <v>220</v>
      </c>
      <c r="C171" s="1">
        <v>2022</v>
      </c>
      <c r="D171" s="13">
        <f>VLOOKUP(B171,Population!$B$1:$O$48,6,FALSE)</f>
        <v>8528.0561292718703</v>
      </c>
      <c r="E171" s="13" t="str">
        <f t="shared" si="18"/>
        <v>Small</v>
      </c>
      <c r="F171" s="54">
        <f>VLOOKUP(B171,'Household Information'!$B$1:$E$48,2,FALSE)</f>
        <v>2.667113684852179</v>
      </c>
      <c r="G171" s="54">
        <f t="shared" si="0"/>
        <v>3197.4850482402762</v>
      </c>
      <c r="H171" s="55">
        <f>IF(D171&gt;Variables!$C$6,H124,H124*(1+Variables!$C$9))</f>
        <v>0.66464425541059746</v>
      </c>
      <c r="I171" s="55"/>
      <c r="J171" s="13">
        <f>H171*Variables!$C$21</f>
        <v>11.963596597390755</v>
      </c>
      <c r="K171" s="13">
        <f t="shared" si="12"/>
        <v>11.581410065237904</v>
      </c>
      <c r="L171" s="54">
        <f t="shared" si="1"/>
        <v>0.38218653215285059</v>
      </c>
      <c r="M171" s="56"/>
      <c r="N171" s="57"/>
      <c r="O171" s="57"/>
      <c r="P171" s="57"/>
      <c r="Q171" s="57"/>
      <c r="R171" s="57"/>
      <c r="S171" s="58">
        <v>0</v>
      </c>
      <c r="T171" s="59">
        <f>$L171*Variables!$C$22/100</f>
        <v>2.0752209890652518E-2</v>
      </c>
      <c r="U171" s="59">
        <f>$L171*Variables!$C$23/100</f>
        <v>3.6316367308641913E-2</v>
      </c>
      <c r="V171" s="59">
        <f>$L171*Variables!$C$24/100</f>
        <v>3.8045718132862956E-2</v>
      </c>
      <c r="W171" s="59">
        <f>$L171*Variables!$C$25/100</f>
        <v>0.27669613187536696</v>
      </c>
      <c r="X171" s="62">
        <f>T171*Variables!$E$26*Variables!$C$18+'Cost Calculations'!U171*Variables!$E$27*Variables!$C$18+'Cost Calculations'!V171*Variables!$E$28*Variables!$C$18+W171*Variables!$E$29*Variables!$C$18</f>
        <v>434442.12367429142</v>
      </c>
      <c r="Y171" s="58">
        <f>J171*Variables!$E$30</f>
        <v>7836.1557712909444</v>
      </c>
      <c r="Z171" s="1"/>
      <c r="AA171" s="245">
        <f>D171*(IF(D171&lt;Variables!$C$7,Variables!$C$38,IF(D171&gt;Variables!$C$6,Variables!$C$36,Variables!$C$37)))</f>
        <v>4.2640280646359354</v>
      </c>
      <c r="AB171" s="64">
        <f t="shared" si="13"/>
        <v>78</v>
      </c>
      <c r="AC171" s="66">
        <f t="shared" si="2"/>
        <v>0</v>
      </c>
      <c r="AD171" s="62">
        <f>AC171*Variables!$E$41</f>
        <v>0</v>
      </c>
      <c r="AE171" s="71">
        <f>ROUND((H171/(3.14*Variables!$C$35^2)),0)</f>
        <v>1</v>
      </c>
      <c r="AF171" s="57">
        <f t="shared" si="14"/>
        <v>1</v>
      </c>
      <c r="AG171" s="57">
        <f t="shared" si="3"/>
        <v>0</v>
      </c>
      <c r="AH171" s="58">
        <f>AG171*Variables!$E$42*Variables!$C$18</f>
        <v>0</v>
      </c>
      <c r="AI171" s="73">
        <f t="shared" si="4"/>
        <v>0</v>
      </c>
      <c r="AJ171" s="66">
        <f t="shared" si="15"/>
        <v>0</v>
      </c>
      <c r="AK171" s="66">
        <f t="shared" si="5"/>
        <v>0</v>
      </c>
      <c r="AL171" s="62">
        <f>IF(AK171*Variables!$E$43*Variables!$C$18&lt;0,0,AK171*Variables!$E$43*Variables!$C$18)</f>
        <v>0</v>
      </c>
      <c r="AM171" s="58">
        <f>AA171*Variables!$E$39*Variables!$C$18</f>
        <v>1232527.1816190574</v>
      </c>
      <c r="AN171" s="1"/>
      <c r="AO171" s="76">
        <f t="shared" si="16"/>
        <v>0.67714285714285716</v>
      </c>
      <c r="AP171" s="76">
        <f t="shared" si="6"/>
        <v>108.3610188531371</v>
      </c>
      <c r="AQ171" s="75">
        <f>VLOOKUP(B171,'Household Information'!$B$2:$E$48,4,FALSE)</f>
        <v>65.935833333333335</v>
      </c>
      <c r="AR171" s="79">
        <f>IF(12*(AP171-Variables!$C$45*AQ171*F171)*(G171/5)&lt;0,0,12*(AP171-Variables!$C$45*AQ171*F171)*(G171/5))</f>
        <v>629128.95469305909</v>
      </c>
      <c r="AS171" s="1"/>
      <c r="AT171" s="62">
        <v>0</v>
      </c>
      <c r="AU171" s="1"/>
    </row>
    <row r="172" spans="1:47" ht="14.25" customHeight="1">
      <c r="A172" s="1">
        <v>28</v>
      </c>
      <c r="B172" s="3" t="s">
        <v>221</v>
      </c>
      <c r="C172" s="1">
        <v>2022</v>
      </c>
      <c r="D172" s="13">
        <f>VLOOKUP(B172,Population!$B$1:$O$48,6,FALSE)</f>
        <v>51036.727695353722</v>
      </c>
      <c r="E172" s="13" t="str">
        <f t="shared" si="18"/>
        <v>Small</v>
      </c>
      <c r="F172" s="54">
        <f>VLOOKUP(B172,'Household Information'!$B$1:$E$48,2,FALSE)</f>
        <v>2.5363152064982328</v>
      </c>
      <c r="G172" s="54">
        <f t="shared" si="0"/>
        <v>20122.391556299364</v>
      </c>
      <c r="H172" s="55">
        <f>IF(D172&gt;Variables!$C$6,H125,H125*(1+Variables!$C$9))</f>
        <v>5.7319752723999988</v>
      </c>
      <c r="I172" s="55"/>
      <c r="J172" s="13">
        <f>H172*Variables!$C$21</f>
        <v>103.17555490319998</v>
      </c>
      <c r="K172" s="13">
        <f t="shared" si="12"/>
        <v>124.62</v>
      </c>
      <c r="L172" s="54">
        <f t="shared" si="1"/>
        <v>0</v>
      </c>
      <c r="M172" s="56"/>
      <c r="N172" s="57"/>
      <c r="O172" s="57"/>
      <c r="P172" s="57"/>
      <c r="Q172" s="57"/>
      <c r="R172" s="57"/>
      <c r="S172" s="58">
        <v>0</v>
      </c>
      <c r="T172" s="59">
        <f>$L172*Variables!$C$22/100</f>
        <v>0</v>
      </c>
      <c r="U172" s="59">
        <f>$L172*Variables!$C$23/100</f>
        <v>0</v>
      </c>
      <c r="V172" s="59">
        <f>$L172*Variables!$C$24/100</f>
        <v>0</v>
      </c>
      <c r="W172" s="59">
        <f>$L172*Variables!$C$25/100</f>
        <v>0</v>
      </c>
      <c r="X172" s="62">
        <f>T172*Variables!$E$26*Variables!$C$18+'Cost Calculations'!U172*Variables!$E$27*Variables!$C$18+'Cost Calculations'!V172*Variables!$E$28*Variables!$C$18+W172*Variables!$E$29*Variables!$C$18</f>
        <v>0</v>
      </c>
      <c r="Y172" s="58">
        <f>J172*Variables!$E$30</f>
        <v>67579.988461595989</v>
      </c>
      <c r="Z172" s="1"/>
      <c r="AA172" s="245">
        <f>D172*(IF(D172&lt;Variables!$C$7,Variables!$C$38,IF(D172&gt;Variables!$C$6,Variables!$C$36,Variables!$C$37)))</f>
        <v>40.829382156282982</v>
      </c>
      <c r="AB172" s="64">
        <f t="shared" si="13"/>
        <v>40</v>
      </c>
      <c r="AC172" s="66">
        <f t="shared" si="2"/>
        <v>1</v>
      </c>
      <c r="AD172" s="62">
        <f>AC172*Variables!$E$41</f>
        <v>537600</v>
      </c>
      <c r="AE172" s="71">
        <f>ROUND((H172/(3.14*Variables!$C$35^2)),0)</f>
        <v>7</v>
      </c>
      <c r="AF172" s="57">
        <f t="shared" si="14"/>
        <v>7</v>
      </c>
      <c r="AG172" s="57">
        <f t="shared" si="3"/>
        <v>0</v>
      </c>
      <c r="AH172" s="58">
        <f>AG172*Variables!$E$42*Variables!$C$18</f>
        <v>0</v>
      </c>
      <c r="AI172" s="73">
        <f t="shared" si="4"/>
        <v>0</v>
      </c>
      <c r="AJ172" s="66">
        <f t="shared" si="15"/>
        <v>0</v>
      </c>
      <c r="AK172" s="66">
        <f t="shared" si="5"/>
        <v>0</v>
      </c>
      <c r="AL172" s="62">
        <f>IF(AK172*Variables!$E$43*Variables!$C$18&lt;0,0,AK172*Variables!$E$43*Variables!$C$18)</f>
        <v>0</v>
      </c>
      <c r="AM172" s="58">
        <f>AA172*Variables!$E$39*Variables!$C$18</f>
        <v>11801827.416121269</v>
      </c>
      <c r="AN172" s="1"/>
      <c r="AO172" s="76">
        <f t="shared" si="16"/>
        <v>0.67714285714285716</v>
      </c>
      <c r="AP172" s="76">
        <f t="shared" si="6"/>
        <v>103.04686353258533</v>
      </c>
      <c r="AQ172" s="75">
        <f>VLOOKUP(B172,'Household Information'!$B$2:$E$48,4,FALSE)</f>
        <v>65.935833333333335</v>
      </c>
      <c r="AR172" s="79">
        <f>IF(12*(AP172-Variables!$C$45*AQ172*F172)*(G172/5)&lt;0,0,12*(AP172-Variables!$C$45*AQ172*F172)*(G172/5))</f>
        <v>3765064.7063311054</v>
      </c>
      <c r="AS172" s="1"/>
      <c r="AT172" s="62">
        <v>0</v>
      </c>
      <c r="AU172" s="1"/>
    </row>
    <row r="173" spans="1:47" ht="14.25" customHeight="1">
      <c r="A173" s="1">
        <v>29</v>
      </c>
      <c r="B173" s="3" t="s">
        <v>222</v>
      </c>
      <c r="C173" s="1">
        <v>2022</v>
      </c>
      <c r="D173" s="13">
        <f>VLOOKUP(B173,Population!$B$1:$O$48,6,FALSE)</f>
        <v>51393.345848363722</v>
      </c>
      <c r="E173" s="13" t="str">
        <f t="shared" si="18"/>
        <v>Small</v>
      </c>
      <c r="F173" s="54">
        <f>VLOOKUP(B173,'Household Information'!$B$1:$E$48,2,FALSE)</f>
        <v>2.6066968130921619</v>
      </c>
      <c r="G173" s="54">
        <f t="shared" si="0"/>
        <v>19715.88931640999</v>
      </c>
      <c r="H173" s="55">
        <f>IF(D173&gt;Variables!$C$6,H126,H126*(1+Variables!$C$9))</f>
        <v>3.6155536333599989</v>
      </c>
      <c r="I173" s="55"/>
      <c r="J173" s="13">
        <f>H173*Variables!$C$21</f>
        <v>65.079965400479978</v>
      </c>
      <c r="K173" s="13">
        <f t="shared" si="12"/>
        <v>69.7</v>
      </c>
      <c r="L173" s="54">
        <f t="shared" si="1"/>
        <v>0</v>
      </c>
      <c r="M173" s="56"/>
      <c r="N173" s="57"/>
      <c r="O173" s="57"/>
      <c r="P173" s="57"/>
      <c r="Q173" s="57"/>
      <c r="R173" s="57"/>
      <c r="S173" s="58">
        <v>0</v>
      </c>
      <c r="T173" s="59">
        <f>$L173*Variables!$C$22/100</f>
        <v>0</v>
      </c>
      <c r="U173" s="59">
        <f>$L173*Variables!$C$23/100</f>
        <v>0</v>
      </c>
      <c r="V173" s="59">
        <f>$L173*Variables!$C$24/100</f>
        <v>0</v>
      </c>
      <c r="W173" s="59">
        <f>$L173*Variables!$C$25/100</f>
        <v>0</v>
      </c>
      <c r="X173" s="62">
        <f>T173*Variables!$E$26*Variables!$C$18+'Cost Calculations'!U173*Variables!$E$27*Variables!$C$18+'Cost Calculations'!V173*Variables!$E$28*Variables!$C$18+W173*Variables!$E$29*Variables!$C$18</f>
        <v>0</v>
      </c>
      <c r="Y173" s="58">
        <f>J173*Variables!$E$30</f>
        <v>42627.377337314385</v>
      </c>
      <c r="Z173" s="1"/>
      <c r="AA173" s="245">
        <f>D173*(IF(D173&lt;Variables!$C$7,Variables!$C$38,IF(D173&gt;Variables!$C$6,Variables!$C$36,Variables!$C$37)))</f>
        <v>41.114676678690977</v>
      </c>
      <c r="AB173" s="64">
        <f t="shared" si="13"/>
        <v>41</v>
      </c>
      <c r="AC173" s="66">
        <f t="shared" si="2"/>
        <v>0</v>
      </c>
      <c r="AD173" s="62">
        <f>AC173*Variables!$E$41</f>
        <v>0</v>
      </c>
      <c r="AE173" s="71">
        <f>ROUND((H173/(3.14*Variables!$C$35^2)),0)</f>
        <v>5</v>
      </c>
      <c r="AF173" s="57">
        <f t="shared" si="14"/>
        <v>4</v>
      </c>
      <c r="AG173" s="57">
        <f t="shared" si="3"/>
        <v>1</v>
      </c>
      <c r="AH173" s="58">
        <f>AG173*Variables!$E$42*Variables!$C$18</f>
        <v>1148.2560000000001</v>
      </c>
      <c r="AI173" s="73">
        <f t="shared" si="4"/>
        <v>0</v>
      </c>
      <c r="AJ173" s="66">
        <f t="shared" si="15"/>
        <v>0</v>
      </c>
      <c r="AK173" s="66">
        <f t="shared" si="5"/>
        <v>0</v>
      </c>
      <c r="AL173" s="62">
        <f>IF(AK173*Variables!$E$43*Variables!$C$18&lt;0,0,AK173*Variables!$E$43*Variables!$C$18)</f>
        <v>0</v>
      </c>
      <c r="AM173" s="58">
        <f>AA173*Variables!$E$39*Variables!$C$18</f>
        <v>11884292.458167119</v>
      </c>
      <c r="AN173" s="1"/>
      <c r="AO173" s="76">
        <f t="shared" si="16"/>
        <v>0.67714285714285716</v>
      </c>
      <c r="AP173" s="76">
        <f t="shared" si="6"/>
        <v>105.9063676633444</v>
      </c>
      <c r="AQ173" s="75">
        <f>VLOOKUP(B173,'Household Information'!$B$2:$E$48,4,FALSE)</f>
        <v>65.935833333333335</v>
      </c>
      <c r="AR173" s="79">
        <f>IF(12*(AP173-Variables!$C$45*AQ173*F173)*(G173/5)&lt;0,0,12*(AP173-Variables!$C$45*AQ173*F173)*(G173/5))</f>
        <v>3791373.0235404237</v>
      </c>
      <c r="AS173" s="1"/>
      <c r="AT173" s="62">
        <v>0</v>
      </c>
      <c r="AU173" s="1"/>
    </row>
    <row r="174" spans="1:47" ht="14.25" customHeight="1">
      <c r="A174" s="1">
        <v>30</v>
      </c>
      <c r="B174" s="3" t="s">
        <v>223</v>
      </c>
      <c r="C174" s="1">
        <v>2022</v>
      </c>
      <c r="D174" s="13">
        <f>VLOOKUP(B174,Population!$B$1:$O$48,6,FALSE)</f>
        <v>21002.26193976749</v>
      </c>
      <c r="E174" s="13" t="str">
        <f t="shared" si="18"/>
        <v>Small</v>
      </c>
      <c r="F174" s="54">
        <f>VLOOKUP(B174,'Household Information'!$B$1:$E$48,2,FALSE)</f>
        <v>2.8820273812991553</v>
      </c>
      <c r="G174" s="54">
        <f t="shared" si="0"/>
        <v>7287.3221385912466</v>
      </c>
      <c r="H174" s="55">
        <f>IF(D174&gt;Variables!$C$6,H127,H127*(1+Variables!$C$9))</f>
        <v>3.7478299857999988</v>
      </c>
      <c r="I174" s="55"/>
      <c r="J174" s="13">
        <f>H174*Variables!$C$21</f>
        <v>67.46093974439998</v>
      </c>
      <c r="K174" s="13">
        <f t="shared" si="12"/>
        <v>76.2</v>
      </c>
      <c r="L174" s="54">
        <f t="shared" si="1"/>
        <v>0</v>
      </c>
      <c r="M174" s="56"/>
      <c r="N174" s="57"/>
      <c r="O174" s="57"/>
      <c r="P174" s="57"/>
      <c r="Q174" s="57"/>
      <c r="R174" s="57"/>
      <c r="S174" s="58">
        <v>0</v>
      </c>
      <c r="T174" s="59">
        <f>$L174*Variables!$C$22/100</f>
        <v>0</v>
      </c>
      <c r="U174" s="59">
        <f>$L174*Variables!$C$23/100</f>
        <v>0</v>
      </c>
      <c r="V174" s="59">
        <f>$L174*Variables!$C$24/100</f>
        <v>0</v>
      </c>
      <c r="W174" s="59">
        <f>$L174*Variables!$C$25/100</f>
        <v>0</v>
      </c>
      <c r="X174" s="62">
        <f>T174*Variables!$E$26*Variables!$C$18+'Cost Calculations'!U174*Variables!$E$27*Variables!$C$18+'Cost Calculations'!V174*Variables!$E$28*Variables!$C$18+W174*Variables!$E$29*Variables!$C$18</f>
        <v>0</v>
      </c>
      <c r="Y174" s="58">
        <f>J174*Variables!$E$30</f>
        <v>44186.915532581988</v>
      </c>
      <c r="Z174" s="1"/>
      <c r="AA174" s="245">
        <f>D174*(IF(D174&lt;Variables!$C$7,Variables!$C$38,IF(D174&gt;Variables!$C$6,Variables!$C$36,Variables!$C$37)))</f>
        <v>10.501130969883745</v>
      </c>
      <c r="AB174" s="64">
        <f t="shared" si="13"/>
        <v>10</v>
      </c>
      <c r="AC174" s="66">
        <f t="shared" si="2"/>
        <v>1</v>
      </c>
      <c r="AD174" s="62">
        <f>AC174*Variables!$E$41</f>
        <v>537600</v>
      </c>
      <c r="AE174" s="71">
        <f>ROUND((H174/(3.14*Variables!$C$35^2)),0)</f>
        <v>5</v>
      </c>
      <c r="AF174" s="57">
        <f t="shared" si="14"/>
        <v>5</v>
      </c>
      <c r="AG174" s="57">
        <f t="shared" si="3"/>
        <v>0</v>
      </c>
      <c r="AH174" s="58">
        <f>AG174*Variables!$E$42*Variables!$C$18</f>
        <v>0</v>
      </c>
      <c r="AI174" s="73">
        <f t="shared" si="4"/>
        <v>0</v>
      </c>
      <c r="AJ174" s="66">
        <f t="shared" si="15"/>
        <v>0</v>
      </c>
      <c r="AK174" s="66">
        <f t="shared" si="5"/>
        <v>0</v>
      </c>
      <c r="AL174" s="62">
        <f>IF(AK174*Variables!$E$43*Variables!$C$18&lt;0,0,AK174*Variables!$E$43*Variables!$C$18)</f>
        <v>0</v>
      </c>
      <c r="AM174" s="58">
        <f>AA174*Variables!$E$39*Variables!$C$18</f>
        <v>3035376.2128037224</v>
      </c>
      <c r="AN174" s="1"/>
      <c r="AO174" s="76">
        <f t="shared" si="16"/>
        <v>0.67714285714285716</v>
      </c>
      <c r="AP174" s="76">
        <f t="shared" si="6"/>
        <v>117.09265532021139</v>
      </c>
      <c r="AQ174" s="75">
        <f>VLOOKUP(B174,'Household Information'!$B$2:$E$48,4,FALSE)</f>
        <v>65.935833333333335</v>
      </c>
      <c r="AR174" s="79">
        <f>IF(12*(AP174-Variables!$C$45*AQ174*F174)*(G174/5)&lt;0,0,12*(AP174-Variables!$C$45*AQ174*F174)*(G174/5))</f>
        <v>1549371.9670773183</v>
      </c>
      <c r="AS174" s="1"/>
      <c r="AT174" s="62">
        <v>0</v>
      </c>
      <c r="AU174" s="1"/>
    </row>
    <row r="175" spans="1:47" ht="14.25" customHeight="1">
      <c r="A175" s="1">
        <v>31</v>
      </c>
      <c r="B175" s="3" t="s">
        <v>224</v>
      </c>
      <c r="C175" s="1">
        <v>2022</v>
      </c>
      <c r="D175" s="13">
        <f>VLOOKUP(B175,Population!$B$1:$O$48,6,FALSE)</f>
        <v>31951.288328014984</v>
      </c>
      <c r="E175" s="13" t="str">
        <f t="shared" si="18"/>
        <v>Small</v>
      </c>
      <c r="F175" s="54">
        <f>VLOOKUP(B175,'Household Information'!$B$1:$E$48,2,FALSE)</f>
        <v>3.407</v>
      </c>
      <c r="G175" s="54">
        <f t="shared" si="0"/>
        <v>9378.1298291796247</v>
      </c>
      <c r="H175" s="55">
        <f>IF(D175&gt;Variables!$C$6,H128,H128*(1+Variables!$C$9))</f>
        <v>4.0013596613099986</v>
      </c>
      <c r="I175" s="55"/>
      <c r="J175" s="13">
        <f>H175*Variables!$C$21</f>
        <v>72.024473903579974</v>
      </c>
      <c r="K175" s="13">
        <f t="shared" si="12"/>
        <v>83</v>
      </c>
      <c r="L175" s="54">
        <f t="shared" si="1"/>
        <v>0</v>
      </c>
      <c r="M175" s="56"/>
      <c r="N175" s="57"/>
      <c r="O175" s="57"/>
      <c r="P175" s="57"/>
      <c r="Q175" s="57"/>
      <c r="R175" s="57"/>
      <c r="S175" s="58">
        <v>0</v>
      </c>
      <c r="T175" s="59">
        <f>$L175*Variables!$C$22/100</f>
        <v>0</v>
      </c>
      <c r="U175" s="59">
        <f>$L175*Variables!$C$23/100</f>
        <v>0</v>
      </c>
      <c r="V175" s="59">
        <f>$L175*Variables!$C$24/100</f>
        <v>0</v>
      </c>
      <c r="W175" s="59">
        <f>$L175*Variables!$C$25/100</f>
        <v>0</v>
      </c>
      <c r="X175" s="62">
        <f>T175*Variables!$E$26*Variables!$C$18+'Cost Calculations'!U175*Variables!$E$27*Variables!$C$18+'Cost Calculations'!V175*Variables!$E$28*Variables!$C$18+W175*Variables!$E$29*Variables!$C$18</f>
        <v>0</v>
      </c>
      <c r="Y175" s="58">
        <f>J175*Variables!$E$30</f>
        <v>47176.030406844882</v>
      </c>
      <c r="Z175" s="1"/>
      <c r="AA175" s="245">
        <f>D175*(IF(D175&lt;Variables!$C$7,Variables!$C$38,IF(D175&gt;Variables!$C$6,Variables!$C$36,Variables!$C$37)))</f>
        <v>15.975644164007493</v>
      </c>
      <c r="AB175" s="64">
        <f t="shared" si="13"/>
        <v>16</v>
      </c>
      <c r="AC175" s="66">
        <f t="shared" si="2"/>
        <v>0</v>
      </c>
      <c r="AD175" s="62">
        <f>AC175*Variables!$E$41</f>
        <v>0</v>
      </c>
      <c r="AE175" s="71">
        <f>ROUND((H175/(3.14*Variables!$C$35^2)),0)</f>
        <v>5</v>
      </c>
      <c r="AF175" s="57">
        <f t="shared" si="14"/>
        <v>5</v>
      </c>
      <c r="AG175" s="57">
        <f t="shared" si="3"/>
        <v>0</v>
      </c>
      <c r="AH175" s="58">
        <f>AG175*Variables!$E$42*Variables!$C$18</f>
        <v>0</v>
      </c>
      <c r="AI175" s="73">
        <f t="shared" si="4"/>
        <v>0</v>
      </c>
      <c r="AJ175" s="66">
        <f t="shared" si="15"/>
        <v>0</v>
      </c>
      <c r="AK175" s="66">
        <f t="shared" si="5"/>
        <v>0</v>
      </c>
      <c r="AL175" s="62">
        <f>IF(AK175*Variables!$E$43*Variables!$C$18&lt;0,0,AK175*Variables!$E$43*Variables!$C$18)</f>
        <v>0</v>
      </c>
      <c r="AM175" s="58">
        <f>AA175*Variables!$E$39*Variables!$C$18</f>
        <v>4617796.9228948485</v>
      </c>
      <c r="AN175" s="1"/>
      <c r="AO175" s="76">
        <f t="shared" si="16"/>
        <v>0.67714285714285716</v>
      </c>
      <c r="AP175" s="76">
        <f t="shared" si="6"/>
        <v>138.42154285714284</v>
      </c>
      <c r="AQ175" s="75">
        <f>VLOOKUP(B175,'Household Information'!$B$2:$E$48,4,FALSE)</f>
        <v>65.935833333333335</v>
      </c>
      <c r="AR175" s="79">
        <f>IF(12*(AP175-Variables!$C$45*AQ175*F175)*(G175/5)&lt;0,0,12*(AP175-Variables!$C$45*AQ175*F175)*(G175/5))</f>
        <v>2357099.9442538698</v>
      </c>
      <c r="AS175" s="1"/>
      <c r="AT175" s="62">
        <v>0</v>
      </c>
      <c r="AU175" s="1"/>
    </row>
    <row r="176" spans="1:47" ht="14.25" customHeight="1">
      <c r="A176" s="1">
        <v>32</v>
      </c>
      <c r="B176" s="3" t="s">
        <v>225</v>
      </c>
      <c r="C176" s="1">
        <v>2022</v>
      </c>
      <c r="D176" s="13">
        <f>VLOOKUP(B176,Population!$B$1:$O$48,6,FALSE)</f>
        <v>29409.322624268108</v>
      </c>
      <c r="E176" s="13" t="str">
        <f t="shared" si="18"/>
        <v>Small</v>
      </c>
      <c r="F176" s="54">
        <f>VLOOKUP(B176,'Household Information'!$B$1:$E$48,2,FALSE)</f>
        <v>4.9791554357592096</v>
      </c>
      <c r="G176" s="54">
        <f t="shared" si="0"/>
        <v>5906.4881592281217</v>
      </c>
      <c r="H176" s="55">
        <f>IF(D176&gt;Variables!$C$6,H129,H129*(1+Variables!$C$9))</f>
        <v>3.417139104699999</v>
      </c>
      <c r="I176" s="55"/>
      <c r="J176" s="13">
        <f>H176*Variables!$C$21</f>
        <v>61.508503884599982</v>
      </c>
      <c r="K176" s="13">
        <f t="shared" si="12"/>
        <v>59.543566199999987</v>
      </c>
      <c r="L176" s="54">
        <f t="shared" si="1"/>
        <v>1.9649376845999953</v>
      </c>
      <c r="M176" s="56"/>
      <c r="N176" s="57"/>
      <c r="O176" s="57"/>
      <c r="P176" s="57"/>
      <c r="Q176" s="57"/>
      <c r="R176" s="57"/>
      <c r="S176" s="58">
        <v>0</v>
      </c>
      <c r="T176" s="59">
        <f>$L176*Variables!$C$22/100</f>
        <v>0.10669344893755631</v>
      </c>
      <c r="U176" s="59">
        <f>$L176*Variables!$C$23/100</f>
        <v>0.18671353564072354</v>
      </c>
      <c r="V176" s="59">
        <f>$L176*Variables!$C$24/100</f>
        <v>0.19560465638551988</v>
      </c>
      <c r="W176" s="59">
        <f>$L176*Variables!$C$25/100</f>
        <v>1.4225793191674174</v>
      </c>
      <c r="X176" s="62">
        <f>T176*Variables!$E$26*Variables!$C$18+'Cost Calculations'!U176*Variables!$E$27*Variables!$C$18+'Cost Calculations'!V176*Variables!$E$28*Variables!$C$18+W176*Variables!$E$29*Variables!$C$18</f>
        <v>2233599.6398843797</v>
      </c>
      <c r="Y176" s="58">
        <f>J176*Variables!$E$30</f>
        <v>40288.070044412991</v>
      </c>
      <c r="Z176" s="1"/>
      <c r="AA176" s="245">
        <f>D176*(IF(D176&lt;Variables!$C$7,Variables!$C$38,IF(D176&gt;Variables!$C$6,Variables!$C$36,Variables!$C$37)))</f>
        <v>14.704661312134055</v>
      </c>
      <c r="AB176" s="64">
        <f t="shared" si="13"/>
        <v>14</v>
      </c>
      <c r="AC176" s="66">
        <f t="shared" si="2"/>
        <v>1</v>
      </c>
      <c r="AD176" s="62">
        <f>AC176*Variables!$E$41</f>
        <v>537600</v>
      </c>
      <c r="AE176" s="71">
        <f>ROUND((H176/(3.14*Variables!$C$35^2)),0)</f>
        <v>4</v>
      </c>
      <c r="AF176" s="57">
        <f t="shared" si="14"/>
        <v>4</v>
      </c>
      <c r="AG176" s="57">
        <f t="shared" si="3"/>
        <v>0</v>
      </c>
      <c r="AH176" s="58">
        <f>AG176*Variables!$E$42*Variables!$C$18</f>
        <v>0</v>
      </c>
      <c r="AI176" s="73">
        <f t="shared" si="4"/>
        <v>0</v>
      </c>
      <c r="AJ176" s="66">
        <f t="shared" si="15"/>
        <v>1</v>
      </c>
      <c r="AK176" s="66">
        <f t="shared" si="5"/>
        <v>0</v>
      </c>
      <c r="AL176" s="62">
        <f>IF(AK176*Variables!$E$43*Variables!$C$18&lt;0,0,AK176*Variables!$E$43*Variables!$C$18)</f>
        <v>0</v>
      </c>
      <c r="AM176" s="58">
        <f>AA176*Variables!$E$39*Variables!$C$18</f>
        <v>4250416.3877389506</v>
      </c>
      <c r="AN176" s="1"/>
      <c r="AO176" s="76">
        <f t="shared" si="16"/>
        <v>0.67714285714285716</v>
      </c>
      <c r="AP176" s="76">
        <f t="shared" si="6"/>
        <v>202.29597227570272</v>
      </c>
      <c r="AQ176" s="75">
        <f>VLOOKUP(B176,'Household Information'!$B$2:$E$48,4,FALSE)</f>
        <v>65.935833333333335</v>
      </c>
      <c r="AR176" s="79">
        <f>IF(12*(AP176-Variables!$C$45*AQ176*F176)*(G176/5)&lt;0,0,12*(AP176-Variables!$C$45*AQ176*F176)*(G176/5))</f>
        <v>2169574.885574359</v>
      </c>
      <c r="AS176" s="1"/>
      <c r="AT176" s="62">
        <v>0</v>
      </c>
      <c r="AU176" s="1"/>
    </row>
    <row r="177" spans="1:47" ht="14.25" customHeight="1">
      <c r="A177" s="1">
        <v>33</v>
      </c>
      <c r="B177" s="3" t="s">
        <v>226</v>
      </c>
      <c r="C177" s="1">
        <v>2022</v>
      </c>
      <c r="D177" s="13">
        <f>VLOOKUP(B177,Population!$B$1:$O$48,6,FALSE)</f>
        <v>126093.17390490181</v>
      </c>
      <c r="E177" s="13" t="str">
        <f t="shared" si="18"/>
        <v>Medium</v>
      </c>
      <c r="F177" s="54">
        <f>VLOOKUP(B177,'Household Information'!$B$1:$E$48,2,FALSE)</f>
        <v>2.6362587373793409</v>
      </c>
      <c r="G177" s="54">
        <f t="shared" si="0"/>
        <v>47830.348408915597</v>
      </c>
      <c r="H177" s="55">
        <f>IF(D177&gt;Variables!$C$6,H130,H130*(1+Variables!$C$9))</f>
        <v>12.015102013299996</v>
      </c>
      <c r="I177" s="55"/>
      <c r="J177" s="13">
        <f>H177*Variables!$C$21</f>
        <v>216.27183623939993</v>
      </c>
      <c r="K177" s="13">
        <f t="shared" si="12"/>
        <v>216.27183623939993</v>
      </c>
      <c r="L177" s="54">
        <f t="shared" si="1"/>
        <v>0</v>
      </c>
      <c r="M177" s="56"/>
      <c r="N177" s="57"/>
      <c r="O177" s="57"/>
      <c r="P177" s="57"/>
      <c r="Q177" s="57"/>
      <c r="R177" s="57"/>
      <c r="S177" s="58">
        <v>0</v>
      </c>
      <c r="T177" s="59">
        <f>$L177*Variables!$C$22/100</f>
        <v>0</v>
      </c>
      <c r="U177" s="59">
        <f>$L177*Variables!$C$23/100</f>
        <v>0</v>
      </c>
      <c r="V177" s="59">
        <f>$L177*Variables!$C$24/100</f>
        <v>0</v>
      </c>
      <c r="W177" s="59">
        <f>$L177*Variables!$C$25/100</f>
        <v>0</v>
      </c>
      <c r="X177" s="62">
        <f>T177*Variables!$E$26*Variables!$C$18+'Cost Calculations'!U177*Variables!$E$27*Variables!$C$18+'Cost Calculations'!V177*Variables!$E$28*Variables!$C$18+W177*Variables!$E$29*Variables!$C$18</f>
        <v>0</v>
      </c>
      <c r="Y177" s="58">
        <f>J177*Variables!$E$30</f>
        <v>141658.05273680695</v>
      </c>
      <c r="Z177" s="1"/>
      <c r="AA177" s="245">
        <f>D177*(IF(D177&lt;Variables!$C$7,Variables!$C$38,IF(D177&gt;Variables!$C$6,Variables!$C$36,Variables!$C$37)))</f>
        <v>151.31180868588214</v>
      </c>
      <c r="AB177" s="64">
        <f t="shared" si="13"/>
        <v>149</v>
      </c>
      <c r="AC177" s="66">
        <f t="shared" si="2"/>
        <v>2</v>
      </c>
      <c r="AD177" s="62">
        <f>AC177*Variables!$E$41</f>
        <v>1075200</v>
      </c>
      <c r="AE177" s="71">
        <f>ROUND((H177/(3.14*Variables!$C$35^2)),0)</f>
        <v>15</v>
      </c>
      <c r="AF177" s="57">
        <f t="shared" si="14"/>
        <v>15</v>
      </c>
      <c r="AG177" s="57">
        <f t="shared" si="3"/>
        <v>0</v>
      </c>
      <c r="AH177" s="58">
        <f>AG177*Variables!$E$42*Variables!$C$18</f>
        <v>0</v>
      </c>
      <c r="AI177" s="73">
        <f t="shared" si="4"/>
        <v>1</v>
      </c>
      <c r="AJ177" s="66">
        <f t="shared" si="15"/>
        <v>1</v>
      </c>
      <c r="AK177" s="66">
        <f t="shared" si="5"/>
        <v>0</v>
      </c>
      <c r="AL177" s="62">
        <f>IF(AK177*Variables!$E$43*Variables!$C$18&lt;0,0,AK177*Variables!$E$43*Variables!$C$18)</f>
        <v>0</v>
      </c>
      <c r="AM177" s="58">
        <f>AA177*Variables!$E$39*Variables!$C$18</f>
        <v>43737028.527558587</v>
      </c>
      <c r="AN177" s="1"/>
      <c r="AO177" s="76">
        <f t="shared" si="16"/>
        <v>0.67714285714285716</v>
      </c>
      <c r="AP177" s="76">
        <f t="shared" si="6"/>
        <v>107.10742641581207</v>
      </c>
      <c r="AQ177" s="75">
        <f>VLOOKUP(B177,'Household Information'!$B$2:$E$48,4,FALSE)</f>
        <v>40.760000000000005</v>
      </c>
      <c r="AR177" s="79">
        <f>IF(12*(AP177-Variables!$C$45*AQ177*F177)*(G177/5)&lt;0,0,12*(AP177-Variables!$C$45*AQ177*F177)*(G177/5))</f>
        <v>10444924.457750428</v>
      </c>
      <c r="AS177" s="1"/>
      <c r="AT177" s="62">
        <v>0</v>
      </c>
      <c r="AU177" s="1"/>
    </row>
    <row r="178" spans="1:47" ht="14.25" customHeight="1">
      <c r="A178" s="1">
        <v>34</v>
      </c>
      <c r="B178" s="3" t="s">
        <v>227</v>
      </c>
      <c r="C178" s="1">
        <v>2022</v>
      </c>
      <c r="D178" s="13">
        <f>VLOOKUP(B178,Population!$B$1:$O$48,6,FALSE)</f>
        <v>111991.89777129807</v>
      </c>
      <c r="E178" s="13" t="str">
        <f t="shared" si="18"/>
        <v>Medium</v>
      </c>
      <c r="F178" s="54">
        <f>VLOOKUP(B178,'Household Information'!$B$1:$E$48,2,FALSE)</f>
        <v>2.8808529227072923</v>
      </c>
      <c r="G178" s="54">
        <f t="shared" si="0"/>
        <v>38874.56276874186</v>
      </c>
      <c r="H178" s="55">
        <f>IF(D178&gt;Variables!$C$6,H131,H131*(1+Variables!$C$9))</f>
        <v>8.2342029393899967</v>
      </c>
      <c r="I178" s="55"/>
      <c r="J178" s="13">
        <f>H178*Variables!$C$21</f>
        <v>148.21565290901995</v>
      </c>
      <c r="K178" s="13">
        <f t="shared" si="12"/>
        <v>148.21565290901995</v>
      </c>
      <c r="L178" s="54">
        <f t="shared" si="1"/>
        <v>0</v>
      </c>
      <c r="M178" s="56"/>
      <c r="N178" s="57"/>
      <c r="O178" s="57"/>
      <c r="P178" s="57"/>
      <c r="Q178" s="57"/>
      <c r="R178" s="57"/>
      <c r="S178" s="58">
        <v>0</v>
      </c>
      <c r="T178" s="59">
        <f>$L178*Variables!$C$22/100</f>
        <v>0</v>
      </c>
      <c r="U178" s="59">
        <f>$L178*Variables!$C$23/100</f>
        <v>0</v>
      </c>
      <c r="V178" s="59">
        <f>$L178*Variables!$C$24/100</f>
        <v>0</v>
      </c>
      <c r="W178" s="59">
        <f>$L178*Variables!$C$25/100</f>
        <v>0</v>
      </c>
      <c r="X178" s="62">
        <f>T178*Variables!$E$26*Variables!$C$18+'Cost Calculations'!U178*Variables!$E$27*Variables!$C$18+'Cost Calculations'!V178*Variables!$E$28*Variables!$C$18+W178*Variables!$E$29*Variables!$C$18</f>
        <v>0</v>
      </c>
      <c r="Y178" s="58">
        <f>J178*Variables!$E$30</f>
        <v>97081.252655408069</v>
      </c>
      <c r="Z178" s="1"/>
      <c r="AA178" s="245">
        <f>D178*(IF(D178&lt;Variables!$C$7,Variables!$C$38,IF(D178&gt;Variables!$C$6,Variables!$C$36,Variables!$C$37)))</f>
        <v>134.39027732555766</v>
      </c>
      <c r="AB178" s="64">
        <f t="shared" si="13"/>
        <v>132</v>
      </c>
      <c r="AC178" s="66">
        <f t="shared" si="2"/>
        <v>2</v>
      </c>
      <c r="AD178" s="62">
        <f>AC178*Variables!$E$41</f>
        <v>1075200</v>
      </c>
      <c r="AE178" s="71">
        <f>ROUND((H178/(3.14*Variables!$C$35^2)),0)</f>
        <v>10</v>
      </c>
      <c r="AF178" s="57">
        <f t="shared" si="14"/>
        <v>10</v>
      </c>
      <c r="AG178" s="57">
        <f t="shared" si="3"/>
        <v>0</v>
      </c>
      <c r="AH178" s="58">
        <f>AG178*Variables!$E$42*Variables!$C$18</f>
        <v>0</v>
      </c>
      <c r="AI178" s="73">
        <f t="shared" si="4"/>
        <v>1</v>
      </c>
      <c r="AJ178" s="66">
        <f t="shared" si="15"/>
        <v>1</v>
      </c>
      <c r="AK178" s="66">
        <f t="shared" si="5"/>
        <v>0</v>
      </c>
      <c r="AL178" s="62">
        <f>IF(AK178*Variables!$E$43*Variables!$C$18&lt;0,0,AK178*Variables!$E$43*Variables!$C$18)</f>
        <v>0</v>
      </c>
      <c r="AM178" s="58">
        <f>AA178*Variables!$E$39*Variables!$C$18</f>
        <v>38845820.721214108</v>
      </c>
      <c r="AN178" s="1"/>
      <c r="AO178" s="76">
        <f t="shared" si="16"/>
        <v>0.67714285714285716</v>
      </c>
      <c r="AP178" s="76">
        <f t="shared" si="6"/>
        <v>117.04493874542199</v>
      </c>
      <c r="AQ178" s="75">
        <f>VLOOKUP(B178,'Household Information'!$B$2:$E$48,4,FALSE)</f>
        <v>40.760000000000005</v>
      </c>
      <c r="AR178" s="79">
        <f>IF(12*(AP178-Variables!$C$45*AQ178*F178)*(G178/5)&lt;0,0,12*(AP178-Variables!$C$45*AQ178*F178)*(G178/5))</f>
        <v>9276845.6521169674</v>
      </c>
      <c r="AS178" s="1"/>
      <c r="AT178" s="62">
        <v>0</v>
      </c>
      <c r="AU178" s="1"/>
    </row>
    <row r="179" spans="1:47" ht="14.25" customHeight="1">
      <c r="A179" s="1">
        <v>35</v>
      </c>
      <c r="B179" s="3" t="s">
        <v>228</v>
      </c>
      <c r="C179" s="1">
        <v>2022</v>
      </c>
      <c r="D179" s="13">
        <f>VLOOKUP(B179,Population!$B$1:$O$48,6,FALSE)</f>
        <v>511472.15640973783</v>
      </c>
      <c r="E179" s="13" t="str">
        <f t="shared" si="18"/>
        <v>Medium</v>
      </c>
      <c r="F179" s="54">
        <f>VLOOKUP(B179,'Household Information'!$B$1:$E$48,2,FALSE)</f>
        <v>2.7382605632202197</v>
      </c>
      <c r="G179" s="54">
        <f t="shared" si="0"/>
        <v>186787.24854739237</v>
      </c>
      <c r="H179" s="55">
        <f>IF(D179&gt;Variables!$C$6,H132,H132*(1+Variables!$C$9))</f>
        <v>24.726831923274581</v>
      </c>
      <c r="I179" s="55"/>
      <c r="J179" s="13">
        <f>H179*Variables!$C$21</f>
        <v>445.08297461894244</v>
      </c>
      <c r="K179" s="13">
        <f t="shared" si="12"/>
        <v>445.08297461894244</v>
      </c>
      <c r="L179" s="54">
        <f t="shared" si="1"/>
        <v>0</v>
      </c>
      <c r="M179" s="56"/>
      <c r="N179" s="57"/>
      <c r="O179" s="57"/>
      <c r="P179" s="57"/>
      <c r="Q179" s="57"/>
      <c r="R179" s="57"/>
      <c r="S179" s="58">
        <v>0</v>
      </c>
      <c r="T179" s="59">
        <f>$L179*Variables!$C$22/100</f>
        <v>0</v>
      </c>
      <c r="U179" s="59">
        <f>$L179*Variables!$C$23/100</f>
        <v>0</v>
      </c>
      <c r="V179" s="59">
        <f>$L179*Variables!$C$24/100</f>
        <v>0</v>
      </c>
      <c r="W179" s="59">
        <f>$L179*Variables!$C$25/100</f>
        <v>0</v>
      </c>
      <c r="X179" s="62">
        <f>T179*Variables!$E$26*Variables!$C$18+'Cost Calculations'!U179*Variables!$E$27*Variables!$C$18+'Cost Calculations'!V179*Variables!$E$28*Variables!$C$18+W179*Variables!$E$29*Variables!$C$18</f>
        <v>0</v>
      </c>
      <c r="Y179" s="58">
        <f>J179*Variables!$E$30</f>
        <v>291529.34837540728</v>
      </c>
      <c r="Z179" s="1"/>
      <c r="AA179" s="245">
        <f>D179*(IF(D179&lt;Variables!$C$7,Variables!$C$38,IF(D179&gt;Variables!$C$6,Variables!$C$36,Variables!$C$37)))</f>
        <v>613.76658769168534</v>
      </c>
      <c r="AB179" s="64">
        <f t="shared" si="13"/>
        <v>605</v>
      </c>
      <c r="AC179" s="66">
        <f t="shared" si="2"/>
        <v>9</v>
      </c>
      <c r="AD179" s="62">
        <f>AC179*Variables!$E$41</f>
        <v>4838400</v>
      </c>
      <c r="AE179" s="71">
        <f>ROUND((H179/(3.14*Variables!$C$35^2)),0)</f>
        <v>31</v>
      </c>
      <c r="AF179" s="57">
        <f t="shared" si="14"/>
        <v>31</v>
      </c>
      <c r="AG179" s="57">
        <f t="shared" si="3"/>
        <v>0</v>
      </c>
      <c r="AH179" s="58">
        <f>AG179*Variables!$E$42*Variables!$C$18</f>
        <v>0</v>
      </c>
      <c r="AI179" s="73">
        <f t="shared" si="4"/>
        <v>5</v>
      </c>
      <c r="AJ179" s="66">
        <f t="shared" si="15"/>
        <v>5</v>
      </c>
      <c r="AK179" s="66">
        <f t="shared" si="5"/>
        <v>0</v>
      </c>
      <c r="AL179" s="62">
        <f>IF(AK179*Variables!$E$43*Variables!$C$18&lt;0,0,AK179*Variables!$E$43*Variables!$C$18)</f>
        <v>0</v>
      </c>
      <c r="AM179" s="58">
        <f>AA179*Variables!$E$39*Variables!$C$18</f>
        <v>177410652.79882672</v>
      </c>
      <c r="AN179" s="1"/>
      <c r="AO179" s="76">
        <f t="shared" si="16"/>
        <v>0.67714285714285716</v>
      </c>
      <c r="AP179" s="76">
        <f t="shared" si="6"/>
        <v>111.25161488283292</v>
      </c>
      <c r="AQ179" s="75">
        <f>VLOOKUP(B179,'Household Information'!$B$2:$E$48,4,FALSE)</f>
        <v>40.760000000000005</v>
      </c>
      <c r="AR179" s="79">
        <f>IF(12*(AP179-Variables!$C$45*AQ179*F179)*(G179/5)&lt;0,0,12*(AP179-Variables!$C$45*AQ179*F179)*(G179/5))</f>
        <v>42367781.462710448</v>
      </c>
      <c r="AS179" s="1"/>
      <c r="AT179" s="62">
        <v>0</v>
      </c>
      <c r="AU179" s="1"/>
    </row>
    <row r="180" spans="1:47" ht="14.25" customHeight="1">
      <c r="A180" s="1">
        <v>36</v>
      </c>
      <c r="B180" s="3" t="s">
        <v>229</v>
      </c>
      <c r="C180" s="1">
        <v>2022</v>
      </c>
      <c r="D180" s="13">
        <f>VLOOKUP(B180,Population!$B$1:$O$48,6,FALSE)</f>
        <v>274304.10284127796</v>
      </c>
      <c r="E180" s="13" t="str">
        <f t="shared" si="18"/>
        <v>Medium</v>
      </c>
      <c r="F180" s="54">
        <f>VLOOKUP(B180,'Household Information'!$B$1:$E$48,2,FALSE)</f>
        <v>2.7303604631507774</v>
      </c>
      <c r="G180" s="54">
        <f t="shared" si="0"/>
        <v>100464.42824795995</v>
      </c>
      <c r="H180" s="55">
        <f>IF(D180&gt;Variables!$C$6,H133,H133*(1+Variables!$C$9))</f>
        <v>25.407115316792478</v>
      </c>
      <c r="I180" s="55"/>
      <c r="J180" s="13">
        <f>H180*Variables!$C$21</f>
        <v>457.32807570226458</v>
      </c>
      <c r="K180" s="13">
        <f t="shared" si="12"/>
        <v>457.32807570226458</v>
      </c>
      <c r="L180" s="54">
        <f t="shared" si="1"/>
        <v>0</v>
      </c>
      <c r="M180" s="56"/>
      <c r="N180" s="57"/>
      <c r="O180" s="57"/>
      <c r="P180" s="57"/>
      <c r="Q180" s="57"/>
      <c r="R180" s="57"/>
      <c r="S180" s="58">
        <v>0</v>
      </c>
      <c r="T180" s="59">
        <f>$L180*Variables!$C$22/100</f>
        <v>0</v>
      </c>
      <c r="U180" s="59">
        <f>$L180*Variables!$C$23/100</f>
        <v>0</v>
      </c>
      <c r="V180" s="59">
        <f>$L180*Variables!$C$24/100</f>
        <v>0</v>
      </c>
      <c r="W180" s="59">
        <f>$L180*Variables!$C$25/100</f>
        <v>0</v>
      </c>
      <c r="X180" s="62">
        <f>T180*Variables!$E$26*Variables!$C$18+'Cost Calculations'!U180*Variables!$E$27*Variables!$C$18+'Cost Calculations'!V180*Variables!$E$28*Variables!$C$18+W180*Variables!$E$29*Variables!$C$18</f>
        <v>0</v>
      </c>
      <c r="Y180" s="58">
        <f>J180*Variables!$E$30</f>
        <v>299549.88958498329</v>
      </c>
      <c r="Z180" s="1"/>
      <c r="AA180" s="245">
        <f>D180*(IF(D180&lt;Variables!$C$7,Variables!$C$38,IF(D180&gt;Variables!$C$6,Variables!$C$36,Variables!$C$37)))</f>
        <v>329.16492340953351</v>
      </c>
      <c r="AB180" s="64">
        <f t="shared" si="13"/>
        <v>324</v>
      </c>
      <c r="AC180" s="66">
        <f t="shared" si="2"/>
        <v>5</v>
      </c>
      <c r="AD180" s="62">
        <f>AC180*Variables!$E$41</f>
        <v>2688000</v>
      </c>
      <c r="AE180" s="71">
        <f>ROUND((H180/(3.14*Variables!$C$35^2)),0)</f>
        <v>32</v>
      </c>
      <c r="AF180" s="57">
        <f t="shared" si="14"/>
        <v>32</v>
      </c>
      <c r="AG180" s="57">
        <f t="shared" si="3"/>
        <v>0</v>
      </c>
      <c r="AH180" s="58">
        <f>AG180*Variables!$E$42*Variables!$C$18</f>
        <v>0</v>
      </c>
      <c r="AI180" s="73">
        <f t="shared" si="4"/>
        <v>3</v>
      </c>
      <c r="AJ180" s="66">
        <f t="shared" si="15"/>
        <v>3</v>
      </c>
      <c r="AK180" s="66">
        <f t="shared" si="5"/>
        <v>0</v>
      </c>
      <c r="AL180" s="62">
        <f>IF(AK180*Variables!$E$43*Variables!$C$18&lt;0,0,AK180*Variables!$E$43*Variables!$C$18)</f>
        <v>0</v>
      </c>
      <c r="AM180" s="58">
        <f>AA180*Variables!$E$39*Variables!$C$18</f>
        <v>95145882.99794516</v>
      </c>
      <c r="AN180" s="1"/>
      <c r="AO180" s="76">
        <f t="shared" si="16"/>
        <v>0.67714285714285716</v>
      </c>
      <c r="AP180" s="76">
        <f t="shared" si="6"/>
        <v>110.93064510286872</v>
      </c>
      <c r="AQ180" s="75">
        <f>VLOOKUP(B180,'Household Information'!$B$2:$E$48,4,FALSE)</f>
        <v>27.28</v>
      </c>
      <c r="AR180" s="79">
        <f>IF(12*(AP180-Variables!$C$45*AQ180*F180)*(G180/5)&lt;0,0,12*(AP180-Variables!$C$45*AQ180*F180)*(G180/5))</f>
        <v>24053115.471865334</v>
      </c>
      <c r="AS180" s="1"/>
      <c r="AT180" s="62">
        <v>0</v>
      </c>
      <c r="AU180" s="1"/>
    </row>
    <row r="181" spans="1:47" ht="14.25" customHeight="1">
      <c r="A181" s="1">
        <v>37</v>
      </c>
      <c r="B181" s="3" t="s">
        <v>230</v>
      </c>
      <c r="C181" s="1">
        <v>2022</v>
      </c>
      <c r="D181" s="13">
        <f>VLOOKUP(B181,Population!$B$1:$O$48,6,FALSE)</f>
        <v>127853.97603538868</v>
      </c>
      <c r="E181" s="13" t="str">
        <f t="shared" si="18"/>
        <v>Medium</v>
      </c>
      <c r="F181" s="54">
        <f>VLOOKUP(B181,'Household Information'!$B$1:$E$48,2,FALSE)</f>
        <v>2.4882673717260184</v>
      </c>
      <c r="G181" s="54">
        <f t="shared" si="0"/>
        <v>51382.732212857474</v>
      </c>
      <c r="H181" s="55">
        <f>IF(D181&gt;Variables!$C$6,H134,H134*(1+Variables!$C$9))</f>
        <v>33.664331695979989</v>
      </c>
      <c r="I181" s="55"/>
      <c r="J181" s="13">
        <f>H181*Variables!$C$21</f>
        <v>605.95797052763976</v>
      </c>
      <c r="K181" s="13">
        <f t="shared" si="12"/>
        <v>605.95797052763976</v>
      </c>
      <c r="L181" s="54">
        <f t="shared" si="1"/>
        <v>0</v>
      </c>
      <c r="M181" s="56"/>
      <c r="N181" s="57"/>
      <c r="O181" s="57"/>
      <c r="P181" s="57"/>
      <c r="Q181" s="57"/>
      <c r="R181" s="57"/>
      <c r="S181" s="58">
        <v>0</v>
      </c>
      <c r="T181" s="59">
        <f>$L181*Variables!$C$22/100</f>
        <v>0</v>
      </c>
      <c r="U181" s="59">
        <f>$L181*Variables!$C$23/100</f>
        <v>0</v>
      </c>
      <c r="V181" s="59">
        <f>$L181*Variables!$C$24/100</f>
        <v>0</v>
      </c>
      <c r="W181" s="59">
        <f>$L181*Variables!$C$25/100</f>
        <v>0</v>
      </c>
      <c r="X181" s="62">
        <f>T181*Variables!$E$26*Variables!$C$18+'Cost Calculations'!U181*Variables!$E$27*Variables!$C$18+'Cost Calculations'!V181*Variables!$E$28*Variables!$C$18+W181*Variables!$E$29*Variables!$C$18</f>
        <v>0</v>
      </c>
      <c r="Y181" s="58">
        <f>J181*Variables!$E$30</f>
        <v>396902.47069560405</v>
      </c>
      <c r="Z181" s="1"/>
      <c r="AA181" s="245">
        <f>D181*(IF(D181&lt;Variables!$C$7,Variables!$C$38,IF(D181&gt;Variables!$C$6,Variables!$C$36,Variables!$C$37)))</f>
        <v>153.42477124246639</v>
      </c>
      <c r="AB181" s="64">
        <f t="shared" si="13"/>
        <v>151</v>
      </c>
      <c r="AC181" s="66">
        <f t="shared" si="2"/>
        <v>2</v>
      </c>
      <c r="AD181" s="62">
        <f>AC181*Variables!$E$41</f>
        <v>1075200</v>
      </c>
      <c r="AE181" s="71">
        <f>ROUND((H181/(3.14*Variables!$C$35^2)),0)</f>
        <v>43</v>
      </c>
      <c r="AF181" s="57">
        <f t="shared" si="14"/>
        <v>43</v>
      </c>
      <c r="AG181" s="57">
        <f t="shared" si="3"/>
        <v>0</v>
      </c>
      <c r="AH181" s="58">
        <f>AG181*Variables!$E$42*Variables!$C$18</f>
        <v>0</v>
      </c>
      <c r="AI181" s="73">
        <f t="shared" si="4"/>
        <v>1</v>
      </c>
      <c r="AJ181" s="66">
        <f t="shared" si="15"/>
        <v>1</v>
      </c>
      <c r="AK181" s="66">
        <f t="shared" si="5"/>
        <v>0</v>
      </c>
      <c r="AL181" s="62">
        <f>IF(AK181*Variables!$E$43*Variables!$C$18&lt;0,0,AK181*Variables!$E$43*Variables!$C$18)</f>
        <v>0</v>
      </c>
      <c r="AM181" s="58">
        <f>AA181*Variables!$E$39*Variables!$C$18</f>
        <v>44347785.245210662</v>
      </c>
      <c r="AN181" s="1"/>
      <c r="AO181" s="76">
        <f t="shared" si="16"/>
        <v>0.67714285714285716</v>
      </c>
      <c r="AP181" s="76">
        <f t="shared" si="6"/>
        <v>101.09474864555423</v>
      </c>
      <c r="AQ181" s="75">
        <f>VLOOKUP(B181,'Household Information'!$B$2:$E$48,4,FALSE)</f>
        <v>40.760000000000005</v>
      </c>
      <c r="AR181" s="79">
        <f>IF(12*(AP181-Variables!$C$45*AQ181*F181)*(G181/5)&lt;0,0,12*(AP181-Variables!$C$45*AQ181*F181)*(G181/5))</f>
        <v>10590780.451920677</v>
      </c>
      <c r="AS181" s="1"/>
      <c r="AT181" s="62">
        <v>0</v>
      </c>
      <c r="AU181" s="1"/>
    </row>
    <row r="182" spans="1:47" ht="14.25" customHeight="1">
      <c r="A182" s="1">
        <v>38</v>
      </c>
      <c r="B182" s="3" t="s">
        <v>231</v>
      </c>
      <c r="C182" s="1">
        <v>2022</v>
      </c>
      <c r="D182" s="13">
        <f>VLOOKUP(B182,Population!$B$1:$O$48,6,FALSE)</f>
        <v>37737.842406022479</v>
      </c>
      <c r="E182" s="13" t="str">
        <f t="shared" si="18"/>
        <v>Small</v>
      </c>
      <c r="F182" s="54">
        <f>VLOOKUP(B182,'Household Information'!$B$1:$E$48,2,FALSE)</f>
        <v>3.5815854318168161</v>
      </c>
      <c r="G182" s="54">
        <f t="shared" si="0"/>
        <v>10536.630529815217</v>
      </c>
      <c r="H182" s="55">
        <f>IF(D182&gt;Variables!$C$6,H135,H135*(1+Variables!$C$9))</f>
        <v>3.9682905731999991</v>
      </c>
      <c r="I182" s="55"/>
      <c r="J182" s="13">
        <f>H182*Variables!$C$21</f>
        <v>71.429230317599988</v>
      </c>
      <c r="K182" s="13">
        <f t="shared" si="12"/>
        <v>69.147367199999991</v>
      </c>
      <c r="L182" s="54">
        <f t="shared" si="1"/>
        <v>2.2818631175999968</v>
      </c>
      <c r="M182" s="56"/>
      <c r="N182" s="57"/>
      <c r="O182" s="57"/>
      <c r="P182" s="57"/>
      <c r="Q182" s="57"/>
      <c r="R182" s="57"/>
      <c r="S182" s="58">
        <v>0</v>
      </c>
      <c r="T182" s="59">
        <f>$L182*Variables!$C$22/100</f>
        <v>0.12390206973393646</v>
      </c>
      <c r="U182" s="59">
        <f>$L182*Variables!$C$23/100</f>
        <v>0.21682862203438882</v>
      </c>
      <c r="V182" s="59">
        <f>$L182*Variables!$C$24/100</f>
        <v>0.2271537945122169</v>
      </c>
      <c r="W182" s="59">
        <f>$L182*Variables!$C$25/100</f>
        <v>1.6520275964524864</v>
      </c>
      <c r="X182" s="62">
        <f>T182*Variables!$E$26*Variables!$C$18+'Cost Calculations'!U182*Variables!$E$27*Variables!$C$18+'Cost Calculations'!V182*Variables!$E$28*Variables!$C$18+W182*Variables!$E$29*Variables!$C$18</f>
        <v>2593857.646317347</v>
      </c>
      <c r="Y182" s="58">
        <f>J182*Variables!$E$30</f>
        <v>46786.145858027994</v>
      </c>
      <c r="Z182" s="1"/>
      <c r="AA182" s="245">
        <f>D182*(IF(D182&lt;Variables!$C$7,Variables!$C$38,IF(D182&gt;Variables!$C$6,Variables!$C$36,Variables!$C$37)))</f>
        <v>18.86892120301124</v>
      </c>
      <c r="AB182" s="64">
        <f t="shared" si="13"/>
        <v>19</v>
      </c>
      <c r="AC182" s="66">
        <f t="shared" si="2"/>
        <v>0</v>
      </c>
      <c r="AD182" s="62">
        <f>AC182*Variables!$E$41</f>
        <v>0</v>
      </c>
      <c r="AE182" s="71">
        <f>ROUND((H182/(3.14*Variables!$C$35^2)),0)</f>
        <v>5</v>
      </c>
      <c r="AF182" s="57">
        <f t="shared" si="14"/>
        <v>5</v>
      </c>
      <c r="AG182" s="57">
        <f t="shared" si="3"/>
        <v>0</v>
      </c>
      <c r="AH182" s="58">
        <f>AG182*Variables!$E$42*Variables!$C$18</f>
        <v>0</v>
      </c>
      <c r="AI182" s="73">
        <f t="shared" si="4"/>
        <v>0</v>
      </c>
      <c r="AJ182" s="66">
        <f t="shared" si="15"/>
        <v>0</v>
      </c>
      <c r="AK182" s="66">
        <f t="shared" si="5"/>
        <v>0</v>
      </c>
      <c r="AL182" s="62">
        <f>IF(AK182*Variables!$E$43*Variables!$C$18&lt;0,0,AK182*Variables!$E$43*Variables!$C$18)</f>
        <v>0</v>
      </c>
      <c r="AM182" s="58">
        <f>AA182*Variables!$E$39*Variables!$C$18</f>
        <v>5454105.3478092356</v>
      </c>
      <c r="AN182" s="1"/>
      <c r="AO182" s="76">
        <f t="shared" si="16"/>
        <v>0.67714285714285716</v>
      </c>
      <c r="AP182" s="76">
        <f t="shared" si="6"/>
        <v>145.51469954410035</v>
      </c>
      <c r="AQ182" s="75">
        <f>VLOOKUP(B182,'Household Information'!$B$2:$E$48,4,FALSE)</f>
        <v>40.760000000000005</v>
      </c>
      <c r="AR182" s="79">
        <f>IF(12*(AP182-Variables!$C$45*AQ182*F182)*(G182/5)&lt;0,0,12*(AP182-Variables!$C$45*AQ182*F182)*(G182/5))</f>
        <v>3126013.0974788028</v>
      </c>
      <c r="AS182" s="1"/>
      <c r="AT182" s="62">
        <v>0</v>
      </c>
      <c r="AU182" s="1"/>
    </row>
    <row r="183" spans="1:47" ht="14.25" customHeight="1">
      <c r="A183" s="1">
        <v>39</v>
      </c>
      <c r="B183" s="3" t="s">
        <v>232</v>
      </c>
      <c r="C183" s="1">
        <v>2022</v>
      </c>
      <c r="D183" s="13">
        <f>VLOOKUP(B183,Population!$B$1:$O$48,6,FALSE)</f>
        <v>71236.598790848715</v>
      </c>
      <c r="E183" s="13" t="str">
        <f t="shared" si="18"/>
        <v>Small</v>
      </c>
      <c r="F183" s="54">
        <f>VLOOKUP(B183,'Household Information'!$B$1:$E$48,2,FALSE)</f>
        <v>3.4614749871067563</v>
      </c>
      <c r="G183" s="54">
        <f t="shared" si="0"/>
        <v>20579.83924661874</v>
      </c>
      <c r="H183" s="55">
        <f>IF(D183&gt;Variables!$C$6,H136,H136*(1+Variables!$C$9))</f>
        <v>6.4705182401899988</v>
      </c>
      <c r="I183" s="55"/>
      <c r="J183" s="13">
        <f>H183*Variables!$C$21</f>
        <v>116.46932832341997</v>
      </c>
      <c r="K183" s="13">
        <f t="shared" si="12"/>
        <v>112.74862373999999</v>
      </c>
      <c r="L183" s="54">
        <f t="shared" si="1"/>
        <v>3.7207045834199874</v>
      </c>
      <c r="M183" s="56"/>
      <c r="N183" s="57"/>
      <c r="O183" s="57"/>
      <c r="P183" s="57"/>
      <c r="Q183" s="57"/>
      <c r="R183" s="57"/>
      <c r="S183" s="58">
        <v>0</v>
      </c>
      <c r="T183" s="59">
        <f>$L183*Variables!$C$22/100</f>
        <v>0.20202920814950154</v>
      </c>
      <c r="U183" s="59">
        <f>$L183*Variables!$C$23/100</f>
        <v>0.35355111426162777</v>
      </c>
      <c r="V183" s="59">
        <f>$L183*Variables!$C$24/100</f>
        <v>0.37038688160741956</v>
      </c>
      <c r="W183" s="59">
        <f>$L183*Variables!$C$25/100</f>
        <v>2.6937227753266875</v>
      </c>
      <c r="X183" s="62">
        <f>T183*Variables!$E$26*Variables!$C$18+'Cost Calculations'!U183*Variables!$E$27*Variables!$C$18+'Cost Calculations'!V183*Variables!$E$28*Variables!$C$18+W183*Variables!$E$29*Variables!$C$18</f>
        <v>4229428.9955229983</v>
      </c>
      <c r="Y183" s="58">
        <f>J183*Variables!$E$30</f>
        <v>76287.410051840081</v>
      </c>
      <c r="Z183" s="1"/>
      <c r="AA183" s="245">
        <f>D183*(IF(D183&lt;Variables!$C$7,Variables!$C$38,IF(D183&gt;Variables!$C$6,Variables!$C$36,Variables!$C$37)))</f>
        <v>56.989279032678972</v>
      </c>
      <c r="AB183" s="64">
        <f t="shared" si="13"/>
        <v>56</v>
      </c>
      <c r="AC183" s="66">
        <f t="shared" si="2"/>
        <v>1</v>
      </c>
      <c r="AD183" s="62">
        <f>AC183*Variables!$E$41</f>
        <v>537600</v>
      </c>
      <c r="AE183" s="71">
        <f>ROUND((H183/(3.14*Variables!$C$35^2)),0)</f>
        <v>8</v>
      </c>
      <c r="AF183" s="57">
        <f t="shared" si="14"/>
        <v>8</v>
      </c>
      <c r="AG183" s="57">
        <f t="shared" si="3"/>
        <v>0</v>
      </c>
      <c r="AH183" s="58">
        <f>AG183*Variables!$E$42*Variables!$C$18</f>
        <v>0</v>
      </c>
      <c r="AI183" s="73">
        <f t="shared" si="4"/>
        <v>0</v>
      </c>
      <c r="AJ183" s="66">
        <f t="shared" si="15"/>
        <v>3</v>
      </c>
      <c r="AK183" s="66">
        <f t="shared" si="5"/>
        <v>0</v>
      </c>
      <c r="AL183" s="62">
        <f>IF(AK183*Variables!$E$43*Variables!$C$18&lt;0,0,AK183*Variables!$E$43*Variables!$C$18)</f>
        <v>0</v>
      </c>
      <c r="AM183" s="58">
        <f>AA183*Variables!$E$39*Variables!$C$18</f>
        <v>16472883.012004061</v>
      </c>
      <c r="AN183" s="1"/>
      <c r="AO183" s="76">
        <f t="shared" si="16"/>
        <v>0.67714285714285716</v>
      </c>
      <c r="AP183" s="76">
        <f t="shared" si="6"/>
        <v>140.63478376188021</v>
      </c>
      <c r="AQ183" s="75">
        <f>VLOOKUP(B183,'Household Information'!$B$2:$E$48,4,FALSE)</f>
        <v>40.760000000000005</v>
      </c>
      <c r="AR183" s="79">
        <f>IF(12*(AP183-Variables!$C$45*AQ183*F183)*(G183/5)&lt;0,0,12*(AP183-Variables!$C$45*AQ183*F183)*(G183/5))</f>
        <v>5900881.6255085599</v>
      </c>
      <c r="AS183" s="1"/>
      <c r="AT183" s="62">
        <v>0</v>
      </c>
      <c r="AU183" s="1"/>
    </row>
    <row r="184" spans="1:47" ht="14.25" customHeight="1">
      <c r="A184" s="1">
        <v>40</v>
      </c>
      <c r="B184" s="3" t="s">
        <v>233</v>
      </c>
      <c r="C184" s="1">
        <v>2022</v>
      </c>
      <c r="D184" s="13">
        <f>VLOOKUP(B184,Population!$B$1:$O$48,6,FALSE)</f>
        <v>3222.2997396974984</v>
      </c>
      <c r="E184" s="13" t="str">
        <f t="shared" si="18"/>
        <v>Small</v>
      </c>
      <c r="F184" s="54">
        <f>VLOOKUP(B184,'Household Information'!$B$1:$E$48,2,FALSE)</f>
        <v>3.9153259949195598</v>
      </c>
      <c r="G184" s="54">
        <f t="shared" si="0"/>
        <v>822.99653818830996</v>
      </c>
      <c r="H184" s="55">
        <f>IF(D184&gt;Variables!$C$6,H137,H137*(1+Variables!$C$9))</f>
        <v>0.22046058739999996</v>
      </c>
      <c r="I184" s="55"/>
      <c r="J184" s="13">
        <f>H184*Variables!$C$21</f>
        <v>3.9682905731999991</v>
      </c>
      <c r="K184" s="13">
        <f t="shared" si="12"/>
        <v>21.97</v>
      </c>
      <c r="L184" s="54">
        <f t="shared" si="1"/>
        <v>0</v>
      </c>
      <c r="M184" s="56"/>
      <c r="N184" s="57"/>
      <c r="O184" s="57"/>
      <c r="P184" s="57"/>
      <c r="Q184" s="57"/>
      <c r="R184" s="57"/>
      <c r="S184" s="58">
        <v>0</v>
      </c>
      <c r="T184" s="59">
        <f>$L184*Variables!$C$22/100</f>
        <v>0</v>
      </c>
      <c r="U184" s="59">
        <f>$L184*Variables!$C$23/100</f>
        <v>0</v>
      </c>
      <c r="V184" s="59">
        <f>$L184*Variables!$C$24/100</f>
        <v>0</v>
      </c>
      <c r="W184" s="59">
        <f>$L184*Variables!$C$25/100</f>
        <v>0</v>
      </c>
      <c r="X184" s="62">
        <f>T184*Variables!$E$26*Variables!$C$18+'Cost Calculations'!U184*Variables!$E$27*Variables!$C$18+'Cost Calculations'!V184*Variables!$E$28*Variables!$C$18+W184*Variables!$E$29*Variables!$C$18</f>
        <v>0</v>
      </c>
      <c r="Y184" s="58">
        <f>J184*Variables!$E$30</f>
        <v>2599.2303254459994</v>
      </c>
      <c r="Z184" s="1"/>
      <c r="AA184" s="245">
        <f>D184*(IF(D184&lt;Variables!$C$7,Variables!$C$38,IF(D184&gt;Variables!$C$6,Variables!$C$36,Variables!$C$37)))</f>
        <v>1.6111498698487492</v>
      </c>
      <c r="AB184" s="64">
        <f t="shared" si="13"/>
        <v>2</v>
      </c>
      <c r="AC184" s="66">
        <f t="shared" si="2"/>
        <v>0</v>
      </c>
      <c r="AD184" s="62">
        <f>AC184*Variables!$E$41</f>
        <v>0</v>
      </c>
      <c r="AE184" s="71">
        <f>ROUND((H184/(3.14*Variables!$C$35^2)),0)</f>
        <v>0</v>
      </c>
      <c r="AF184" s="57">
        <f t="shared" si="14"/>
        <v>0</v>
      </c>
      <c r="AG184" s="57">
        <f t="shared" si="3"/>
        <v>0</v>
      </c>
      <c r="AH184" s="58">
        <f>AG184*Variables!$E$42*Variables!$C$18</f>
        <v>0</v>
      </c>
      <c r="AI184" s="73">
        <f t="shared" si="4"/>
        <v>0</v>
      </c>
      <c r="AJ184" s="66">
        <f t="shared" si="15"/>
        <v>0</v>
      </c>
      <c r="AK184" s="66">
        <f t="shared" si="5"/>
        <v>0</v>
      </c>
      <c r="AL184" s="62">
        <f>IF(AK184*Variables!$E$43*Variables!$C$18&lt;0,0,AK184*Variables!$E$43*Variables!$C$18)</f>
        <v>0</v>
      </c>
      <c r="AM184" s="58">
        <f>AA184*Variables!$E$39*Variables!$C$18</f>
        <v>465706.59905357286</v>
      </c>
      <c r="AN184" s="1"/>
      <c r="AO184" s="76">
        <f t="shared" si="16"/>
        <v>0.67714285714285716</v>
      </c>
      <c r="AP184" s="76">
        <f t="shared" si="6"/>
        <v>159.07410185073181</v>
      </c>
      <c r="AQ184" s="75">
        <f>VLOOKUP(B184,'Household Information'!$B$2:$E$48,4,FALSE)</f>
        <v>40.760000000000005</v>
      </c>
      <c r="AR184" s="79">
        <f>IF(12*(AP184-Variables!$C$45*AQ184*F184)*(G184/5)&lt;0,0,12*(AP184-Variables!$C$45*AQ184*F184)*(G184/5))</f>
        <v>266919.10687213537</v>
      </c>
      <c r="AS184" s="1"/>
      <c r="AT184" s="62">
        <v>0</v>
      </c>
      <c r="AU184" s="1"/>
    </row>
    <row r="185" spans="1:47" ht="14.25" customHeight="1">
      <c r="A185" s="1">
        <v>41</v>
      </c>
      <c r="B185" s="3" t="s">
        <v>234</v>
      </c>
      <c r="C185" s="1">
        <v>2022</v>
      </c>
      <c r="D185" s="13">
        <f>VLOOKUP(B185,Population!$B$1:$O$48,6,FALSE)</f>
        <v>55531.602332250593</v>
      </c>
      <c r="E185" s="13" t="str">
        <f t="shared" si="18"/>
        <v>Small</v>
      </c>
      <c r="F185" s="54">
        <f>VLOOKUP(B185,'Household Information'!$B$1:$E$48,2,FALSE)</f>
        <v>2.524</v>
      </c>
      <c r="G185" s="54">
        <f t="shared" si="0"/>
        <v>22001.427231478046</v>
      </c>
      <c r="H185" s="55">
        <f>IF(D185&gt;Variables!$C$6,H138,H138*(1+Variables!$C$9))</f>
        <v>4.4092117479999988</v>
      </c>
      <c r="I185" s="55"/>
      <c r="J185" s="13">
        <f>H185*Variables!$C$21</f>
        <v>79.365811463999975</v>
      </c>
      <c r="K185" s="13">
        <f t="shared" si="12"/>
        <v>105</v>
      </c>
      <c r="L185" s="54">
        <f t="shared" si="1"/>
        <v>0</v>
      </c>
      <c r="M185" s="56"/>
      <c r="N185" s="57"/>
      <c r="O185" s="57"/>
      <c r="P185" s="57"/>
      <c r="Q185" s="57"/>
      <c r="R185" s="57"/>
      <c r="S185" s="58">
        <v>0</v>
      </c>
      <c r="T185" s="59">
        <f>$L185*Variables!$C$22/100</f>
        <v>0</v>
      </c>
      <c r="U185" s="59">
        <f>$L185*Variables!$C$23/100</f>
        <v>0</v>
      </c>
      <c r="V185" s="59">
        <f>$L185*Variables!$C$24/100</f>
        <v>0</v>
      </c>
      <c r="W185" s="59">
        <f>$L185*Variables!$C$25/100</f>
        <v>0</v>
      </c>
      <c r="X185" s="62">
        <f>T185*Variables!$E$26*Variables!$C$18+'Cost Calculations'!U185*Variables!$E$27*Variables!$C$18+'Cost Calculations'!V185*Variables!$E$28*Variables!$C$18+W185*Variables!$E$29*Variables!$C$18</f>
        <v>0</v>
      </c>
      <c r="Y185" s="58">
        <f>J185*Variables!$E$30</f>
        <v>51984.606508919984</v>
      </c>
      <c r="Z185" s="1"/>
      <c r="AA185" s="245">
        <f>D185*(IF(D185&lt;Variables!$C$7,Variables!$C$38,IF(D185&gt;Variables!$C$6,Variables!$C$36,Variables!$C$37)))</f>
        <v>44.425281865800478</v>
      </c>
      <c r="AB185" s="64">
        <f t="shared" si="13"/>
        <v>44</v>
      </c>
      <c r="AC185" s="66">
        <f t="shared" si="2"/>
        <v>0</v>
      </c>
      <c r="AD185" s="62">
        <f>AC185*Variables!$E$41</f>
        <v>0</v>
      </c>
      <c r="AE185" s="71">
        <f>ROUND((H185/(3.14*Variables!$C$35^2)),0)</f>
        <v>6</v>
      </c>
      <c r="AF185" s="57">
        <f t="shared" si="14"/>
        <v>5</v>
      </c>
      <c r="AG185" s="57">
        <f t="shared" si="3"/>
        <v>1</v>
      </c>
      <c r="AH185" s="58">
        <f>AG185*Variables!$E$42*Variables!$C$18</f>
        <v>1148.2560000000001</v>
      </c>
      <c r="AI185" s="73">
        <f t="shared" si="4"/>
        <v>0</v>
      </c>
      <c r="AJ185" s="66">
        <f t="shared" si="15"/>
        <v>2</v>
      </c>
      <c r="AK185" s="66">
        <f t="shared" si="5"/>
        <v>0</v>
      </c>
      <c r="AL185" s="62">
        <f>IF(AK185*Variables!$E$43*Variables!$C$18&lt;0,0,AK185*Variables!$E$43*Variables!$C$18)</f>
        <v>0</v>
      </c>
      <c r="AM185" s="58">
        <f>AA185*Variables!$E$39*Variables!$C$18</f>
        <v>12841230.550240837</v>
      </c>
      <c r="AN185" s="1"/>
      <c r="AO185" s="76">
        <f t="shared" si="16"/>
        <v>0.67714285714285716</v>
      </c>
      <c r="AP185" s="76">
        <f t="shared" si="6"/>
        <v>102.54651428571428</v>
      </c>
      <c r="AQ185" s="75">
        <f>VLOOKUP(B185,'Household Information'!$B$2:$E$48,4,FALSE)</f>
        <v>40.760000000000005</v>
      </c>
      <c r="AR185" s="79">
        <f>IF(12*(AP185-Variables!$C$45*AQ185*F185)*(G185/5)&lt;0,0,12*(AP185-Variables!$C$45*AQ185*F185)*(G185/5))</f>
        <v>4599958.6925747674</v>
      </c>
      <c r="AS185" s="1"/>
      <c r="AT185" s="62">
        <v>0</v>
      </c>
      <c r="AU185" s="1"/>
    </row>
    <row r="186" spans="1:47" ht="14.25" customHeight="1">
      <c r="A186" s="1">
        <v>42</v>
      </c>
      <c r="B186" s="3" t="s">
        <v>235</v>
      </c>
      <c r="C186" s="1">
        <v>2022</v>
      </c>
      <c r="D186" s="13">
        <f>VLOOKUP(B186,Population!$B$1:$O$48,6,FALSE)</f>
        <v>48314.330188000597</v>
      </c>
      <c r="E186" s="13" t="str">
        <f t="shared" si="18"/>
        <v>Small</v>
      </c>
      <c r="F186" s="54">
        <f>VLOOKUP(B186,'Household Information'!$B$1:$E$48,2,FALSE)</f>
        <v>2.7236881469514751</v>
      </c>
      <c r="G186" s="54">
        <f t="shared" si="0"/>
        <v>17738.569021595613</v>
      </c>
      <c r="H186" s="55">
        <f>IF(D186&gt;Variables!$C$6,H139,H139*(1+Variables!$C$9))</f>
        <v>5.621744978699998</v>
      </c>
      <c r="I186" s="55"/>
      <c r="J186" s="13">
        <f>H186*Variables!$C$21</f>
        <v>101.19140961659997</v>
      </c>
      <c r="K186" s="13">
        <f t="shared" si="12"/>
        <v>97.958770199999975</v>
      </c>
      <c r="L186" s="54">
        <f t="shared" si="1"/>
        <v>3.2326394165999943</v>
      </c>
      <c r="M186" s="56"/>
      <c r="N186" s="57"/>
      <c r="O186" s="57"/>
      <c r="P186" s="57"/>
      <c r="Q186" s="57"/>
      <c r="R186" s="57"/>
      <c r="S186" s="58">
        <v>0</v>
      </c>
      <c r="T186" s="59">
        <f>$L186*Variables!$C$22/100</f>
        <v>0.1755279321230766</v>
      </c>
      <c r="U186" s="59">
        <f>$L186*Variables!$C$23/100</f>
        <v>0.30717388121538408</v>
      </c>
      <c r="V186" s="59">
        <f>$L186*Variables!$C$24/100</f>
        <v>0.32180120889230712</v>
      </c>
      <c r="W186" s="59">
        <f>$L186*Variables!$C$25/100</f>
        <v>2.3403724283076879</v>
      </c>
      <c r="X186" s="62">
        <f>T186*Variables!$E$26*Variables!$C$18+'Cost Calculations'!U186*Variables!$E$27*Variables!$C$18+'Cost Calculations'!V186*Variables!$E$28*Variables!$C$18+W186*Variables!$E$29*Variables!$C$18</f>
        <v>3674631.6656162399</v>
      </c>
      <c r="Y186" s="58">
        <f>J186*Variables!$E$30</f>
        <v>66280.373298872975</v>
      </c>
      <c r="Z186" s="1"/>
      <c r="AA186" s="245">
        <f>D186*(IF(D186&lt;Variables!$C$7,Variables!$C$38,IF(D186&gt;Variables!$C$6,Variables!$C$36,Variables!$C$37)))</f>
        <v>24.157165094000298</v>
      </c>
      <c r="AB186" s="64">
        <f t="shared" si="13"/>
        <v>24</v>
      </c>
      <c r="AC186" s="66">
        <f t="shared" si="2"/>
        <v>0</v>
      </c>
      <c r="AD186" s="62">
        <f>AC186*Variables!$E$41</f>
        <v>0</v>
      </c>
      <c r="AE186" s="71">
        <f>ROUND((H186/(3.14*Variables!$C$35^2)),0)</f>
        <v>7</v>
      </c>
      <c r="AF186" s="57">
        <f t="shared" si="14"/>
        <v>7</v>
      </c>
      <c r="AG186" s="57">
        <f t="shared" si="3"/>
        <v>0</v>
      </c>
      <c r="AH186" s="58">
        <f>AG186*Variables!$E$42*Variables!$C$18</f>
        <v>0</v>
      </c>
      <c r="AI186" s="73">
        <f t="shared" si="4"/>
        <v>0</v>
      </c>
      <c r="AJ186" s="66">
        <f t="shared" si="15"/>
        <v>0</v>
      </c>
      <c r="AK186" s="66">
        <f t="shared" si="5"/>
        <v>0</v>
      </c>
      <c r="AL186" s="62">
        <f>IF(AK186*Variables!$E$43*Variables!$C$18&lt;0,0,AK186*Variables!$E$43*Variables!$C$18)</f>
        <v>0</v>
      </c>
      <c r="AM186" s="58">
        <f>AA186*Variables!$E$39*Variables!$C$18</f>
        <v>6982684.4846896213</v>
      </c>
      <c r="AN186" s="1"/>
      <c r="AO186" s="76">
        <f t="shared" si="16"/>
        <v>0.67714285714285716</v>
      </c>
      <c r="AP186" s="76">
        <f t="shared" si="6"/>
        <v>110.65955842757135</v>
      </c>
      <c r="AQ186" s="75">
        <f>VLOOKUP(B186,'Household Information'!$B$2:$E$48,4,FALSE)</f>
        <v>40.760000000000005</v>
      </c>
      <c r="AR186" s="79">
        <f>IF(12*(AP186-Variables!$C$45*AQ186*F186)*(G186/5)&lt;0,0,12*(AP186-Variables!$C$45*AQ186*F186)*(G186/5))</f>
        <v>4002116.1607135944</v>
      </c>
      <c r="AS186" s="1"/>
      <c r="AT186" s="62">
        <v>0</v>
      </c>
      <c r="AU186" s="1"/>
    </row>
    <row r="187" spans="1:47" ht="14.25" customHeight="1">
      <c r="A187" s="1">
        <v>43</v>
      </c>
      <c r="B187" s="3" t="s">
        <v>236</v>
      </c>
      <c r="C187" s="1">
        <v>2022</v>
      </c>
      <c r="D187" s="13">
        <f>VLOOKUP(B187,Population!$B$1:$O$48,6,FALSE)</f>
        <v>25511.99566637311</v>
      </c>
      <c r="E187" s="13" t="str">
        <f t="shared" si="18"/>
        <v>Small</v>
      </c>
      <c r="F187" s="54">
        <f>VLOOKUP(B187,'Household Information'!$B$1:$E$48,2,FALSE)</f>
        <v>3.4114391143911438</v>
      </c>
      <c r="G187" s="54">
        <f t="shared" si="0"/>
        <v>7478.3675777037461</v>
      </c>
      <c r="H187" s="55">
        <f>IF(D187&gt;Variables!$C$6,H140,H140*(1+Variables!$C$9))</f>
        <v>4.8077356622963032</v>
      </c>
      <c r="I187" s="55"/>
      <c r="J187" s="13">
        <f>H187*Variables!$C$21</f>
        <v>86.539241921333456</v>
      </c>
      <c r="K187" s="13">
        <f t="shared" si="12"/>
        <v>83.774677561794249</v>
      </c>
      <c r="L187" s="54">
        <f t="shared" si="1"/>
        <v>2.7645643595392073</v>
      </c>
      <c r="M187" s="56"/>
      <c r="N187" s="57"/>
      <c r="O187" s="57"/>
      <c r="P187" s="57"/>
      <c r="Q187" s="57"/>
      <c r="R187" s="57"/>
      <c r="S187" s="58">
        <v>0</v>
      </c>
      <c r="T187" s="59">
        <f>$L187*Variables!$C$22/100</f>
        <v>0.15011209192068092</v>
      </c>
      <c r="U187" s="59">
        <f>$L187*Variables!$C$23/100</f>
        <v>0.26269616086119163</v>
      </c>
      <c r="V187" s="59">
        <f>$L187*Variables!$C$24/100</f>
        <v>0.27520550185458176</v>
      </c>
      <c r="W187" s="59">
        <f>$L187*Variables!$C$25/100</f>
        <v>2.0014945589424125</v>
      </c>
      <c r="X187" s="62">
        <f>T187*Variables!$E$26*Variables!$C$18+'Cost Calculations'!U187*Variables!$E$27*Variables!$C$18+'Cost Calculations'!V187*Variables!$E$28*Variables!$C$18+W187*Variables!$E$29*Variables!$C$18</f>
        <v>3142557.6527435794</v>
      </c>
      <c r="Y187" s="58">
        <f>J187*Variables!$E$30</f>
        <v>56683.203458473414</v>
      </c>
      <c r="Z187" s="1"/>
      <c r="AA187" s="245">
        <f>D187*(IF(D187&lt;Variables!$C$7,Variables!$C$38,IF(D187&gt;Variables!$C$6,Variables!$C$36,Variables!$C$37)))</f>
        <v>12.755997833186555</v>
      </c>
      <c r="AB187" s="64">
        <f t="shared" si="13"/>
        <v>13</v>
      </c>
      <c r="AC187" s="66">
        <f t="shared" si="2"/>
        <v>0</v>
      </c>
      <c r="AD187" s="62">
        <f>AC187*Variables!$E$41</f>
        <v>0</v>
      </c>
      <c r="AE187" s="71">
        <f>ROUND((H187/(3.14*Variables!$C$35^2)),0)</f>
        <v>6</v>
      </c>
      <c r="AF187" s="57">
        <f t="shared" si="14"/>
        <v>6</v>
      </c>
      <c r="AG187" s="57">
        <f t="shared" si="3"/>
        <v>0</v>
      </c>
      <c r="AH187" s="58">
        <f>AG187*Variables!$E$42*Variables!$C$18</f>
        <v>0</v>
      </c>
      <c r="AI187" s="73">
        <f t="shared" si="4"/>
        <v>0</v>
      </c>
      <c r="AJ187" s="66">
        <f t="shared" si="15"/>
        <v>0</v>
      </c>
      <c r="AK187" s="66">
        <f t="shared" si="5"/>
        <v>0</v>
      </c>
      <c r="AL187" s="62">
        <f>IF(AK187*Variables!$E$43*Variables!$C$18&lt;0,0,AK187*Variables!$E$43*Variables!$C$18)</f>
        <v>0</v>
      </c>
      <c r="AM187" s="58">
        <f>AA187*Variables!$E$39*Variables!$C$18</f>
        <v>3687150.6987650632</v>
      </c>
      <c r="AN187" s="1"/>
      <c r="AO187" s="76">
        <f t="shared" si="16"/>
        <v>0.67714285714285716</v>
      </c>
      <c r="AP187" s="76">
        <f t="shared" si="6"/>
        <v>138.60189773326303</v>
      </c>
      <c r="AQ187" s="75">
        <f>VLOOKUP(B187,'Household Information'!$B$2:$E$48,4,FALSE)</f>
        <v>40.760000000000005</v>
      </c>
      <c r="AR187" s="79">
        <f>IF(12*(AP187-Variables!$C$45*AQ187*F187)*(G187/5)&lt;0,0,12*(AP187-Variables!$C$45*AQ187*F187)*(G187/5))</f>
        <v>2113285.4321098542</v>
      </c>
      <c r="AS187" s="1"/>
      <c r="AT187" s="62">
        <v>0</v>
      </c>
      <c r="AU187" s="1"/>
    </row>
    <row r="188" spans="1:47" ht="14.25" customHeight="1">
      <c r="A188" s="1">
        <v>44</v>
      </c>
      <c r="B188" s="3" t="s">
        <v>241</v>
      </c>
      <c r="C188" s="1">
        <v>2022</v>
      </c>
      <c r="D188" s="13">
        <f>VLOOKUP(B188,Population!$B$1:$O$48,6,FALSE)</f>
        <v>98674.091516271379</v>
      </c>
      <c r="E188" s="13" t="str">
        <f t="shared" si="18"/>
        <v>Small</v>
      </c>
      <c r="F188" s="54">
        <f>VLOOKUP(B188,'Household Information'!$B$1:$E$48,2,FALSE)</f>
        <v>2.919</v>
      </c>
      <c r="G188" s="54">
        <f t="shared" si="0"/>
        <v>33804.073832227259</v>
      </c>
      <c r="H188" s="55">
        <f>IF(D188&gt;Variables!$C$6,H141,H141*(1+Variables!$C$9))</f>
        <v>11.723279703725108</v>
      </c>
      <c r="I188" s="55"/>
      <c r="J188" s="13">
        <f>H188*Variables!$C$21</f>
        <v>211.01903466705195</v>
      </c>
      <c r="K188" s="13">
        <f t="shared" si="12"/>
        <v>204.2778651181529</v>
      </c>
      <c r="L188" s="54">
        <f t="shared" si="1"/>
        <v>6.7411695488990517</v>
      </c>
      <c r="M188" s="56"/>
      <c r="N188" s="57"/>
      <c r="O188" s="57"/>
      <c r="P188" s="57"/>
      <c r="Q188" s="57"/>
      <c r="R188" s="57"/>
      <c r="S188" s="58">
        <v>0</v>
      </c>
      <c r="T188" s="59">
        <f>$L188*Variables!$C$22/100</f>
        <v>0.36603635559632858</v>
      </c>
      <c r="U188" s="59">
        <f>$L188*Variables!$C$23/100</f>
        <v>0.640563622293575</v>
      </c>
      <c r="V188" s="59">
        <f>$L188*Variables!$C$24/100</f>
        <v>0.67106665192660242</v>
      </c>
      <c r="W188" s="59">
        <f>$L188*Variables!$C$25/100</f>
        <v>4.8804847412843806</v>
      </c>
      <c r="X188" s="62">
        <f>T188*Variables!$E$26*Variables!$C$18+'Cost Calculations'!U188*Variables!$E$27*Variables!$C$18+'Cost Calculations'!V188*Variables!$E$28*Variables!$C$18+W188*Variables!$E$29*Variables!$C$18</f>
        <v>7662876.0264657727</v>
      </c>
      <c r="Y188" s="58">
        <f>J188*Variables!$E$30</f>
        <v>138217.46770691904</v>
      </c>
      <c r="Z188" s="1"/>
      <c r="AA188" s="245">
        <f>D188*(IF(D188&lt;Variables!$C$7,Variables!$C$38,IF(D188&gt;Variables!$C$6,Variables!$C$36,Variables!$C$37)))</f>
        <v>78.939273213017103</v>
      </c>
      <c r="AB188" s="64">
        <f t="shared" si="13"/>
        <v>78</v>
      </c>
      <c r="AC188" s="66">
        <f t="shared" si="2"/>
        <v>1</v>
      </c>
      <c r="AD188" s="62">
        <f>AC188*Variables!$E$41</f>
        <v>537600</v>
      </c>
      <c r="AE188" s="71">
        <f>ROUND((H188/(3.14*Variables!$C$35^2)),0)</f>
        <v>15</v>
      </c>
      <c r="AF188" s="57">
        <f t="shared" si="14"/>
        <v>14</v>
      </c>
      <c r="AG188" s="57">
        <f t="shared" si="3"/>
        <v>1</v>
      </c>
      <c r="AH188" s="58">
        <f>AG188*Variables!$E$42*Variables!$C$18</f>
        <v>1148.2560000000001</v>
      </c>
      <c r="AI188" s="73">
        <f t="shared" si="4"/>
        <v>1</v>
      </c>
      <c r="AJ188" s="66">
        <f t="shared" si="15"/>
        <v>1</v>
      </c>
      <c r="AK188" s="66">
        <f t="shared" si="5"/>
        <v>0</v>
      </c>
      <c r="AL188" s="62">
        <f>IF(AK188*Variables!$E$43*Variables!$C$18&lt;0,0,AK188*Variables!$E$43*Variables!$C$18)</f>
        <v>0</v>
      </c>
      <c r="AM188" s="58">
        <f>AA188*Variables!$E$39*Variables!$C$18</f>
        <v>22817579.635373205</v>
      </c>
      <c r="AN188" s="1"/>
      <c r="AO188" s="76">
        <f t="shared" si="16"/>
        <v>0.67714285714285716</v>
      </c>
      <c r="AP188" s="76">
        <f t="shared" si="6"/>
        <v>118.59479999999999</v>
      </c>
      <c r="AQ188" s="75">
        <f>VLOOKUP(B188,'Household Information'!$B$2:$E$48,4,FALSE)</f>
        <v>40.760000000000005</v>
      </c>
      <c r="AR188" s="79">
        <f>IF(12*(AP188-Variables!$C$45*AQ188*F188)*(G188/5)&lt;0,0,12*(AP188-Variables!$C$45*AQ188*F188)*(G188/5))</f>
        <v>8173665.5514905816</v>
      </c>
      <c r="AS188" s="1"/>
      <c r="AT188" s="62">
        <v>0</v>
      </c>
      <c r="AU188" s="1"/>
    </row>
    <row r="189" spans="1:47" ht="14.25" customHeight="1">
      <c r="A189" s="1">
        <v>45</v>
      </c>
      <c r="B189" s="3" t="s">
        <v>242</v>
      </c>
      <c r="C189" s="1">
        <v>2022</v>
      </c>
      <c r="D189" s="13">
        <f>VLOOKUP(B189,Population!$B$1:$O$48,6,FALSE)</f>
        <v>25065.161611559986</v>
      </c>
      <c r="E189" s="13" t="str">
        <f t="shared" si="18"/>
        <v>Small</v>
      </c>
      <c r="F189" s="54">
        <f>VLOOKUP(B189,'Household Information'!$B$1:$E$48,2,FALSE)</f>
        <v>2.377290114757399</v>
      </c>
      <c r="G189" s="54">
        <f t="shared" si="0"/>
        <v>10543.585511908743</v>
      </c>
      <c r="H189" s="55">
        <f>IF(D189&gt;Variables!$C$6,H142,H142*(1+Variables!$C$9))</f>
        <v>4.1887511605999981</v>
      </c>
      <c r="I189" s="55"/>
      <c r="J189" s="13">
        <f>H189*Variables!$C$21</f>
        <v>75.397520890799967</v>
      </c>
      <c r="K189" s="13">
        <f t="shared" si="12"/>
        <v>72.98888759999997</v>
      </c>
      <c r="L189" s="54">
        <f t="shared" si="1"/>
        <v>2.4086332907999974</v>
      </c>
      <c r="M189" s="56"/>
      <c r="N189" s="57"/>
      <c r="O189" s="57"/>
      <c r="P189" s="57"/>
      <c r="Q189" s="57"/>
      <c r="R189" s="57"/>
      <c r="S189" s="58">
        <v>0</v>
      </c>
      <c r="T189" s="59">
        <f>$L189*Variables!$C$22/100</f>
        <v>0.13078551805248853</v>
      </c>
      <c r="U189" s="59">
        <f>$L189*Variables!$C$23/100</f>
        <v>0.22887465659185494</v>
      </c>
      <c r="V189" s="59">
        <f>$L189*Variables!$C$24/100</f>
        <v>0.23977344976289569</v>
      </c>
      <c r="W189" s="59">
        <f>$L189*Variables!$C$25/100</f>
        <v>1.7438069073665139</v>
      </c>
      <c r="X189" s="62">
        <f>T189*Variables!$E$26*Variables!$C$18+'Cost Calculations'!U189*Variables!$E$27*Variables!$C$18+'Cost Calculations'!V189*Variables!$E$28*Variables!$C$18+W189*Variables!$E$29*Variables!$C$18</f>
        <v>2737960.8488905337</v>
      </c>
      <c r="Y189" s="58">
        <f>J189*Variables!$E$30</f>
        <v>49385.376183473978</v>
      </c>
      <c r="Z189" s="1"/>
      <c r="AA189" s="245">
        <f>D189*(IF(D189&lt;Variables!$C$7,Variables!$C$38,IF(D189&gt;Variables!$C$6,Variables!$C$36,Variables!$C$37)))</f>
        <v>12.532580805779993</v>
      </c>
      <c r="AB189" s="64">
        <f t="shared" si="13"/>
        <v>12</v>
      </c>
      <c r="AC189" s="66">
        <f t="shared" si="2"/>
        <v>1</v>
      </c>
      <c r="AD189" s="62">
        <f>AC189*Variables!$E$41</f>
        <v>537600</v>
      </c>
      <c r="AE189" s="71">
        <f>ROUND((H189/(3.14*Variables!$C$35^2)),0)</f>
        <v>5</v>
      </c>
      <c r="AF189" s="57">
        <f t="shared" si="14"/>
        <v>5</v>
      </c>
      <c r="AG189" s="57">
        <f t="shared" si="3"/>
        <v>0</v>
      </c>
      <c r="AH189" s="58">
        <f>AG189*Variables!$E$42*Variables!$C$18</f>
        <v>0</v>
      </c>
      <c r="AI189" s="73">
        <f t="shared" si="4"/>
        <v>0</v>
      </c>
      <c r="AJ189" s="66">
        <f t="shared" si="15"/>
        <v>0</v>
      </c>
      <c r="AK189" s="66">
        <f t="shared" si="5"/>
        <v>0</v>
      </c>
      <c r="AL189" s="62">
        <f>IF(AK189*Variables!$E$43*Variables!$C$18&lt;0,0,AK189*Variables!$E$43*Variables!$C$18)</f>
        <v>0</v>
      </c>
      <c r="AM189" s="58">
        <f>AA189*Variables!$E$39*Variables!$C$18</f>
        <v>3622571.4898712705</v>
      </c>
      <c r="AN189" s="1"/>
      <c r="AO189" s="76">
        <f t="shared" si="16"/>
        <v>0.67714285714285716</v>
      </c>
      <c r="AP189" s="76">
        <f t="shared" si="6"/>
        <v>96.585901233857754</v>
      </c>
      <c r="AQ189" s="75">
        <f>VLOOKUP(B189,'Household Information'!$B$2:$E$48,4,FALSE)</f>
        <v>40.760000000000005</v>
      </c>
      <c r="AR189" s="79">
        <f>IF(12*(AP189-Variables!$C$45*AQ189*F189)*(G189/5)&lt;0,0,12*(AP189-Variables!$C$45*AQ189*F189)*(G189/5))</f>
        <v>2076271.9459460967</v>
      </c>
      <c r="AS189" s="1"/>
      <c r="AT189" s="62">
        <v>0</v>
      </c>
      <c r="AU189" s="1"/>
    </row>
    <row r="190" spans="1:47" ht="14.25" customHeight="1">
      <c r="A190" s="1">
        <v>46</v>
      </c>
      <c r="B190" s="3" t="s">
        <v>243</v>
      </c>
      <c r="C190" s="1">
        <v>2022</v>
      </c>
      <c r="D190" s="13">
        <f>VLOOKUP(B190,Population!$B$1:$O$48,6,FALSE)</f>
        <v>32035.13604851436</v>
      </c>
      <c r="E190" s="13" t="str">
        <f t="shared" si="18"/>
        <v>Small</v>
      </c>
      <c r="F190" s="54">
        <f>VLOOKUP(B190,'Household Information'!$B$1:$E$48,2,FALSE)</f>
        <v>2.6682284299858559</v>
      </c>
      <c r="G190" s="54">
        <f t="shared" si="0"/>
        <v>12006.144484669994</v>
      </c>
      <c r="H190" s="55">
        <f>IF(D190&gt;Variables!$C$6,H143,H143*(1+Variables!$C$9))</f>
        <v>4.0826411301272527</v>
      </c>
      <c r="I190" s="55"/>
      <c r="J190" s="13">
        <f>H190*Variables!$C$21</f>
        <v>73.487540342290544</v>
      </c>
      <c r="K190" s="13">
        <f t="shared" si="12"/>
        <v>71.139922887018926</v>
      </c>
      <c r="L190" s="54">
        <f t="shared" si="1"/>
        <v>2.3476174552716174</v>
      </c>
      <c r="M190" s="56"/>
      <c r="N190" s="57"/>
      <c r="O190" s="57"/>
      <c r="P190" s="57"/>
      <c r="Q190" s="57"/>
      <c r="R190" s="57"/>
      <c r="S190" s="58">
        <v>0</v>
      </c>
      <c r="T190" s="59">
        <f>$L190*Variables!$C$22/100</f>
        <v>0.12747244101022356</v>
      </c>
      <c r="U190" s="59">
        <f>$L190*Variables!$C$23/100</f>
        <v>0.22307677176789123</v>
      </c>
      <c r="V190" s="59">
        <f>$L190*Variables!$C$24/100</f>
        <v>0.23369947518540987</v>
      </c>
      <c r="W190" s="59">
        <f>$L190*Variables!$C$25/100</f>
        <v>1.6996325468029809</v>
      </c>
      <c r="X190" s="62">
        <f>T190*Variables!$E$26*Variables!$C$18+'Cost Calculations'!U190*Variables!$E$27*Variables!$C$18+'Cost Calculations'!V190*Variables!$E$28*Variables!$C$18+W190*Variables!$E$29*Variables!$C$18</f>
        <v>2668602.4415824777</v>
      </c>
      <c r="Y190" s="58">
        <f>J190*Variables!$E$30</f>
        <v>48134.338924200303</v>
      </c>
      <c r="Z190" s="1"/>
      <c r="AA190" s="245">
        <f>D190*(IF(D190&lt;Variables!$C$7,Variables!$C$38,IF(D190&gt;Variables!$C$6,Variables!$C$36,Variables!$C$37)))</f>
        <v>16.01756802425718</v>
      </c>
      <c r="AB190" s="64">
        <f t="shared" si="13"/>
        <v>16</v>
      </c>
      <c r="AC190" s="66">
        <f t="shared" si="2"/>
        <v>0</v>
      </c>
      <c r="AD190" s="62">
        <f>AC190*Variables!$E$41</f>
        <v>0</v>
      </c>
      <c r="AE190" s="71">
        <f>ROUND((H190/(3.14*Variables!$C$35^2)),0)</f>
        <v>5</v>
      </c>
      <c r="AF190" s="57">
        <f t="shared" si="14"/>
        <v>5</v>
      </c>
      <c r="AG190" s="57">
        <f t="shared" si="3"/>
        <v>0</v>
      </c>
      <c r="AH190" s="58">
        <f>AG190*Variables!$E$42*Variables!$C$18</f>
        <v>0</v>
      </c>
      <c r="AI190" s="73">
        <f t="shared" si="4"/>
        <v>0</v>
      </c>
      <c r="AJ190" s="66">
        <f t="shared" si="15"/>
        <v>0</v>
      </c>
      <c r="AK190" s="66">
        <f t="shared" si="5"/>
        <v>0</v>
      </c>
      <c r="AL190" s="62">
        <f>IF(AK190*Variables!$E$43*Variables!$C$18&lt;0,0,AK190*Variables!$E$43*Variables!$C$18)</f>
        <v>0</v>
      </c>
      <c r="AM190" s="58">
        <f>AA190*Variables!$E$39*Variables!$C$18</f>
        <v>4629915.1117371516</v>
      </c>
      <c r="AN190" s="1"/>
      <c r="AO190" s="76">
        <f t="shared" si="16"/>
        <v>0.67714285714285716</v>
      </c>
      <c r="AP190" s="76">
        <f t="shared" si="6"/>
        <v>108.40630935542534</v>
      </c>
      <c r="AQ190" s="75">
        <f>VLOOKUP(B190,'Household Information'!$B$2:$E$48,4,FALSE)</f>
        <v>40.760000000000005</v>
      </c>
      <c r="AR190" s="79">
        <f>IF(12*(AP190-Variables!$C$45*AQ190*F190)*(G190/5)&lt;0,0,12*(AP190-Variables!$C$45*AQ190*F190)*(G190/5))</f>
        <v>2653629.5792890857</v>
      </c>
      <c r="AS190" s="1"/>
      <c r="AT190" s="62">
        <v>0</v>
      </c>
      <c r="AU190" s="1"/>
    </row>
    <row r="191" spans="1:47" ht="14.25" customHeight="1">
      <c r="A191" s="1">
        <v>47</v>
      </c>
      <c r="B191" s="3" t="s">
        <v>244</v>
      </c>
      <c r="C191" s="1">
        <v>2022</v>
      </c>
      <c r="D191" s="13">
        <f>VLOOKUP(B191,Population!$B$1:$O$48,6,FALSE)</f>
        <v>67889.058152177458</v>
      </c>
      <c r="E191" s="13" t="str">
        <f t="shared" si="18"/>
        <v>Small</v>
      </c>
      <c r="F191" s="54">
        <f>VLOOKUP(B191,'Household Information'!$B$1:$E$48,2,FALSE)</f>
        <v>3.4580000000000002</v>
      </c>
      <c r="G191" s="54">
        <f t="shared" si="0"/>
        <v>19632.463317575897</v>
      </c>
      <c r="H191" s="55">
        <f>IF(D191&gt;Variables!$C$6,H144,H144*(1+Variables!$C$9))</f>
        <v>4.6296723353999987</v>
      </c>
      <c r="I191" s="55"/>
      <c r="J191" s="13">
        <f>H191*Variables!$C$21</f>
        <v>83.334102037199983</v>
      </c>
      <c r="K191" s="13">
        <f t="shared" si="12"/>
        <v>94.147999999999996</v>
      </c>
      <c r="L191" s="54">
        <f t="shared" si="1"/>
        <v>0</v>
      </c>
      <c r="M191" s="56"/>
      <c r="N191" s="57"/>
      <c r="O191" s="57"/>
      <c r="P191" s="57"/>
      <c r="Q191" s="57"/>
      <c r="R191" s="57"/>
      <c r="S191" s="58">
        <v>0</v>
      </c>
      <c r="T191" s="59">
        <f>$L191*Variables!$C$22/100</f>
        <v>0</v>
      </c>
      <c r="U191" s="59">
        <f>$L191*Variables!$C$23/100</f>
        <v>0</v>
      </c>
      <c r="V191" s="59">
        <f>$L191*Variables!$C$24/100</f>
        <v>0</v>
      </c>
      <c r="W191" s="59">
        <f>$L191*Variables!$C$25/100</f>
        <v>0</v>
      </c>
      <c r="X191" s="62">
        <f>T191*Variables!$E$26*Variables!$C$18+'Cost Calculations'!U191*Variables!$E$27*Variables!$C$18+'Cost Calculations'!V191*Variables!$E$28*Variables!$C$18+W191*Variables!$E$29*Variables!$C$18</f>
        <v>0</v>
      </c>
      <c r="Y191" s="58">
        <f>J191*Variables!$E$30</f>
        <v>54583.836834365989</v>
      </c>
      <c r="Z191" s="1"/>
      <c r="AA191" s="245">
        <f>D191*(IF(D191&lt;Variables!$C$7,Variables!$C$38,IF(D191&gt;Variables!$C$6,Variables!$C$36,Variables!$C$37)))</f>
        <v>54.311246521741971</v>
      </c>
      <c r="AB191" s="64">
        <f t="shared" si="13"/>
        <v>54</v>
      </c>
      <c r="AC191" s="66">
        <f t="shared" si="2"/>
        <v>0</v>
      </c>
      <c r="AD191" s="62">
        <f>AC191*Variables!$E$41</f>
        <v>0</v>
      </c>
      <c r="AE191" s="71">
        <f>ROUND((H191/(3.14*Variables!$C$35^2)),0)</f>
        <v>6</v>
      </c>
      <c r="AF191" s="57">
        <f t="shared" si="14"/>
        <v>6</v>
      </c>
      <c r="AG191" s="57">
        <f t="shared" si="3"/>
        <v>0</v>
      </c>
      <c r="AH191" s="58">
        <f>AG191*Variables!$E$42*Variables!$C$18</f>
        <v>0</v>
      </c>
      <c r="AI191" s="73">
        <f t="shared" si="4"/>
        <v>0</v>
      </c>
      <c r="AJ191" s="66">
        <f t="shared" si="15"/>
        <v>0</v>
      </c>
      <c r="AK191" s="66">
        <f t="shared" si="5"/>
        <v>0</v>
      </c>
      <c r="AL191" s="62">
        <f>IF(AK191*Variables!$E$43*Variables!$C$18&lt;0,0,AK191*Variables!$E$43*Variables!$C$18)</f>
        <v>0</v>
      </c>
      <c r="AM191" s="58">
        <f>AA191*Variables!$E$39*Variables!$C$18</f>
        <v>15698791.516133195</v>
      </c>
      <c r="AN191" s="1"/>
      <c r="AO191" s="76">
        <f t="shared" si="16"/>
        <v>0.67714285714285716</v>
      </c>
      <c r="AP191" s="76">
        <f t="shared" si="6"/>
        <v>140.49359999999999</v>
      </c>
      <c r="AQ191" s="75">
        <f>VLOOKUP(B191,'Household Information'!$B$2:$E$48,4,FALSE)</f>
        <v>40.760000000000005</v>
      </c>
      <c r="AR191" s="79">
        <f>IF(12*(AP191-Variables!$C$45*AQ191*F191)*(G191/5)&lt;0,0,12*(AP191-Variables!$C$45*AQ191*F191)*(G191/5))</f>
        <v>5623588.1923482427</v>
      </c>
      <c r="AS191" s="1"/>
      <c r="AT191" s="62">
        <v>0</v>
      </c>
      <c r="AU191" s="1"/>
    </row>
    <row r="192" spans="1:47" ht="14.25" customHeight="1">
      <c r="A192" s="1">
        <v>1</v>
      </c>
      <c r="B192" s="3" t="s">
        <v>76</v>
      </c>
      <c r="C192" s="1">
        <v>2023</v>
      </c>
      <c r="D192" s="13">
        <f>VLOOKUP(B192,Population!$B$1:$O$48,7,FALSE)</f>
        <v>7736481.6780915139</v>
      </c>
      <c r="E192" s="13" t="str">
        <f t="shared" si="18"/>
        <v>Large</v>
      </c>
      <c r="F192" s="54">
        <f>VLOOKUP(B192,'Household Information'!$B$1:$E$48,2,FALSE)</f>
        <v>2.8458153079093123</v>
      </c>
      <c r="G192" s="54">
        <f t="shared" si="0"/>
        <v>2718546.6521982928</v>
      </c>
      <c r="H192" s="55">
        <f>IF(D192&gt;Variables!$C$6,H145,H145*(1+Variables!$C$9))</f>
        <v>418.2688494446499</v>
      </c>
      <c r="I192" s="55"/>
      <c r="J192" s="13">
        <f>H192*Variables!$C$21</f>
        <v>7528.8392900036979</v>
      </c>
      <c r="K192" s="13">
        <f t="shared" si="12"/>
        <v>13984</v>
      </c>
      <c r="L192" s="54">
        <f t="shared" si="1"/>
        <v>0</v>
      </c>
      <c r="M192" s="56"/>
      <c r="N192" s="57"/>
      <c r="O192" s="57"/>
      <c r="P192" s="57"/>
      <c r="Q192" s="57"/>
      <c r="R192" s="57"/>
      <c r="S192" s="58">
        <v>0</v>
      </c>
      <c r="T192" s="59">
        <f>$L192*Variables!$C$22/100</f>
        <v>0</v>
      </c>
      <c r="U192" s="59">
        <f>$L192*Variables!$C$23/100</f>
        <v>0</v>
      </c>
      <c r="V192" s="59">
        <f>$L192*Variables!$C$24/100</f>
        <v>0</v>
      </c>
      <c r="W192" s="59">
        <f>$L192*Variables!$C$25/100</f>
        <v>0</v>
      </c>
      <c r="X192" s="62">
        <f>T192*Variables!$E$26*Variables!$C$18+'Cost Calculations'!U192*Variables!$E$27*Variables!$C$18+'Cost Calculations'!V192*Variables!$E$28*Variables!$C$18+W192*Variables!$E$29*Variables!$C$18</f>
        <v>0</v>
      </c>
      <c r="Y192" s="58">
        <f>J192*Variables!$E$30</f>
        <v>4931389.7349524219</v>
      </c>
      <c r="Z192" s="1"/>
      <c r="AA192" s="245">
        <f>D192*(IF(D192&lt;Variables!$C$7,Variables!$C$38,IF(D192&gt;Variables!$C$6,Variables!$C$36,Variables!$C$37)))</f>
        <v>9283.7780137098162</v>
      </c>
      <c r="AB192" s="64">
        <f t="shared" si="13"/>
        <v>9147</v>
      </c>
      <c r="AC192" s="66">
        <f t="shared" si="2"/>
        <v>137</v>
      </c>
      <c r="AD192" s="62">
        <f>AC192*Variables!$E$41</f>
        <v>73651200</v>
      </c>
      <c r="AE192" s="71">
        <f>ROUND((H192/(3.14*Variables!$C$35^2)),0)</f>
        <v>533</v>
      </c>
      <c r="AF192" s="57">
        <f t="shared" si="14"/>
        <v>853</v>
      </c>
      <c r="AG192" s="57">
        <f t="shared" si="3"/>
        <v>0</v>
      </c>
      <c r="AH192" s="58">
        <f>AG192*Variables!$E$42*Variables!$C$18</f>
        <v>0</v>
      </c>
      <c r="AI192" s="73">
        <f t="shared" si="4"/>
        <v>77</v>
      </c>
      <c r="AJ192" s="66">
        <f t="shared" si="15"/>
        <v>76</v>
      </c>
      <c r="AK192" s="66">
        <f t="shared" si="5"/>
        <v>1</v>
      </c>
      <c r="AL192" s="62">
        <f>IF(AK192*Variables!$E$43*Variables!$C$18&lt;0,0,AK192*Variables!$E$43*Variables!$C$18)</f>
        <v>945381.49199999997</v>
      </c>
      <c r="AM192" s="58">
        <f>AA192*Variables!$E$39*Variables!$C$18</f>
        <v>2683497523.1317334</v>
      </c>
      <c r="AN192" s="1"/>
      <c r="AO192" s="76">
        <f t="shared" si="16"/>
        <v>0.68340000000000001</v>
      </c>
      <c r="AP192" s="76">
        <f t="shared" si="6"/>
        <v>116.68981088551344</v>
      </c>
      <c r="AQ192" s="75">
        <f>VLOOKUP(B192,'Household Information'!$B$2:$E$48,4,FALSE)</f>
        <v>91.36</v>
      </c>
      <c r="AR192" s="79">
        <f>IF(12*(AP192-Variables!$C$45*AQ192*F192)*(G192/5)&lt;0,0,12*(AP192-Variables!$C$45*AQ192*F192)*(G192/5))</f>
        <v>506894279.54855615</v>
      </c>
      <c r="AS192" s="1"/>
      <c r="AT192" s="62">
        <v>0</v>
      </c>
      <c r="AU192" s="1"/>
    </row>
    <row r="193" spans="1:47" ht="14.25" customHeight="1">
      <c r="A193" s="1">
        <v>2</v>
      </c>
      <c r="B193" s="3" t="s">
        <v>87</v>
      </c>
      <c r="C193" s="1">
        <v>2023</v>
      </c>
      <c r="D193" s="13">
        <f>VLOOKUP(B193,Population!$B$1:$O$48,7,FALSE)</f>
        <v>2555673.1609350177</v>
      </c>
      <c r="E193" s="13" t="str">
        <f t="shared" si="18"/>
        <v>Large</v>
      </c>
      <c r="F193" s="54">
        <f>VLOOKUP(B193,'Household Information'!$B$1:$E$48,2,FALSE)</f>
        <v>2.6591126390039355</v>
      </c>
      <c r="G193" s="54">
        <f t="shared" si="0"/>
        <v>961100.00134944846</v>
      </c>
      <c r="H193" s="55">
        <f>IF(D193&gt;Variables!$C$6,H146,H146*(1+Variables!$C$9))</f>
        <v>119.58406164038337</v>
      </c>
      <c r="I193" s="55"/>
      <c r="J193" s="13">
        <f>H193*Variables!$C$21</f>
        <v>2152.5131095269007</v>
      </c>
      <c r="K193" s="13">
        <f t="shared" si="12"/>
        <v>2152.5131095269007</v>
      </c>
      <c r="L193" s="54">
        <f t="shared" si="1"/>
        <v>0</v>
      </c>
      <c r="M193" s="56"/>
      <c r="N193" s="57"/>
      <c r="O193" s="57"/>
      <c r="P193" s="57"/>
      <c r="Q193" s="57"/>
      <c r="R193" s="57"/>
      <c r="S193" s="58">
        <v>0</v>
      </c>
      <c r="T193" s="59">
        <f>$L193*Variables!$C$22/100</f>
        <v>0</v>
      </c>
      <c r="U193" s="59">
        <f>$L193*Variables!$C$23/100</f>
        <v>0</v>
      </c>
      <c r="V193" s="59">
        <f>$L193*Variables!$C$24/100</f>
        <v>0</v>
      </c>
      <c r="W193" s="59">
        <f>$L193*Variables!$C$25/100</f>
        <v>0</v>
      </c>
      <c r="X193" s="62">
        <f>T193*Variables!$E$26*Variables!$C$18+'Cost Calculations'!U193*Variables!$E$27*Variables!$C$18+'Cost Calculations'!V193*Variables!$E$28*Variables!$C$18+W193*Variables!$E$29*Variables!$C$18</f>
        <v>0</v>
      </c>
      <c r="Y193" s="58">
        <f>J193*Variables!$E$30</f>
        <v>1409896.0867401201</v>
      </c>
      <c r="Z193" s="1"/>
      <c r="AA193" s="245">
        <f>D193*(IF(D193&lt;Variables!$C$7,Variables!$C$38,IF(D193&gt;Variables!$C$6,Variables!$C$36,Variables!$C$37)))</f>
        <v>3066.8077931220209</v>
      </c>
      <c r="AB193" s="64">
        <f t="shared" si="13"/>
        <v>4664</v>
      </c>
      <c r="AC193" s="66">
        <f t="shared" si="2"/>
        <v>0</v>
      </c>
      <c r="AD193" s="62">
        <f>AC193*Variables!$E$41</f>
        <v>0</v>
      </c>
      <c r="AE193" s="71">
        <f>ROUND((H193/(3.14*Variables!$C$35^2)),0)</f>
        <v>152</v>
      </c>
      <c r="AF193" s="57">
        <f t="shared" si="14"/>
        <v>152</v>
      </c>
      <c r="AG193" s="57">
        <f t="shared" si="3"/>
        <v>0</v>
      </c>
      <c r="AH193" s="58">
        <f>AG193*Variables!$E$42*Variables!$C$18</f>
        <v>0</v>
      </c>
      <c r="AI193" s="73">
        <f t="shared" si="4"/>
        <v>26</v>
      </c>
      <c r="AJ193" s="66">
        <f t="shared" si="15"/>
        <v>25</v>
      </c>
      <c r="AK193" s="66">
        <f t="shared" si="5"/>
        <v>1</v>
      </c>
      <c r="AL193" s="62">
        <f>IF(AK193*Variables!$E$43*Variables!$C$18&lt;0,0,AK193*Variables!$E$43*Variables!$C$18)</f>
        <v>945381.49199999997</v>
      </c>
      <c r="AM193" s="58">
        <f>AA193*Variables!$E$39*Variables!$C$18</f>
        <v>886467891.0472362</v>
      </c>
      <c r="AN193" s="1"/>
      <c r="AO193" s="76">
        <f t="shared" si="16"/>
        <v>0.75480000000000003</v>
      </c>
      <c r="AP193" s="76">
        <f t="shared" si="6"/>
        <v>120.42589319521024</v>
      </c>
      <c r="AQ193" s="75">
        <f>VLOOKUP(B193,'Household Information'!$B$2:$E$48,4,FALSE)</f>
        <v>73.64</v>
      </c>
      <c r="AR193" s="79">
        <f>IF(12*(AP193-Variables!$C$45*AQ193*F193)*(G193/5)&lt;0,0,12*(AP193-Variables!$C$45*AQ193*F193)*(G193/5))</f>
        <v>210027264.90416855</v>
      </c>
      <c r="AS193" s="1"/>
      <c r="AT193" s="62">
        <v>0</v>
      </c>
      <c r="AU193" s="1"/>
    </row>
    <row r="194" spans="1:47" ht="14.25" customHeight="1">
      <c r="A194" s="1">
        <v>3</v>
      </c>
      <c r="B194" s="3" t="s">
        <v>103</v>
      </c>
      <c r="C194" s="1">
        <v>2023</v>
      </c>
      <c r="D194" s="13">
        <f>VLOOKUP(B194,Population!$B$1:$O$48,7,FALSE)</f>
        <v>1963747.6148767055</v>
      </c>
      <c r="E194" s="13" t="str">
        <f t="shared" si="18"/>
        <v>Large</v>
      </c>
      <c r="F194" s="54">
        <f>VLOOKUP(B194,'Household Information'!$B$1:$E$48,2,FALSE)</f>
        <v>2.6407866430045996</v>
      </c>
      <c r="G194" s="54">
        <f t="shared" si="0"/>
        <v>743622.21578128648</v>
      </c>
      <c r="H194" s="55">
        <f>IF(D194&gt;Variables!$C$6,H147,H147*(1+Variables!$C$9))</f>
        <v>224.70642399999997</v>
      </c>
      <c r="I194" s="55"/>
      <c r="J194" s="13">
        <f>H194*Variables!$C$21</f>
        <v>4044.7156319999995</v>
      </c>
      <c r="K194" s="13">
        <f t="shared" si="12"/>
        <v>4044.7156319999995</v>
      </c>
      <c r="L194" s="54">
        <f t="shared" si="1"/>
        <v>0</v>
      </c>
      <c r="M194" s="56"/>
      <c r="N194" s="57"/>
      <c r="O194" s="57"/>
      <c r="P194" s="57"/>
      <c r="Q194" s="57"/>
      <c r="R194" s="57"/>
      <c r="S194" s="58">
        <v>0</v>
      </c>
      <c r="T194" s="59">
        <f>$L194*Variables!$C$22/100</f>
        <v>0</v>
      </c>
      <c r="U194" s="59">
        <f>$L194*Variables!$C$23/100</f>
        <v>0</v>
      </c>
      <c r="V194" s="59">
        <f>$L194*Variables!$C$24/100</f>
        <v>0</v>
      </c>
      <c r="W194" s="59">
        <f>$L194*Variables!$C$25/100</f>
        <v>0</v>
      </c>
      <c r="X194" s="62">
        <f>T194*Variables!$E$26*Variables!$C$18+'Cost Calculations'!U194*Variables!$E$27*Variables!$C$18+'Cost Calculations'!V194*Variables!$E$28*Variables!$C$18+W194*Variables!$E$29*Variables!$C$18</f>
        <v>0</v>
      </c>
      <c r="Y194" s="58">
        <f>J194*Variables!$E$30</f>
        <v>2649288.7389599998</v>
      </c>
      <c r="Z194" s="1"/>
      <c r="AA194" s="245">
        <f>D194*(IF(D194&lt;Variables!$C$7,Variables!$C$38,IF(D194&gt;Variables!$C$6,Variables!$C$36,Variables!$C$37)))</f>
        <v>2356.4971378520463</v>
      </c>
      <c r="AB194" s="64">
        <f t="shared" si="13"/>
        <v>2322</v>
      </c>
      <c r="AC194" s="66">
        <f t="shared" si="2"/>
        <v>34</v>
      </c>
      <c r="AD194" s="62">
        <f>AC194*Variables!$E$41</f>
        <v>18278400</v>
      </c>
      <c r="AE194" s="71">
        <f>ROUND((H194/(3.14*Variables!$C$35^2)),0)</f>
        <v>286</v>
      </c>
      <c r="AF194" s="57">
        <f t="shared" si="14"/>
        <v>286</v>
      </c>
      <c r="AG194" s="57">
        <f t="shared" si="3"/>
        <v>0</v>
      </c>
      <c r="AH194" s="58">
        <f>AG194*Variables!$E$42*Variables!$C$18</f>
        <v>0</v>
      </c>
      <c r="AI194" s="73">
        <f t="shared" si="4"/>
        <v>20</v>
      </c>
      <c r="AJ194" s="66">
        <f t="shared" si="15"/>
        <v>19</v>
      </c>
      <c r="AK194" s="66">
        <f t="shared" si="5"/>
        <v>1</v>
      </c>
      <c r="AL194" s="62">
        <f>IF(AK194*Variables!$E$43*Variables!$C$18&lt;0,0,AK194*Variables!$E$43*Variables!$C$18)</f>
        <v>945381.49199999997</v>
      </c>
      <c r="AM194" s="58">
        <f>AA194*Variables!$E$39*Variables!$C$18</f>
        <v>681150952.05362844</v>
      </c>
      <c r="AN194" s="1"/>
      <c r="AO194" s="76">
        <f t="shared" si="16"/>
        <v>0.61199999999999999</v>
      </c>
      <c r="AP194" s="76">
        <f t="shared" si="6"/>
        <v>96.969685531128903</v>
      </c>
      <c r="AQ194" s="75">
        <f>VLOOKUP(B194,'Household Information'!$B$2:$E$48,4,FALSE)</f>
        <v>61.12</v>
      </c>
      <c r="AR194" s="79">
        <f>IF(12*(AP194-Variables!$C$45*AQ194*F194)*(G194/5)&lt;0,0,12*(AP194-Variables!$C$45*AQ194*F194)*(G194/5))</f>
        <v>129852418.28419919</v>
      </c>
      <c r="AS194" s="1"/>
      <c r="AT194" s="62">
        <v>0</v>
      </c>
      <c r="AU194" s="1"/>
    </row>
    <row r="195" spans="1:47" ht="14.25" customHeight="1">
      <c r="A195" s="1">
        <v>4</v>
      </c>
      <c r="B195" s="3" t="s">
        <v>104</v>
      </c>
      <c r="C195" s="1">
        <v>2023</v>
      </c>
      <c r="D195" s="13">
        <f>VLOOKUP(B195,Population!$B$1:$O$48,7,FALSE)</f>
        <v>1206669.0446028993</v>
      </c>
      <c r="E195" s="13" t="str">
        <f t="shared" si="18"/>
        <v>Large</v>
      </c>
      <c r="F195" s="54">
        <f>VLOOKUP(B195,'Household Information'!$B$1:$E$48,2,FALSE)</f>
        <v>3.2280741697119208</v>
      </c>
      <c r="G195" s="54">
        <f t="shared" si="0"/>
        <v>373804.6219398313</v>
      </c>
      <c r="H195" s="55">
        <f>IF(D195&gt;Variables!$C$6,H148,H148*(1+Variables!$C$9))</f>
        <v>154</v>
      </c>
      <c r="I195" s="55"/>
      <c r="J195" s="13">
        <f>H195*Variables!$C$21</f>
        <v>2772</v>
      </c>
      <c r="K195" s="13">
        <f t="shared" si="12"/>
        <v>3916</v>
      </c>
      <c r="L195" s="54">
        <f t="shared" si="1"/>
        <v>0</v>
      </c>
      <c r="M195" s="56"/>
      <c r="N195" s="57"/>
      <c r="O195" s="57"/>
      <c r="P195" s="57"/>
      <c r="Q195" s="57"/>
      <c r="R195" s="57"/>
      <c r="S195" s="58">
        <v>0</v>
      </c>
      <c r="T195" s="59">
        <f>$L195*Variables!$C$22/100</f>
        <v>0</v>
      </c>
      <c r="U195" s="59">
        <f>$L195*Variables!$C$23/100</f>
        <v>0</v>
      </c>
      <c r="V195" s="59">
        <f>$L195*Variables!$C$24/100</f>
        <v>0</v>
      </c>
      <c r="W195" s="59">
        <f>$L195*Variables!$C$25/100</f>
        <v>0</v>
      </c>
      <c r="X195" s="62">
        <f>T195*Variables!$E$26*Variables!$C$18+'Cost Calculations'!U195*Variables!$E$27*Variables!$C$18+'Cost Calculations'!V195*Variables!$E$28*Variables!$C$18+W195*Variables!$E$29*Variables!$C$18</f>
        <v>0</v>
      </c>
      <c r="Y195" s="58">
        <f>J195*Variables!$E$30</f>
        <v>1815660</v>
      </c>
      <c r="Z195" s="1"/>
      <c r="AA195" s="245">
        <f>D195*(IF(D195&lt;Variables!$C$7,Variables!$C$38,IF(D195&gt;Variables!$C$6,Variables!$C$36,Variables!$C$37)))</f>
        <v>1448.0028535234792</v>
      </c>
      <c r="AB195" s="64">
        <f t="shared" si="13"/>
        <v>2043</v>
      </c>
      <c r="AC195" s="66">
        <f t="shared" si="2"/>
        <v>0</v>
      </c>
      <c r="AD195" s="62">
        <f>AC195*Variables!$E$41</f>
        <v>0</v>
      </c>
      <c r="AE195" s="71">
        <f>ROUND((H195/(3.14*Variables!$C$35^2)),0)</f>
        <v>196</v>
      </c>
      <c r="AF195" s="57">
        <f t="shared" si="14"/>
        <v>196</v>
      </c>
      <c r="AG195" s="57">
        <f t="shared" si="3"/>
        <v>0</v>
      </c>
      <c r="AH195" s="58">
        <f>AG195*Variables!$E$42*Variables!$C$18</f>
        <v>0</v>
      </c>
      <c r="AI195" s="73">
        <f t="shared" si="4"/>
        <v>12</v>
      </c>
      <c r="AJ195" s="66">
        <f t="shared" si="15"/>
        <v>12</v>
      </c>
      <c r="AK195" s="66">
        <f t="shared" si="5"/>
        <v>0</v>
      </c>
      <c r="AL195" s="62">
        <f>IF(AK195*Variables!$E$43*Variables!$C$18&lt;0,0,AK195*Variables!$E$43*Variables!$C$18)</f>
        <v>0</v>
      </c>
      <c r="AM195" s="58">
        <f>AA195*Variables!$E$39*Variables!$C$18</f>
        <v>418548576.36403137</v>
      </c>
      <c r="AN195" s="1"/>
      <c r="AO195" s="76">
        <f t="shared" si="16"/>
        <v>0.6804</v>
      </c>
      <c r="AP195" s="76">
        <f t="shared" si="6"/>
        <v>131.78289990431946</v>
      </c>
      <c r="AQ195" s="75">
        <f>VLOOKUP(B195,'Household Information'!$B$2:$E$48,4,FALSE)</f>
        <v>42.71</v>
      </c>
      <c r="AR195" s="79">
        <f>IF(12*(AP195-Variables!$C$45*AQ195*F195)*(G195/5)&lt;0,0,12*(AP195-Variables!$C$45*AQ195*F195)*(G195/5))</f>
        <v>99673276.422288701</v>
      </c>
      <c r="AS195" s="1"/>
      <c r="AT195" s="62">
        <v>0</v>
      </c>
      <c r="AU195" s="1"/>
    </row>
    <row r="196" spans="1:47" ht="14.25" customHeight="1">
      <c r="A196" s="1">
        <v>5</v>
      </c>
      <c r="B196" s="3" t="s">
        <v>105</v>
      </c>
      <c r="C196" s="1">
        <v>2023</v>
      </c>
      <c r="D196" s="13">
        <f>VLOOKUP(B196,Population!$B$1:$O$48,7,FALSE)</f>
        <v>569727.03187427076</v>
      </c>
      <c r="E196" s="13" t="str">
        <f t="shared" si="18"/>
        <v>Medium</v>
      </c>
      <c r="F196" s="54">
        <f>VLOOKUP(B196,'Household Information'!$B$1:$E$48,2,FALSE)</f>
        <v>2.791645991913092</v>
      </c>
      <c r="G196" s="54">
        <f t="shared" si="0"/>
        <v>204082.83626386363</v>
      </c>
      <c r="H196" s="55">
        <f>IF(D196&gt;Variables!$C$6,H149,H149*(1+Variables!$C$9))</f>
        <v>76.806648999999993</v>
      </c>
      <c r="I196" s="55"/>
      <c r="J196" s="13">
        <f>H196*Variables!$C$21</f>
        <v>1382.5196819999999</v>
      </c>
      <c r="K196" s="13">
        <f t="shared" si="12"/>
        <v>1382.5196819999999</v>
      </c>
      <c r="L196" s="54">
        <f t="shared" si="1"/>
        <v>0</v>
      </c>
      <c r="M196" s="56"/>
      <c r="N196" s="57"/>
      <c r="O196" s="57"/>
      <c r="P196" s="57"/>
      <c r="Q196" s="57"/>
      <c r="R196" s="57"/>
      <c r="S196" s="58">
        <v>0</v>
      </c>
      <c r="T196" s="59">
        <f>$L196*Variables!$C$22/100</f>
        <v>0</v>
      </c>
      <c r="U196" s="59">
        <f>$L196*Variables!$C$23/100</f>
        <v>0</v>
      </c>
      <c r="V196" s="59">
        <f>$L196*Variables!$C$24/100</f>
        <v>0</v>
      </c>
      <c r="W196" s="59">
        <f>$L196*Variables!$C$25/100</f>
        <v>0</v>
      </c>
      <c r="X196" s="62">
        <f>T196*Variables!$E$26*Variables!$C$18+'Cost Calculations'!U196*Variables!$E$27*Variables!$C$18+'Cost Calculations'!V196*Variables!$E$28*Variables!$C$18+W196*Variables!$E$29*Variables!$C$18</f>
        <v>0</v>
      </c>
      <c r="Y196" s="58">
        <f>J196*Variables!$E$30</f>
        <v>905550.39170999988</v>
      </c>
      <c r="Z196" s="1"/>
      <c r="AA196" s="245">
        <f>D196*(IF(D196&lt;Variables!$C$7,Variables!$C$38,IF(D196&gt;Variables!$C$6,Variables!$C$36,Variables!$C$37)))</f>
        <v>683.67243824912487</v>
      </c>
      <c r="AB196" s="64">
        <f t="shared" si="13"/>
        <v>674</v>
      </c>
      <c r="AC196" s="66">
        <f t="shared" si="2"/>
        <v>10</v>
      </c>
      <c r="AD196" s="62">
        <f>AC196*Variables!$E$41</f>
        <v>5376000</v>
      </c>
      <c r="AE196" s="71">
        <f>ROUND((H196/(3.14*Variables!$C$35^2)),0)</f>
        <v>98</v>
      </c>
      <c r="AF196" s="57">
        <f t="shared" si="14"/>
        <v>98</v>
      </c>
      <c r="AG196" s="57">
        <f t="shared" si="3"/>
        <v>0</v>
      </c>
      <c r="AH196" s="58">
        <f>AG196*Variables!$E$42*Variables!$C$18</f>
        <v>0</v>
      </c>
      <c r="AI196" s="73">
        <f t="shared" si="4"/>
        <v>6</v>
      </c>
      <c r="AJ196" s="66">
        <f t="shared" si="15"/>
        <v>6</v>
      </c>
      <c r="AK196" s="66">
        <f t="shared" si="5"/>
        <v>0</v>
      </c>
      <c r="AL196" s="62">
        <f>IF(AK196*Variables!$E$43*Variables!$C$18&lt;0,0,AK196*Variables!$E$43*Variables!$C$18)</f>
        <v>0</v>
      </c>
      <c r="AM196" s="58">
        <f>AA196*Variables!$E$39*Variables!$C$18</f>
        <v>197617100.70680979</v>
      </c>
      <c r="AN196" s="1"/>
      <c r="AO196" s="76">
        <f t="shared" si="16"/>
        <v>0.71399999999999997</v>
      </c>
      <c r="AP196" s="76">
        <f t="shared" si="6"/>
        <v>119.59411429355686</v>
      </c>
      <c r="AQ196" s="75">
        <f>VLOOKUP(B196,'Household Information'!$B$2:$E$48,4,FALSE)</f>
        <v>61.2</v>
      </c>
      <c r="AR196" s="79">
        <f>IF(12*(AP196-Variables!$C$45*AQ196*F196)*(G196/5)&lt;0,0,12*(AP196-Variables!$C$45*AQ196*F196)*(G196/5))</f>
        <v>46024828.542931087</v>
      </c>
      <c r="AS196" s="1"/>
      <c r="AT196" s="62">
        <v>0</v>
      </c>
      <c r="AU196" s="1"/>
    </row>
    <row r="197" spans="1:47" ht="14.25" customHeight="1">
      <c r="A197" s="1">
        <v>6</v>
      </c>
      <c r="B197" s="3" t="s">
        <v>106</v>
      </c>
      <c r="C197" s="1">
        <v>2023</v>
      </c>
      <c r="D197" s="13">
        <f>VLOOKUP(B197,Population!$B$1:$O$48,7,FALSE)</f>
        <v>956570.0221131146</v>
      </c>
      <c r="E197" s="13" t="str">
        <f t="shared" ref="E197:E260" si="19">IF(D197&lt;100000,"Small",IF(D197&lt;1000000,"Medium","Large"))</f>
        <v>Medium</v>
      </c>
      <c r="F197" s="54">
        <f>VLOOKUP(B197,'Household Information'!$B$1:$E$48,2,FALSE)</f>
        <v>3.0151582035627214</v>
      </c>
      <c r="G197" s="54">
        <f t="shared" si="0"/>
        <v>317253.67543992487</v>
      </c>
      <c r="H197" s="55">
        <f>IF(D197&gt;Variables!$C$6,H150,H150*(1+Variables!$C$9))</f>
        <v>116.91803899999999</v>
      </c>
      <c r="I197" s="55"/>
      <c r="J197" s="13">
        <f>H197*Variables!$C$21</f>
        <v>2104.5247019999997</v>
      </c>
      <c r="K197" s="13">
        <f t="shared" si="12"/>
        <v>2104.5247019999997</v>
      </c>
      <c r="L197" s="54">
        <f t="shared" si="1"/>
        <v>0</v>
      </c>
      <c r="M197" s="56"/>
      <c r="N197" s="57"/>
      <c r="O197" s="57"/>
      <c r="P197" s="57"/>
      <c r="Q197" s="57"/>
      <c r="R197" s="57"/>
      <c r="S197" s="58">
        <v>0</v>
      </c>
      <c r="T197" s="59">
        <f>$L197*Variables!$C$22/100</f>
        <v>0</v>
      </c>
      <c r="U197" s="59">
        <f>$L197*Variables!$C$23/100</f>
        <v>0</v>
      </c>
      <c r="V197" s="59">
        <f>$L197*Variables!$C$24/100</f>
        <v>0</v>
      </c>
      <c r="W197" s="59">
        <f>$L197*Variables!$C$25/100</f>
        <v>0</v>
      </c>
      <c r="X197" s="62">
        <f>T197*Variables!$E$26*Variables!$C$18+'Cost Calculations'!U197*Variables!$E$27*Variables!$C$18+'Cost Calculations'!V197*Variables!$E$28*Variables!$C$18+W197*Variables!$E$29*Variables!$C$18</f>
        <v>0</v>
      </c>
      <c r="Y197" s="58">
        <f>J197*Variables!$E$30</f>
        <v>1378463.6798099999</v>
      </c>
      <c r="Z197" s="1"/>
      <c r="AA197" s="245">
        <f>D197*(IF(D197&lt;Variables!$C$7,Variables!$C$38,IF(D197&gt;Variables!$C$6,Variables!$C$36,Variables!$C$37)))</f>
        <v>1147.8840265357373</v>
      </c>
      <c r="AB197" s="64">
        <f t="shared" si="13"/>
        <v>1131</v>
      </c>
      <c r="AC197" s="66">
        <f t="shared" si="2"/>
        <v>17</v>
      </c>
      <c r="AD197" s="62">
        <f>AC197*Variables!$E$41</f>
        <v>9139200</v>
      </c>
      <c r="AE197" s="71">
        <f>ROUND((H197/(3.14*Variables!$C$35^2)),0)</f>
        <v>149</v>
      </c>
      <c r="AF197" s="57">
        <f t="shared" si="14"/>
        <v>149</v>
      </c>
      <c r="AG197" s="57">
        <f t="shared" si="3"/>
        <v>0</v>
      </c>
      <c r="AH197" s="58">
        <f>AG197*Variables!$E$42*Variables!$C$18</f>
        <v>0</v>
      </c>
      <c r="AI197" s="73">
        <f t="shared" si="4"/>
        <v>10</v>
      </c>
      <c r="AJ197" s="66">
        <f t="shared" si="15"/>
        <v>9</v>
      </c>
      <c r="AK197" s="66">
        <f t="shared" si="5"/>
        <v>1</v>
      </c>
      <c r="AL197" s="62">
        <f>IF(AK197*Variables!$E$43*Variables!$C$18&lt;0,0,AK197*Variables!$E$43*Variables!$C$18)</f>
        <v>945381.49199999997</v>
      </c>
      <c r="AM197" s="58">
        <f>AA197*Variables!$E$39*Variables!$C$18</f>
        <v>331798534.76701349</v>
      </c>
      <c r="AN197" s="1"/>
      <c r="AO197" s="76">
        <f t="shared" si="16"/>
        <v>0.68340000000000001</v>
      </c>
      <c r="AP197" s="76">
        <f t="shared" si="6"/>
        <v>123.63354697888582</v>
      </c>
      <c r="AQ197" s="75">
        <f>VLOOKUP(B197,'Household Information'!$B$2:$E$48,4,FALSE)</f>
        <v>55.55</v>
      </c>
      <c r="AR197" s="79">
        <f>IF(12*(AP197-Variables!$C$45*AQ197*F197)*(G197/5)&lt;0,0,12*(AP197-Variables!$C$45*AQ197*F197)*(G197/5))</f>
        <v>75006185.945924684</v>
      </c>
      <c r="AS197" s="1"/>
      <c r="AT197" s="62">
        <v>0</v>
      </c>
      <c r="AU197" s="1"/>
    </row>
    <row r="198" spans="1:47" ht="14.25" customHeight="1">
      <c r="A198" s="1">
        <v>7</v>
      </c>
      <c r="B198" s="3" t="s">
        <v>107</v>
      </c>
      <c r="C198" s="1">
        <v>2023</v>
      </c>
      <c r="D198" s="13">
        <f>VLOOKUP(B198,Population!$B$1:$O$48,7,FALSE)</f>
        <v>678057.63402087952</v>
      </c>
      <c r="E198" s="13" t="str">
        <f t="shared" si="19"/>
        <v>Medium</v>
      </c>
      <c r="F198" s="54">
        <f>VLOOKUP(B198,'Household Information'!$B$1:$E$48,2,FALSE)</f>
        <v>2.7144187891908675</v>
      </c>
      <c r="G198" s="54">
        <f t="shared" si="0"/>
        <v>249798.46025270093</v>
      </c>
      <c r="H198" s="55">
        <f>IF(D198&gt;Variables!$C$6,H151,H151*(1+Variables!$C$9))</f>
        <v>92.766498999999996</v>
      </c>
      <c r="I198" s="55"/>
      <c r="J198" s="13">
        <f>H198*Variables!$C$21</f>
        <v>1669.7969819999998</v>
      </c>
      <c r="K198" s="13">
        <f t="shared" si="12"/>
        <v>1669.7969819999998</v>
      </c>
      <c r="L198" s="54">
        <f t="shared" si="1"/>
        <v>0</v>
      </c>
      <c r="M198" s="56"/>
      <c r="N198" s="57"/>
      <c r="O198" s="57"/>
      <c r="P198" s="57"/>
      <c r="Q198" s="57"/>
      <c r="R198" s="57"/>
      <c r="S198" s="58">
        <v>0</v>
      </c>
      <c r="T198" s="59">
        <f>$L198*Variables!$C$22/100</f>
        <v>0</v>
      </c>
      <c r="U198" s="59">
        <f>$L198*Variables!$C$23/100</f>
        <v>0</v>
      </c>
      <c r="V198" s="59">
        <f>$L198*Variables!$C$24/100</f>
        <v>0</v>
      </c>
      <c r="W198" s="59">
        <f>$L198*Variables!$C$25/100</f>
        <v>0</v>
      </c>
      <c r="X198" s="62">
        <f>T198*Variables!$E$26*Variables!$C$18+'Cost Calculations'!U198*Variables!$E$27*Variables!$C$18+'Cost Calculations'!V198*Variables!$E$28*Variables!$C$18+W198*Variables!$E$29*Variables!$C$18</f>
        <v>0</v>
      </c>
      <c r="Y198" s="58">
        <f>J198*Variables!$E$30</f>
        <v>1093717.0232099998</v>
      </c>
      <c r="Z198" s="1"/>
      <c r="AA198" s="245">
        <f>D198*(IF(D198&lt;Variables!$C$7,Variables!$C$38,IF(D198&gt;Variables!$C$6,Variables!$C$36,Variables!$C$37)))</f>
        <v>813.66916082505531</v>
      </c>
      <c r="AB198" s="64">
        <f t="shared" si="13"/>
        <v>802</v>
      </c>
      <c r="AC198" s="66">
        <f t="shared" si="2"/>
        <v>12</v>
      </c>
      <c r="AD198" s="62">
        <f>AC198*Variables!$E$41</f>
        <v>6451200</v>
      </c>
      <c r="AE198" s="71">
        <f>ROUND((H198/(3.14*Variables!$C$35^2)),0)</f>
        <v>118</v>
      </c>
      <c r="AF198" s="57">
        <f t="shared" si="14"/>
        <v>118</v>
      </c>
      <c r="AG198" s="57">
        <f t="shared" si="3"/>
        <v>0</v>
      </c>
      <c r="AH198" s="58">
        <f>AG198*Variables!$E$42*Variables!$C$18</f>
        <v>0</v>
      </c>
      <c r="AI198" s="73">
        <f t="shared" si="4"/>
        <v>7</v>
      </c>
      <c r="AJ198" s="66">
        <f t="shared" si="15"/>
        <v>7</v>
      </c>
      <c r="AK198" s="66">
        <f t="shared" si="5"/>
        <v>0</v>
      </c>
      <c r="AL198" s="62">
        <f>IF(AK198*Variables!$E$43*Variables!$C$18&lt;0,0,AK198*Variables!$E$43*Variables!$C$18)</f>
        <v>0</v>
      </c>
      <c r="AM198" s="58">
        <f>AA198*Variables!$E$39*Variables!$C$18</f>
        <v>235192954.25830516</v>
      </c>
      <c r="AN198" s="1"/>
      <c r="AO198" s="76">
        <f t="shared" si="16"/>
        <v>0.67714285714285716</v>
      </c>
      <c r="AP198" s="76">
        <f t="shared" si="6"/>
        <v>110.28295766369753</v>
      </c>
      <c r="AQ198" s="75">
        <f>VLOOKUP(B198,'Household Information'!$B$2:$E$48,4,FALSE)</f>
        <v>59.47</v>
      </c>
      <c r="AR198" s="79">
        <f>IF(12*(AP198-Variables!$C$45*AQ198*F198)*(G198/5)&lt;0,0,12*(AP198-Variables!$C$45*AQ198*F198)*(G198/5))</f>
        <v>51599759.741333261</v>
      </c>
      <c r="AS198" s="1"/>
      <c r="AT198" s="62">
        <v>0</v>
      </c>
      <c r="AU198" s="1"/>
    </row>
    <row r="199" spans="1:47" ht="14.25" customHeight="1">
      <c r="A199" s="1">
        <v>8</v>
      </c>
      <c r="B199" s="3" t="s">
        <v>108</v>
      </c>
      <c r="C199" s="1">
        <v>2023</v>
      </c>
      <c r="D199" s="13">
        <f>VLOOKUP(B199,Population!$B$1:$O$48,7,FALSE)</f>
        <v>441330.93787131162</v>
      </c>
      <c r="E199" s="13" t="str">
        <f t="shared" si="19"/>
        <v>Medium</v>
      </c>
      <c r="F199" s="54">
        <f>VLOOKUP(B199,'Household Information'!$B$1:$E$48,2,FALSE)</f>
        <v>2.3617684870776379</v>
      </c>
      <c r="G199" s="54">
        <f t="shared" si="0"/>
        <v>186864.60602977968</v>
      </c>
      <c r="H199" s="55">
        <f>IF(D199&gt;Variables!$C$6,H152,H152*(1+Variables!$C$9))</f>
        <v>39.199250999999997</v>
      </c>
      <c r="I199" s="55"/>
      <c r="J199" s="13">
        <f>H199*Variables!$C$21</f>
        <v>705.58651799999996</v>
      </c>
      <c r="K199" s="13">
        <f t="shared" si="12"/>
        <v>705.58651799999996</v>
      </c>
      <c r="L199" s="54">
        <f t="shared" si="1"/>
        <v>0</v>
      </c>
      <c r="M199" s="56"/>
      <c r="N199" s="57"/>
      <c r="O199" s="57"/>
      <c r="P199" s="57"/>
      <c r="Q199" s="57"/>
      <c r="R199" s="57"/>
      <c r="S199" s="58">
        <v>0</v>
      </c>
      <c r="T199" s="59">
        <f>$L199*Variables!$C$22/100</f>
        <v>0</v>
      </c>
      <c r="U199" s="59">
        <f>$L199*Variables!$C$23/100</f>
        <v>0</v>
      </c>
      <c r="V199" s="59">
        <f>$L199*Variables!$C$24/100</f>
        <v>0</v>
      </c>
      <c r="W199" s="59">
        <f>$L199*Variables!$C$25/100</f>
        <v>0</v>
      </c>
      <c r="X199" s="62">
        <f>T199*Variables!$E$26*Variables!$C$18+'Cost Calculations'!U199*Variables!$E$27*Variables!$C$18+'Cost Calculations'!V199*Variables!$E$28*Variables!$C$18+W199*Variables!$E$29*Variables!$C$18</f>
        <v>0</v>
      </c>
      <c r="Y199" s="58">
        <f>J199*Variables!$E$30</f>
        <v>462159.16928999999</v>
      </c>
      <c r="Z199" s="1"/>
      <c r="AA199" s="245">
        <f>D199*(IF(D199&lt;Variables!$C$7,Variables!$C$38,IF(D199&gt;Variables!$C$6,Variables!$C$36,Variables!$C$37)))</f>
        <v>529.59712544557385</v>
      </c>
      <c r="AB199" s="64">
        <f t="shared" si="13"/>
        <v>978</v>
      </c>
      <c r="AC199" s="66">
        <f t="shared" si="2"/>
        <v>0</v>
      </c>
      <c r="AD199" s="62">
        <f>AC199*Variables!$E$41</f>
        <v>0</v>
      </c>
      <c r="AE199" s="71">
        <f>ROUND((H199/(3.14*Variables!$C$35^2)),0)</f>
        <v>50</v>
      </c>
      <c r="AF199" s="57">
        <f t="shared" si="14"/>
        <v>50</v>
      </c>
      <c r="AG199" s="57">
        <f t="shared" si="3"/>
        <v>0</v>
      </c>
      <c r="AH199" s="58">
        <f>AG199*Variables!$E$42*Variables!$C$18</f>
        <v>0</v>
      </c>
      <c r="AI199" s="73">
        <f t="shared" si="4"/>
        <v>4</v>
      </c>
      <c r="AJ199" s="66">
        <f t="shared" si="15"/>
        <v>4</v>
      </c>
      <c r="AK199" s="66">
        <f t="shared" si="5"/>
        <v>0</v>
      </c>
      <c r="AL199" s="62">
        <f>IF(AK199*Variables!$E$43*Variables!$C$18&lt;0,0,AK199*Variables!$E$43*Variables!$C$18)</f>
        <v>0</v>
      </c>
      <c r="AM199" s="58">
        <f>AA199*Variables!$E$39*Variables!$C$18</f>
        <v>153081274.91762158</v>
      </c>
      <c r="AN199" s="1"/>
      <c r="AO199" s="76">
        <f t="shared" si="16"/>
        <v>0.61199999999999999</v>
      </c>
      <c r="AP199" s="76">
        <f t="shared" si="6"/>
        <v>86.724138845490856</v>
      </c>
      <c r="AQ199" s="75">
        <f>VLOOKUP(B199,'Household Information'!$B$2:$E$48,4,FALSE)</f>
        <v>75.66</v>
      </c>
      <c r="AR199" s="79">
        <f>IF(12*(AP199-Variables!$C$45*AQ199*F199)*(G199/5)&lt;0,0,12*(AP199-Variables!$C$45*AQ199*F199)*(G199/5))</f>
        <v>26872817.339359313</v>
      </c>
      <c r="AS199" s="1"/>
      <c r="AT199" s="62">
        <v>0</v>
      </c>
      <c r="AU199" s="1"/>
    </row>
    <row r="200" spans="1:47" ht="14.25" customHeight="1">
      <c r="A200" s="1">
        <v>9</v>
      </c>
      <c r="B200" s="3" t="s">
        <v>109</v>
      </c>
      <c r="C200" s="1">
        <v>2023</v>
      </c>
      <c r="D200" s="13">
        <f>VLOOKUP(B200,Population!$B$1:$O$48,7,FALSE)</f>
        <v>516937.96111592866</v>
      </c>
      <c r="E200" s="13" t="str">
        <f t="shared" si="19"/>
        <v>Medium</v>
      </c>
      <c r="F200" s="54">
        <f>VLOOKUP(B200,'Household Information'!$B$1:$E$48,2,FALSE)</f>
        <v>2.7429262269780841</v>
      </c>
      <c r="G200" s="54">
        <f t="shared" si="0"/>
        <v>188462.21820754022</v>
      </c>
      <c r="H200" s="55">
        <f>IF(D200&gt;Variables!$C$6,H153,H153*(1+Variables!$C$9))</f>
        <v>47.234957999999992</v>
      </c>
      <c r="I200" s="55"/>
      <c r="J200" s="13">
        <f>H200*Variables!$C$21</f>
        <v>850.22924399999988</v>
      </c>
      <c r="K200" s="13">
        <f t="shared" si="12"/>
        <v>850.22924399999988</v>
      </c>
      <c r="L200" s="54">
        <f t="shared" si="1"/>
        <v>0</v>
      </c>
      <c r="M200" s="56"/>
      <c r="N200" s="57"/>
      <c r="O200" s="57"/>
      <c r="P200" s="57"/>
      <c r="Q200" s="57"/>
      <c r="R200" s="57"/>
      <c r="S200" s="58">
        <v>0</v>
      </c>
      <c r="T200" s="59">
        <f>$L200*Variables!$C$22/100</f>
        <v>0</v>
      </c>
      <c r="U200" s="59">
        <f>$L200*Variables!$C$23/100</f>
        <v>0</v>
      </c>
      <c r="V200" s="59">
        <f>$L200*Variables!$C$24/100</f>
        <v>0</v>
      </c>
      <c r="W200" s="59">
        <f>$L200*Variables!$C$25/100</f>
        <v>0</v>
      </c>
      <c r="X200" s="62">
        <f>T200*Variables!$E$26*Variables!$C$18+'Cost Calculations'!U200*Variables!$E$27*Variables!$C$18+'Cost Calculations'!V200*Variables!$E$28*Variables!$C$18+W200*Variables!$E$29*Variables!$C$18</f>
        <v>0</v>
      </c>
      <c r="Y200" s="58">
        <f>J200*Variables!$E$30</f>
        <v>556900.15481999994</v>
      </c>
      <c r="Z200" s="1"/>
      <c r="AA200" s="245">
        <f>D200*(IF(D200&lt;Variables!$C$7,Variables!$C$38,IF(D200&gt;Variables!$C$6,Variables!$C$36,Variables!$C$37)))</f>
        <v>620.32555333911432</v>
      </c>
      <c r="AB200" s="64">
        <f t="shared" si="13"/>
        <v>611</v>
      </c>
      <c r="AC200" s="66">
        <f t="shared" si="2"/>
        <v>9</v>
      </c>
      <c r="AD200" s="62">
        <f>AC200*Variables!$E$41</f>
        <v>4838400</v>
      </c>
      <c r="AE200" s="71">
        <f>ROUND((H200/(3.14*Variables!$C$35^2)),0)</f>
        <v>60</v>
      </c>
      <c r="AF200" s="57">
        <f t="shared" si="14"/>
        <v>60</v>
      </c>
      <c r="AG200" s="57">
        <f t="shared" si="3"/>
        <v>0</v>
      </c>
      <c r="AH200" s="58">
        <f>AG200*Variables!$E$42*Variables!$C$18</f>
        <v>0</v>
      </c>
      <c r="AI200" s="73">
        <f t="shared" si="4"/>
        <v>5</v>
      </c>
      <c r="AJ200" s="66">
        <f t="shared" si="15"/>
        <v>5</v>
      </c>
      <c r="AK200" s="66">
        <f t="shared" si="5"/>
        <v>0</v>
      </c>
      <c r="AL200" s="62">
        <f>IF(AK200*Variables!$E$43*Variables!$C$18&lt;0,0,AK200*Variables!$E$43*Variables!$C$18)</f>
        <v>0</v>
      </c>
      <c r="AM200" s="58">
        <f>AA200*Variables!$E$39*Variables!$C$18</f>
        <v>179306537.00062361</v>
      </c>
      <c r="AN200" s="1"/>
      <c r="AO200" s="76">
        <f t="shared" si="16"/>
        <v>0.67714285714285716</v>
      </c>
      <c r="AP200" s="76">
        <f t="shared" si="6"/>
        <v>111.44117413608102</v>
      </c>
      <c r="AQ200" s="75">
        <f>VLOOKUP(B200,'Household Information'!$B$2:$E$48,4,FALSE)</f>
        <v>65.935833333333335</v>
      </c>
      <c r="AR200" s="79">
        <f>IF(12*(AP200-Variables!$C$45*AQ200*F200)*(G200/5)&lt;0,0,12*(AP200-Variables!$C$45*AQ200*F200)*(G200/5))</f>
        <v>38135377.416399926</v>
      </c>
      <c r="AS200" s="1"/>
      <c r="AT200" s="62">
        <v>0</v>
      </c>
      <c r="AU200" s="1"/>
    </row>
    <row r="201" spans="1:47" ht="14.25" customHeight="1">
      <c r="A201" s="1">
        <v>10</v>
      </c>
      <c r="B201" s="3" t="s">
        <v>110</v>
      </c>
      <c r="C201" s="1">
        <v>2023</v>
      </c>
      <c r="D201" s="13">
        <f>VLOOKUP(B201,Population!$B$1:$O$48,7,FALSE)</f>
        <v>539381.01876885188</v>
      </c>
      <c r="E201" s="13" t="str">
        <f t="shared" si="19"/>
        <v>Medium</v>
      </c>
      <c r="F201" s="54">
        <f>VLOOKUP(B201,'Household Information'!$B$1:$E$48,2,FALSE)</f>
        <v>2.5116430728482135</v>
      </c>
      <c r="G201" s="54">
        <f t="shared" si="0"/>
        <v>214752.2570383345</v>
      </c>
      <c r="H201" s="55">
        <f>IF(D201&gt;Variables!$C$6,H154,H154*(1+Variables!$C$9))</f>
        <v>27.319750999999997</v>
      </c>
      <c r="I201" s="55"/>
      <c r="J201" s="13">
        <f>H201*Variables!$C$21</f>
        <v>491.75551799999994</v>
      </c>
      <c r="K201" s="13">
        <f t="shared" si="12"/>
        <v>491.75551799999994</v>
      </c>
      <c r="L201" s="54">
        <f t="shared" si="1"/>
        <v>0</v>
      </c>
      <c r="M201" s="56"/>
      <c r="N201" s="57"/>
      <c r="O201" s="57"/>
      <c r="P201" s="57"/>
      <c r="Q201" s="57"/>
      <c r="R201" s="57"/>
      <c r="S201" s="58">
        <v>0</v>
      </c>
      <c r="T201" s="59">
        <f>$L201*Variables!$C$22/100</f>
        <v>0</v>
      </c>
      <c r="U201" s="59">
        <f>$L201*Variables!$C$23/100</f>
        <v>0</v>
      </c>
      <c r="V201" s="59">
        <f>$L201*Variables!$C$24/100</f>
        <v>0</v>
      </c>
      <c r="W201" s="59">
        <f>$L201*Variables!$C$25/100</f>
        <v>0</v>
      </c>
      <c r="X201" s="62">
        <f>T201*Variables!$E$26*Variables!$C$18+'Cost Calculations'!U201*Variables!$E$27*Variables!$C$18+'Cost Calculations'!V201*Variables!$E$28*Variables!$C$18+W201*Variables!$E$29*Variables!$C$18</f>
        <v>0</v>
      </c>
      <c r="Y201" s="58">
        <f>J201*Variables!$E$30</f>
        <v>322099.86428999994</v>
      </c>
      <c r="Z201" s="1"/>
      <c r="AA201" s="245">
        <f>D201*(IF(D201&lt;Variables!$C$7,Variables!$C$38,IF(D201&gt;Variables!$C$6,Variables!$C$36,Variables!$C$37)))</f>
        <v>647.25722252262221</v>
      </c>
      <c r="AB201" s="64">
        <f t="shared" si="13"/>
        <v>638</v>
      </c>
      <c r="AC201" s="66">
        <f t="shared" si="2"/>
        <v>9</v>
      </c>
      <c r="AD201" s="62">
        <f>AC201*Variables!$E$41</f>
        <v>4838400</v>
      </c>
      <c r="AE201" s="71">
        <f>ROUND((H201/(3.14*Variables!$C$35^2)),0)</f>
        <v>35</v>
      </c>
      <c r="AF201" s="57">
        <f t="shared" si="14"/>
        <v>35</v>
      </c>
      <c r="AG201" s="57">
        <f t="shared" si="3"/>
        <v>0</v>
      </c>
      <c r="AH201" s="58">
        <f>AG201*Variables!$E$42*Variables!$C$18</f>
        <v>0</v>
      </c>
      <c r="AI201" s="73">
        <f t="shared" si="4"/>
        <v>5</v>
      </c>
      <c r="AJ201" s="66">
        <f t="shared" si="15"/>
        <v>5</v>
      </c>
      <c r="AK201" s="66">
        <f t="shared" si="5"/>
        <v>0</v>
      </c>
      <c r="AL201" s="62">
        <f>IF(AK201*Variables!$E$43*Variables!$C$18&lt;0,0,AK201*Variables!$E$43*Variables!$C$18)</f>
        <v>0</v>
      </c>
      <c r="AM201" s="58">
        <f>AA201*Variables!$E$39*Variables!$C$18</f>
        <v>187091198.31426343</v>
      </c>
      <c r="AN201" s="1"/>
      <c r="AO201" s="76">
        <f t="shared" si="16"/>
        <v>0.67714285714285716</v>
      </c>
      <c r="AP201" s="76">
        <f t="shared" si="6"/>
        <v>102.04446998829027</v>
      </c>
      <c r="AQ201" s="75">
        <f>VLOOKUP(B201,'Household Information'!$B$2:$E$48,4,FALSE)</f>
        <v>62.81</v>
      </c>
      <c r="AR201" s="79">
        <f>IF(12*(AP201-Variables!$C$45*AQ201*F201)*(G201/5)&lt;0,0,12*(AP201-Variables!$C$45*AQ201*F201)*(G201/5))</f>
        <v>40398004.751844451</v>
      </c>
      <c r="AS201" s="1"/>
      <c r="AT201" s="62">
        <v>0</v>
      </c>
      <c r="AU201" s="1"/>
    </row>
    <row r="202" spans="1:47" ht="14.25" customHeight="1">
      <c r="A202" s="1">
        <v>11</v>
      </c>
      <c r="B202" s="3" t="s">
        <v>125</v>
      </c>
      <c r="C202" s="1">
        <v>2023</v>
      </c>
      <c r="D202" s="13">
        <f>VLOOKUP(B202,Population!$B$1:$O$48,7,FALSE)</f>
        <v>379555.16395256604</v>
      </c>
      <c r="E202" s="13" t="str">
        <f t="shared" si="19"/>
        <v>Medium</v>
      </c>
      <c r="F202" s="54">
        <f>VLOOKUP(B202,'Household Information'!$B$1:$E$48,2,FALSE)</f>
        <v>2.693850400263019</v>
      </c>
      <c r="G202" s="54">
        <f t="shared" si="0"/>
        <v>140896.89758403343</v>
      </c>
      <c r="H202" s="55">
        <f>IF(D202&gt;Variables!$C$6,H155,H155*(1+Variables!$C$9))</f>
        <v>28.674206300180991</v>
      </c>
      <c r="I202" s="55"/>
      <c r="J202" s="13">
        <f>H202*Variables!$C$21</f>
        <v>516.1357134032578</v>
      </c>
      <c r="K202" s="13">
        <f t="shared" si="12"/>
        <v>516.1357134032578</v>
      </c>
      <c r="L202" s="54">
        <f t="shared" si="1"/>
        <v>0</v>
      </c>
      <c r="M202" s="56"/>
      <c r="N202" s="57"/>
      <c r="O202" s="57"/>
      <c r="P202" s="57"/>
      <c r="Q202" s="57"/>
      <c r="R202" s="57"/>
      <c r="S202" s="58">
        <v>0</v>
      </c>
      <c r="T202" s="59">
        <f>$L202*Variables!$C$22/100</f>
        <v>0</v>
      </c>
      <c r="U202" s="59">
        <f>$L202*Variables!$C$23/100</f>
        <v>0</v>
      </c>
      <c r="V202" s="59">
        <f>$L202*Variables!$C$24/100</f>
        <v>0</v>
      </c>
      <c r="W202" s="59">
        <f>$L202*Variables!$C$25/100</f>
        <v>0</v>
      </c>
      <c r="X202" s="62">
        <f>T202*Variables!$E$26*Variables!$C$18+'Cost Calculations'!U202*Variables!$E$27*Variables!$C$18+'Cost Calculations'!V202*Variables!$E$28*Variables!$C$18+W202*Variables!$E$29*Variables!$C$18</f>
        <v>0</v>
      </c>
      <c r="Y202" s="58">
        <f>J202*Variables!$E$30</f>
        <v>338068.89227913384</v>
      </c>
      <c r="Z202" s="1"/>
      <c r="AA202" s="245">
        <f>D202*(IF(D202&lt;Variables!$C$7,Variables!$C$38,IF(D202&gt;Variables!$C$6,Variables!$C$36,Variables!$C$37)))</f>
        <v>455.46619674307919</v>
      </c>
      <c r="AB202" s="64">
        <f t="shared" si="13"/>
        <v>449</v>
      </c>
      <c r="AC202" s="66">
        <f t="shared" si="2"/>
        <v>6</v>
      </c>
      <c r="AD202" s="62">
        <f>AC202*Variables!$E$41</f>
        <v>3225600</v>
      </c>
      <c r="AE202" s="71">
        <f>ROUND((H202/(3.14*Variables!$C$35^2)),0)</f>
        <v>37</v>
      </c>
      <c r="AF202" s="57">
        <f t="shared" si="14"/>
        <v>37</v>
      </c>
      <c r="AG202" s="57">
        <f t="shared" si="3"/>
        <v>0</v>
      </c>
      <c r="AH202" s="58">
        <f>AG202*Variables!$E$42*Variables!$C$18</f>
        <v>0</v>
      </c>
      <c r="AI202" s="73">
        <f t="shared" si="4"/>
        <v>4</v>
      </c>
      <c r="AJ202" s="66">
        <f t="shared" si="15"/>
        <v>4</v>
      </c>
      <c r="AK202" s="66">
        <f t="shared" si="5"/>
        <v>0</v>
      </c>
      <c r="AL202" s="62">
        <f>IF(AK202*Variables!$E$43*Variables!$C$18&lt;0,0,AK202*Variables!$E$43*Variables!$C$18)</f>
        <v>0</v>
      </c>
      <c r="AM202" s="58">
        <f>AA202*Variables!$E$39*Variables!$C$18</f>
        <v>131653558.39242791</v>
      </c>
      <c r="AN202" s="1"/>
      <c r="AO202" s="76">
        <f t="shared" si="16"/>
        <v>0.67714285714285716</v>
      </c>
      <c r="AP202" s="76">
        <f t="shared" si="6"/>
        <v>109.4472934049718</v>
      </c>
      <c r="AQ202" s="75">
        <f>VLOOKUP(B202,'Household Information'!$B$2:$E$48,4,FALSE)</f>
        <v>65.935833333333335</v>
      </c>
      <c r="AR202" s="79">
        <f>IF(12*(AP202-Variables!$C$45*AQ202*F202)*(G202/5)&lt;0,0,12*(AP202-Variables!$C$45*AQ202*F202)*(G202/5))</f>
        <v>28000418.844126262</v>
      </c>
      <c r="AS202" s="1"/>
      <c r="AT202" s="62">
        <v>0</v>
      </c>
      <c r="AU202" s="1"/>
    </row>
    <row r="203" spans="1:47" ht="14.25" customHeight="1">
      <c r="A203" s="1">
        <v>12</v>
      </c>
      <c r="B203" s="3" t="s">
        <v>152</v>
      </c>
      <c r="C203" s="1">
        <v>2023</v>
      </c>
      <c r="D203" s="13">
        <f>VLOOKUP(B203,Population!$B$1:$O$48,7,FALSE)</f>
        <v>431383.29737944331</v>
      </c>
      <c r="E203" s="13" t="str">
        <f t="shared" si="19"/>
        <v>Medium</v>
      </c>
      <c r="F203" s="54">
        <f>VLOOKUP(B203,'Household Information'!$B$1:$E$48,2,FALSE)</f>
        <v>2.5280688906285511</v>
      </c>
      <c r="G203" s="54">
        <f t="shared" si="0"/>
        <v>170637.47707926936</v>
      </c>
      <c r="H203" s="55">
        <f>IF(D203&gt;Variables!$C$6,H156,H156*(1+Variables!$C$9))</f>
        <v>17.374026999999998</v>
      </c>
      <c r="I203" s="55"/>
      <c r="J203" s="13">
        <f>H203*Variables!$C$21</f>
        <v>312.73248599999999</v>
      </c>
      <c r="K203" s="13">
        <f t="shared" si="12"/>
        <v>639</v>
      </c>
      <c r="L203" s="54">
        <f t="shared" si="1"/>
        <v>0</v>
      </c>
      <c r="M203" s="56"/>
      <c r="N203" s="57"/>
      <c r="O203" s="57"/>
      <c r="P203" s="57"/>
      <c r="Q203" s="57"/>
      <c r="R203" s="57"/>
      <c r="S203" s="58">
        <v>0</v>
      </c>
      <c r="T203" s="59">
        <f>$L203*Variables!$C$22/100</f>
        <v>0</v>
      </c>
      <c r="U203" s="59">
        <f>$L203*Variables!$C$23/100</f>
        <v>0</v>
      </c>
      <c r="V203" s="59">
        <f>$L203*Variables!$C$24/100</f>
        <v>0</v>
      </c>
      <c r="W203" s="59">
        <f>$L203*Variables!$C$25/100</f>
        <v>0</v>
      </c>
      <c r="X203" s="62">
        <f>T203*Variables!$E$26*Variables!$C$18+'Cost Calculations'!U203*Variables!$E$27*Variables!$C$18+'Cost Calculations'!V203*Variables!$E$28*Variables!$C$18+W203*Variables!$E$29*Variables!$C$18</f>
        <v>0</v>
      </c>
      <c r="Y203" s="58">
        <f>J203*Variables!$E$30</f>
        <v>204839.77833</v>
      </c>
      <c r="Z203" s="1"/>
      <c r="AA203" s="245">
        <f>D203*(IF(D203&lt;Variables!$C$7,Variables!$C$38,IF(D203&gt;Variables!$C$6,Variables!$C$36,Variables!$C$37)))</f>
        <v>517.65995685533187</v>
      </c>
      <c r="AB203" s="64">
        <f t="shared" si="13"/>
        <v>510</v>
      </c>
      <c r="AC203" s="66">
        <f t="shared" si="2"/>
        <v>8</v>
      </c>
      <c r="AD203" s="62">
        <f>AC203*Variables!$E$41</f>
        <v>4300800</v>
      </c>
      <c r="AE203" s="71">
        <f>ROUND((H203/(3.14*Variables!$C$35^2)),0)</f>
        <v>22</v>
      </c>
      <c r="AF203" s="57">
        <f t="shared" si="14"/>
        <v>22</v>
      </c>
      <c r="AG203" s="57">
        <f t="shared" si="3"/>
        <v>0</v>
      </c>
      <c r="AH203" s="58">
        <f>AG203*Variables!$E$42*Variables!$C$18</f>
        <v>0</v>
      </c>
      <c r="AI203" s="73">
        <f t="shared" si="4"/>
        <v>4</v>
      </c>
      <c r="AJ203" s="66">
        <f t="shared" si="15"/>
        <v>4</v>
      </c>
      <c r="AK203" s="66">
        <f t="shared" si="5"/>
        <v>0</v>
      </c>
      <c r="AL203" s="62">
        <f>IF(AK203*Variables!$E$43*Variables!$C$18&lt;0,0,AK203*Variables!$E$43*Variables!$C$18)</f>
        <v>0</v>
      </c>
      <c r="AM203" s="58">
        <f>AA203*Variables!$E$39*Variables!$C$18</f>
        <v>149630808.70679504</v>
      </c>
      <c r="AN203" s="1"/>
      <c r="AO203" s="76">
        <f t="shared" si="16"/>
        <v>0.67714285714285716</v>
      </c>
      <c r="AP203" s="76">
        <f t="shared" si="6"/>
        <v>102.71182749925141</v>
      </c>
      <c r="AQ203" s="75">
        <f>VLOOKUP(B203,'Household Information'!$B$2:$E$48,4,FALSE)</f>
        <v>89.08</v>
      </c>
      <c r="AR203" s="79">
        <f>IF(12*(AP203-Variables!$C$45*AQ203*F203)*(G203/5)&lt;0,0,12*(AP203-Variables!$C$45*AQ203*F203)*(G203/5))</f>
        <v>28229624.378614221</v>
      </c>
      <c r="AS203" s="1"/>
      <c r="AT203" s="62">
        <v>0</v>
      </c>
      <c r="AU203" s="1"/>
    </row>
    <row r="204" spans="1:47" ht="14.25" customHeight="1">
      <c r="A204" s="1">
        <v>13</v>
      </c>
      <c r="B204" s="3" t="s">
        <v>181</v>
      </c>
      <c r="C204" s="1">
        <v>2023</v>
      </c>
      <c r="D204" s="13">
        <f>VLOOKUP(B204,Population!$B$1:$O$48,7,FALSE)</f>
        <v>486083.46996067627</v>
      </c>
      <c r="E204" s="13" t="str">
        <f t="shared" si="19"/>
        <v>Medium</v>
      </c>
      <c r="F204" s="54">
        <f>VLOOKUP(B204,'Household Information'!$B$1:$E$48,2,FALSE)</f>
        <v>2.4075040417460345</v>
      </c>
      <c r="G204" s="54">
        <f t="shared" si="0"/>
        <v>201903.49072400553</v>
      </c>
      <c r="H204" s="55">
        <f>IF(D204&gt;Variables!$C$6,H157,H157*(1+Variables!$C$9))</f>
        <v>82.9</v>
      </c>
      <c r="I204" s="55"/>
      <c r="J204" s="13">
        <f>H204*Variables!$C$21</f>
        <v>1492.2</v>
      </c>
      <c r="K204" s="13">
        <f t="shared" si="12"/>
        <v>1492.2</v>
      </c>
      <c r="L204" s="54">
        <f t="shared" si="1"/>
        <v>0</v>
      </c>
      <c r="M204" s="56"/>
      <c r="N204" s="57"/>
      <c r="O204" s="57"/>
      <c r="P204" s="57"/>
      <c r="Q204" s="57"/>
      <c r="R204" s="57"/>
      <c r="S204" s="58">
        <v>0</v>
      </c>
      <c r="T204" s="59">
        <f>$L204*Variables!$C$22/100</f>
        <v>0</v>
      </c>
      <c r="U204" s="59">
        <f>$L204*Variables!$C$23/100</f>
        <v>0</v>
      </c>
      <c r="V204" s="59">
        <f>$L204*Variables!$C$24/100</f>
        <v>0</v>
      </c>
      <c r="W204" s="59">
        <f>$L204*Variables!$C$25/100</f>
        <v>0</v>
      </c>
      <c r="X204" s="62">
        <f>T204*Variables!$E$26*Variables!$C$18+'Cost Calculations'!U204*Variables!$E$27*Variables!$C$18+'Cost Calculations'!V204*Variables!$E$28*Variables!$C$18+W204*Variables!$E$29*Variables!$C$18</f>
        <v>0</v>
      </c>
      <c r="Y204" s="58">
        <f>J204*Variables!$E$30</f>
        <v>977391</v>
      </c>
      <c r="Z204" s="1"/>
      <c r="AA204" s="245">
        <f>D204*(IF(D204&lt;Variables!$C$7,Variables!$C$38,IF(D204&gt;Variables!$C$6,Variables!$C$36,Variables!$C$37)))</f>
        <v>583.30016395281143</v>
      </c>
      <c r="AB204" s="64">
        <f t="shared" si="13"/>
        <v>575</v>
      </c>
      <c r="AC204" s="66">
        <f t="shared" si="2"/>
        <v>8</v>
      </c>
      <c r="AD204" s="62">
        <f>AC204*Variables!$E$41</f>
        <v>4300800</v>
      </c>
      <c r="AE204" s="71">
        <f>ROUND((H204/(3.14*Variables!$C$35^2)),0)</f>
        <v>106</v>
      </c>
      <c r="AF204" s="57">
        <f t="shared" si="14"/>
        <v>106</v>
      </c>
      <c r="AG204" s="57">
        <f t="shared" si="3"/>
        <v>0</v>
      </c>
      <c r="AH204" s="58">
        <f>AG204*Variables!$E$42*Variables!$C$18</f>
        <v>0</v>
      </c>
      <c r="AI204" s="73">
        <f t="shared" si="4"/>
        <v>5</v>
      </c>
      <c r="AJ204" s="66">
        <f t="shared" si="15"/>
        <v>5</v>
      </c>
      <c r="AK204" s="66">
        <f t="shared" si="5"/>
        <v>0</v>
      </c>
      <c r="AL204" s="62">
        <f>IF(AK204*Variables!$E$43*Variables!$C$18&lt;0,0,AK204*Variables!$E$43*Variables!$C$18)</f>
        <v>0</v>
      </c>
      <c r="AM204" s="58">
        <f>AA204*Variables!$E$39*Variables!$C$18</f>
        <v>168604262.49940166</v>
      </c>
      <c r="AN204" s="1"/>
      <c r="AO204" s="76">
        <f t="shared" si="16"/>
        <v>0.67714285714285716</v>
      </c>
      <c r="AP204" s="76">
        <f t="shared" si="6"/>
        <v>97.81344992465317</v>
      </c>
      <c r="AQ204" s="75">
        <f>VLOOKUP(B204,'Household Information'!$B$2:$E$48,4,FALSE)</f>
        <v>71.48</v>
      </c>
      <c r="AR204" s="79">
        <f>IF(12*(AP204-Variables!$C$45*AQ204*F204)*(G204/5)&lt;0,0,12*(AP204-Variables!$C$45*AQ204*F204)*(G204/5))</f>
        <v>34889016.035104372</v>
      </c>
      <c r="AS204" s="1"/>
      <c r="AT204" s="62">
        <v>0</v>
      </c>
      <c r="AU204" s="1"/>
    </row>
    <row r="205" spans="1:47" ht="14.25" customHeight="1">
      <c r="A205" s="1">
        <v>14</v>
      </c>
      <c r="B205" s="3" t="s">
        <v>206</v>
      </c>
      <c r="C205" s="1">
        <v>2023</v>
      </c>
      <c r="D205" s="13">
        <f>VLOOKUP(B205,Population!$B$1:$O$48,7,FALSE)</f>
        <v>338833.82860573672</v>
      </c>
      <c r="E205" s="13" t="str">
        <f t="shared" si="19"/>
        <v>Medium</v>
      </c>
      <c r="F205" s="54">
        <f>VLOOKUP(B205,'Household Information'!$B$1:$E$48,2,FALSE)</f>
        <v>2.4590017825311943</v>
      </c>
      <c r="G205" s="54">
        <f t="shared" si="0"/>
        <v>137793.24236884256</v>
      </c>
      <c r="H205" s="55">
        <f>IF(D205&gt;Variables!$C$6,H158,H158*(1+Variables!$C$9))</f>
        <v>25.496505999999997</v>
      </c>
      <c r="I205" s="55"/>
      <c r="J205" s="13">
        <f>H205*Variables!$C$21</f>
        <v>458.93710799999997</v>
      </c>
      <c r="K205" s="13">
        <f t="shared" si="12"/>
        <v>458.93710799999997</v>
      </c>
      <c r="L205" s="54">
        <f t="shared" si="1"/>
        <v>0</v>
      </c>
      <c r="M205" s="56"/>
      <c r="N205" s="57"/>
      <c r="O205" s="57"/>
      <c r="P205" s="57"/>
      <c r="Q205" s="57"/>
      <c r="R205" s="57"/>
      <c r="S205" s="58">
        <v>0</v>
      </c>
      <c r="T205" s="59">
        <f>$L205*Variables!$C$22/100</f>
        <v>0</v>
      </c>
      <c r="U205" s="59">
        <f>$L205*Variables!$C$23/100</f>
        <v>0</v>
      </c>
      <c r="V205" s="59">
        <f>$L205*Variables!$C$24/100</f>
        <v>0</v>
      </c>
      <c r="W205" s="59">
        <f>$L205*Variables!$C$25/100</f>
        <v>0</v>
      </c>
      <c r="X205" s="62">
        <f>T205*Variables!$E$26*Variables!$C$18+'Cost Calculations'!U205*Variables!$E$27*Variables!$C$18+'Cost Calculations'!V205*Variables!$E$28*Variables!$C$18+W205*Variables!$E$29*Variables!$C$18</f>
        <v>0</v>
      </c>
      <c r="Y205" s="58">
        <f>J205*Variables!$E$30</f>
        <v>300603.80573999998</v>
      </c>
      <c r="Z205" s="1"/>
      <c r="AA205" s="245">
        <f>D205*(IF(D205&lt;Variables!$C$7,Variables!$C$38,IF(D205&gt;Variables!$C$6,Variables!$C$36,Variables!$C$37)))</f>
        <v>406.60059432688405</v>
      </c>
      <c r="AB205" s="64">
        <f t="shared" si="13"/>
        <v>401</v>
      </c>
      <c r="AC205" s="66">
        <f t="shared" si="2"/>
        <v>6</v>
      </c>
      <c r="AD205" s="62">
        <f>AC205*Variables!$E$41</f>
        <v>3225600</v>
      </c>
      <c r="AE205" s="71">
        <f>ROUND((H205/(3.14*Variables!$C$35^2)),0)</f>
        <v>32</v>
      </c>
      <c r="AF205" s="57">
        <f t="shared" si="14"/>
        <v>32</v>
      </c>
      <c r="AG205" s="57">
        <f t="shared" si="3"/>
        <v>0</v>
      </c>
      <c r="AH205" s="58">
        <f>AG205*Variables!$E$42*Variables!$C$18</f>
        <v>0</v>
      </c>
      <c r="AI205" s="73">
        <f t="shared" si="4"/>
        <v>3</v>
      </c>
      <c r="AJ205" s="66">
        <f t="shared" si="15"/>
        <v>3</v>
      </c>
      <c r="AK205" s="66">
        <f t="shared" si="5"/>
        <v>0</v>
      </c>
      <c r="AL205" s="62">
        <f>IF(AK205*Variables!$E$43*Variables!$C$18&lt;0,0,AK205*Variables!$E$43*Variables!$C$18)</f>
        <v>0</v>
      </c>
      <c r="AM205" s="58">
        <f>AA205*Variables!$E$39*Variables!$C$18</f>
        <v>117528842.90951219</v>
      </c>
      <c r="AN205" s="1"/>
      <c r="AO205" s="76">
        <f t="shared" si="16"/>
        <v>0.67714285714285716</v>
      </c>
      <c r="AP205" s="76">
        <f t="shared" si="6"/>
        <v>99.905729564553084</v>
      </c>
      <c r="AQ205" s="75">
        <f>VLOOKUP(B205,'Household Information'!$B$2:$E$48,4,FALSE)</f>
        <v>65.935833333333335</v>
      </c>
      <c r="AR205" s="79">
        <f>IF(12*(AP205-Variables!$C$45*AQ205*F205)*(G205/5)&lt;0,0,12*(AP205-Variables!$C$45*AQ205*F205)*(G205/5))</f>
        <v>24996337.872787297</v>
      </c>
      <c r="AS205" s="1"/>
      <c r="AT205" s="62">
        <v>0</v>
      </c>
      <c r="AU205" s="1"/>
    </row>
    <row r="206" spans="1:47" ht="14.25" customHeight="1">
      <c r="A206" s="1">
        <v>15</v>
      </c>
      <c r="B206" s="3" t="s">
        <v>207</v>
      </c>
      <c r="C206" s="1">
        <v>2023</v>
      </c>
      <c r="D206" s="13">
        <f>VLOOKUP(B206,Population!$B$1:$O$48,7,FALSE)</f>
        <v>296943.6401146928</v>
      </c>
      <c r="E206" s="13" t="str">
        <f t="shared" si="19"/>
        <v>Medium</v>
      </c>
      <c r="F206" s="54">
        <f>VLOOKUP(B206,'Household Information'!$B$1:$E$48,2,FALSE)</f>
        <v>2.4536973570595619</v>
      </c>
      <c r="G206" s="54">
        <f t="shared" si="0"/>
        <v>121018.85314435895</v>
      </c>
      <c r="H206" s="55">
        <f>IF(D206&gt;Variables!$C$6,H159,H159*(1+Variables!$C$9))</f>
        <v>19.38</v>
      </c>
      <c r="I206" s="55"/>
      <c r="J206" s="13">
        <f>H206*Variables!$C$21</f>
        <v>348.84</v>
      </c>
      <c r="K206" s="13">
        <f t="shared" si="12"/>
        <v>348.84</v>
      </c>
      <c r="L206" s="54">
        <f t="shared" si="1"/>
        <v>0</v>
      </c>
      <c r="M206" s="56"/>
      <c r="N206" s="57"/>
      <c r="O206" s="57"/>
      <c r="P206" s="57"/>
      <c r="Q206" s="57"/>
      <c r="R206" s="57"/>
      <c r="S206" s="58">
        <v>0</v>
      </c>
      <c r="T206" s="59">
        <f>$L206*Variables!$C$22/100</f>
        <v>0</v>
      </c>
      <c r="U206" s="59">
        <f>$L206*Variables!$C$23/100</f>
        <v>0</v>
      </c>
      <c r="V206" s="59">
        <f>$L206*Variables!$C$24/100</f>
        <v>0</v>
      </c>
      <c r="W206" s="59">
        <f>$L206*Variables!$C$25/100</f>
        <v>0</v>
      </c>
      <c r="X206" s="62">
        <f>T206*Variables!$E$26*Variables!$C$18+'Cost Calculations'!U206*Variables!$E$27*Variables!$C$18+'Cost Calculations'!V206*Variables!$E$28*Variables!$C$18+W206*Variables!$E$29*Variables!$C$18</f>
        <v>0</v>
      </c>
      <c r="Y206" s="58">
        <f>J206*Variables!$E$30</f>
        <v>228490.19999999998</v>
      </c>
      <c r="Z206" s="1"/>
      <c r="AA206" s="245">
        <f>D206*(IF(D206&lt;Variables!$C$7,Variables!$C$38,IF(D206&gt;Variables!$C$6,Variables!$C$36,Variables!$C$37)))</f>
        <v>356.33236813763131</v>
      </c>
      <c r="AB206" s="64">
        <f t="shared" si="13"/>
        <v>351</v>
      </c>
      <c r="AC206" s="66">
        <f t="shared" si="2"/>
        <v>5</v>
      </c>
      <c r="AD206" s="62">
        <f>AC206*Variables!$E$41</f>
        <v>2688000</v>
      </c>
      <c r="AE206" s="71">
        <f>ROUND((H206/(3.14*Variables!$C$35^2)),0)</f>
        <v>25</v>
      </c>
      <c r="AF206" s="57">
        <f t="shared" si="14"/>
        <v>25</v>
      </c>
      <c r="AG206" s="57">
        <f t="shared" si="3"/>
        <v>0</v>
      </c>
      <c r="AH206" s="58">
        <f>AG206*Variables!$E$42*Variables!$C$18</f>
        <v>0</v>
      </c>
      <c r="AI206" s="73">
        <f t="shared" si="4"/>
        <v>3</v>
      </c>
      <c r="AJ206" s="66">
        <f t="shared" si="15"/>
        <v>3</v>
      </c>
      <c r="AK206" s="66">
        <f t="shared" si="5"/>
        <v>0</v>
      </c>
      <c r="AL206" s="62">
        <f>IF(AK206*Variables!$E$43*Variables!$C$18&lt;0,0,AK206*Variables!$E$43*Variables!$C$18)</f>
        <v>0</v>
      </c>
      <c r="AM206" s="58">
        <f>AA206*Variables!$E$39*Variables!$C$18</f>
        <v>102998695.77847569</v>
      </c>
      <c r="AN206" s="1"/>
      <c r="AO206" s="76">
        <f t="shared" si="16"/>
        <v>0.67714285714285716</v>
      </c>
      <c r="AP206" s="76">
        <f t="shared" si="6"/>
        <v>99.690218335391336</v>
      </c>
      <c r="AQ206" s="75">
        <f>VLOOKUP(B206,'Household Information'!$B$2:$E$48,4,FALSE)</f>
        <v>65.935833333333335</v>
      </c>
      <c r="AR206" s="79">
        <f>IF(12*(AP206-Variables!$C$45*AQ206*F206)*(G206/5)&lt;0,0,12*(AP206-Variables!$C$45*AQ206*F206)*(G206/5))</f>
        <v>21906028.651345078</v>
      </c>
      <c r="AS206" s="1"/>
      <c r="AT206" s="62">
        <v>0</v>
      </c>
      <c r="AU206" s="1"/>
    </row>
    <row r="207" spans="1:47" ht="14.25" customHeight="1">
      <c r="A207" s="1">
        <v>16</v>
      </c>
      <c r="B207" s="3" t="s">
        <v>208</v>
      </c>
      <c r="C207" s="1">
        <v>2023</v>
      </c>
      <c r="D207" s="13">
        <f>VLOOKUP(B207,Population!$B$1:$O$48,7,FALSE)</f>
        <v>494849.32990028342</v>
      </c>
      <c r="E207" s="13" t="str">
        <f t="shared" si="19"/>
        <v>Medium</v>
      </c>
      <c r="F207" s="54">
        <f>VLOOKUP(B207,'Household Information'!$B$1:$E$48,2,FALSE)</f>
        <v>3.2379076029492619</v>
      </c>
      <c r="G207" s="54">
        <f t="shared" si="0"/>
        <v>152829.97249506065</v>
      </c>
      <c r="H207" s="55">
        <f>IF(D207&gt;Variables!$C$6,H160,H160*(1+Variables!$C$9))</f>
        <v>31.656284999999997</v>
      </c>
      <c r="I207" s="55"/>
      <c r="J207" s="13">
        <f>H207*Variables!$C$21</f>
        <v>569.81313</v>
      </c>
      <c r="K207" s="13">
        <f t="shared" si="12"/>
        <v>582</v>
      </c>
      <c r="L207" s="54">
        <f t="shared" si="1"/>
        <v>0</v>
      </c>
      <c r="M207" s="56"/>
      <c r="N207" s="57"/>
      <c r="O207" s="57"/>
      <c r="P207" s="57"/>
      <c r="Q207" s="57"/>
      <c r="R207" s="57"/>
      <c r="S207" s="58">
        <v>0</v>
      </c>
      <c r="T207" s="59">
        <f>$L207*Variables!$C$22/100</f>
        <v>0</v>
      </c>
      <c r="U207" s="59">
        <f>$L207*Variables!$C$23/100</f>
        <v>0</v>
      </c>
      <c r="V207" s="59">
        <f>$L207*Variables!$C$24/100</f>
        <v>0</v>
      </c>
      <c r="W207" s="59">
        <f>$L207*Variables!$C$25/100</f>
        <v>0</v>
      </c>
      <c r="X207" s="62">
        <f>T207*Variables!$E$26*Variables!$C$18+'Cost Calculations'!U207*Variables!$E$27*Variables!$C$18+'Cost Calculations'!V207*Variables!$E$28*Variables!$C$18+W207*Variables!$E$29*Variables!$C$18</f>
        <v>0</v>
      </c>
      <c r="Y207" s="58">
        <f>J207*Variables!$E$30</f>
        <v>373227.60015000001</v>
      </c>
      <c r="Z207" s="1"/>
      <c r="AA207" s="245">
        <f>D207*(IF(D207&lt;Variables!$C$7,Variables!$C$38,IF(D207&gt;Variables!$C$6,Variables!$C$36,Variables!$C$37)))</f>
        <v>593.81919588034009</v>
      </c>
      <c r="AB207" s="64">
        <f t="shared" si="13"/>
        <v>585</v>
      </c>
      <c r="AC207" s="66">
        <f t="shared" si="2"/>
        <v>9</v>
      </c>
      <c r="AD207" s="62">
        <f>AC207*Variables!$E$41</f>
        <v>4838400</v>
      </c>
      <c r="AE207" s="71">
        <f>ROUND((H207/(3.14*Variables!$C$35^2)),0)</f>
        <v>40</v>
      </c>
      <c r="AF207" s="57">
        <f t="shared" si="14"/>
        <v>40</v>
      </c>
      <c r="AG207" s="57">
        <f t="shared" si="3"/>
        <v>0</v>
      </c>
      <c r="AH207" s="58">
        <f>AG207*Variables!$E$42*Variables!$C$18</f>
        <v>0</v>
      </c>
      <c r="AI207" s="73">
        <f t="shared" si="4"/>
        <v>5</v>
      </c>
      <c r="AJ207" s="66">
        <f t="shared" si="15"/>
        <v>5</v>
      </c>
      <c r="AK207" s="66">
        <f t="shared" si="5"/>
        <v>0</v>
      </c>
      <c r="AL207" s="62">
        <f>IF(AK207*Variables!$E$43*Variables!$C$18&lt;0,0,AK207*Variables!$E$43*Variables!$C$18)</f>
        <v>0</v>
      </c>
      <c r="AM207" s="58">
        <f>AA207*Variables!$E$39*Variables!$C$18</f>
        <v>171644813.02544627</v>
      </c>
      <c r="AN207" s="1"/>
      <c r="AO207" s="76">
        <f t="shared" si="16"/>
        <v>0.67714285714285716</v>
      </c>
      <c r="AP207" s="76">
        <f t="shared" si="6"/>
        <v>131.55156032553859</v>
      </c>
      <c r="AQ207" s="75">
        <f>VLOOKUP(B207,'Household Information'!$B$2:$E$48,4,FALSE)</f>
        <v>65.935833333333335</v>
      </c>
      <c r="AR207" s="79">
        <f>IF(12*(AP207-Variables!$C$45*AQ207*F207)*(G207/5)&lt;0,0,12*(AP207-Variables!$C$45*AQ207*F207)*(G207/5))</f>
        <v>36505862.172052465</v>
      </c>
      <c r="AS207" s="1"/>
      <c r="AT207" s="62">
        <v>0</v>
      </c>
      <c r="AU207" s="1"/>
    </row>
    <row r="208" spans="1:47" ht="14.25" customHeight="1">
      <c r="A208" s="1">
        <v>17</v>
      </c>
      <c r="B208" s="3" t="s">
        <v>209</v>
      </c>
      <c r="C208" s="1">
        <v>2023</v>
      </c>
      <c r="D208" s="13">
        <f>VLOOKUP(B208,Population!$B$1:$O$48,7,FALSE)</f>
        <v>467242.85001674248</v>
      </c>
      <c r="E208" s="13" t="str">
        <f t="shared" si="19"/>
        <v>Medium</v>
      </c>
      <c r="F208" s="54">
        <f>VLOOKUP(B208,'Household Information'!$B$1:$E$48,2,FALSE)</f>
        <v>3.2463324451363733</v>
      </c>
      <c r="G208" s="54">
        <f t="shared" si="0"/>
        <v>143929.45205496793</v>
      </c>
      <c r="H208" s="55">
        <f>IF(D208&gt;Variables!$C$6,H161,H161*(1+Variables!$C$9))</f>
        <v>25.896000000000001</v>
      </c>
      <c r="I208" s="55"/>
      <c r="J208" s="13">
        <f>H208*Variables!$C$21</f>
        <v>466.12800000000004</v>
      </c>
      <c r="K208" s="13">
        <f t="shared" si="12"/>
        <v>961.78647000000012</v>
      </c>
      <c r="L208" s="54">
        <f t="shared" si="1"/>
        <v>0</v>
      </c>
      <c r="M208" s="56"/>
      <c r="N208" s="57"/>
      <c r="O208" s="57"/>
      <c r="P208" s="57"/>
      <c r="Q208" s="57"/>
      <c r="R208" s="57"/>
      <c r="S208" s="58">
        <v>0</v>
      </c>
      <c r="T208" s="59">
        <f>$L208*Variables!$C$22/100</f>
        <v>0</v>
      </c>
      <c r="U208" s="59">
        <f>$L208*Variables!$C$23/100</f>
        <v>0</v>
      </c>
      <c r="V208" s="59">
        <f>$L208*Variables!$C$24/100</f>
        <v>0</v>
      </c>
      <c r="W208" s="59">
        <f>$L208*Variables!$C$25/100</f>
        <v>0</v>
      </c>
      <c r="X208" s="62">
        <f>T208*Variables!$E$26*Variables!$C$18+'Cost Calculations'!U208*Variables!$E$27*Variables!$C$18+'Cost Calculations'!V208*Variables!$E$28*Variables!$C$18+W208*Variables!$E$29*Variables!$C$18</f>
        <v>0</v>
      </c>
      <c r="Y208" s="58">
        <f>J208*Variables!$E$30</f>
        <v>305313.84000000003</v>
      </c>
      <c r="Z208" s="1"/>
      <c r="AA208" s="245">
        <f>D208*(IF(D208&lt;Variables!$C$7,Variables!$C$38,IF(D208&gt;Variables!$C$6,Variables!$C$36,Variables!$C$37)))</f>
        <v>560.69142002009096</v>
      </c>
      <c r="AB208" s="64">
        <f t="shared" si="13"/>
        <v>552</v>
      </c>
      <c r="AC208" s="66">
        <f t="shared" si="2"/>
        <v>9</v>
      </c>
      <c r="AD208" s="62">
        <f>AC208*Variables!$E$41</f>
        <v>4838400</v>
      </c>
      <c r="AE208" s="71">
        <f>ROUND((H208/(3.14*Variables!$C$35^2)),0)</f>
        <v>33</v>
      </c>
      <c r="AF208" s="57">
        <f t="shared" si="14"/>
        <v>33</v>
      </c>
      <c r="AG208" s="57">
        <f t="shared" si="3"/>
        <v>0</v>
      </c>
      <c r="AH208" s="58">
        <f>AG208*Variables!$E$42*Variables!$C$18</f>
        <v>0</v>
      </c>
      <c r="AI208" s="73">
        <f t="shared" si="4"/>
        <v>5</v>
      </c>
      <c r="AJ208" s="66">
        <f t="shared" si="15"/>
        <v>5</v>
      </c>
      <c r="AK208" s="66">
        <f t="shared" si="5"/>
        <v>0</v>
      </c>
      <c r="AL208" s="62">
        <f>IF(AK208*Variables!$E$43*Variables!$C$18&lt;0,0,AK208*Variables!$E$43*Variables!$C$18)</f>
        <v>0</v>
      </c>
      <c r="AM208" s="58">
        <f>AA208*Variables!$E$39*Variables!$C$18</f>
        <v>162069152.73536164</v>
      </c>
      <c r="AN208" s="1"/>
      <c r="AO208" s="76">
        <f t="shared" si="16"/>
        <v>0.67714285714285716</v>
      </c>
      <c r="AP208" s="76">
        <f t="shared" si="6"/>
        <v>131.89384962811206</v>
      </c>
      <c r="AQ208" s="75">
        <f>VLOOKUP(B208,'Household Information'!$B$2:$E$48,4,FALSE)</f>
        <v>47.15</v>
      </c>
      <c r="AR208" s="79">
        <f>IF(12*(AP208-Variables!$C$45*AQ208*F208)*(G208/5)&lt;0,0,12*(AP208-Variables!$C$45*AQ208*F208)*(G208/5))</f>
        <v>37629202.679162621</v>
      </c>
      <c r="AS208" s="1"/>
      <c r="AT208" s="62">
        <v>0</v>
      </c>
      <c r="AU208" s="1"/>
    </row>
    <row r="209" spans="1:47" ht="14.25" customHeight="1">
      <c r="A209" s="1">
        <v>18</v>
      </c>
      <c r="B209" s="3" t="s">
        <v>210</v>
      </c>
      <c r="C209" s="1">
        <v>2023</v>
      </c>
      <c r="D209" s="13">
        <f>VLOOKUP(B209,Population!$B$1:$O$48,7,FALSE)</f>
        <v>295845.88771473465</v>
      </c>
      <c r="E209" s="13" t="str">
        <f t="shared" si="19"/>
        <v>Medium</v>
      </c>
      <c r="F209" s="54">
        <f>VLOOKUP(B209,'Household Information'!$B$1:$E$48,2,FALSE)</f>
        <v>3.2199371541131225</v>
      </c>
      <c r="G209" s="54">
        <f t="shared" si="0"/>
        <v>91879.398123290521</v>
      </c>
      <c r="H209" s="55">
        <f>IF(D209&gt;Variables!$C$6,H162,H162*(1+Variables!$C$9))</f>
        <v>16.261485999999998</v>
      </c>
      <c r="I209" s="55"/>
      <c r="J209" s="13">
        <f>H209*Variables!$C$21</f>
        <v>292.70674799999995</v>
      </c>
      <c r="K209" s="13">
        <f t="shared" si="12"/>
        <v>512</v>
      </c>
      <c r="L209" s="54">
        <f t="shared" si="1"/>
        <v>0</v>
      </c>
      <c r="M209" s="56"/>
      <c r="N209" s="57"/>
      <c r="O209" s="57"/>
      <c r="P209" s="57"/>
      <c r="Q209" s="57"/>
      <c r="R209" s="57"/>
      <c r="S209" s="58">
        <v>0</v>
      </c>
      <c r="T209" s="59">
        <f>$L209*Variables!$C$22/100</f>
        <v>0</v>
      </c>
      <c r="U209" s="59">
        <f>$L209*Variables!$C$23/100</f>
        <v>0</v>
      </c>
      <c r="V209" s="59">
        <f>$L209*Variables!$C$24/100</f>
        <v>0</v>
      </c>
      <c r="W209" s="59">
        <f>$L209*Variables!$C$25/100</f>
        <v>0</v>
      </c>
      <c r="X209" s="62">
        <f>T209*Variables!$E$26*Variables!$C$18+'Cost Calculations'!U209*Variables!$E$27*Variables!$C$18+'Cost Calculations'!V209*Variables!$E$28*Variables!$C$18+W209*Variables!$E$29*Variables!$C$18</f>
        <v>0</v>
      </c>
      <c r="Y209" s="58">
        <f>J209*Variables!$E$30</f>
        <v>191722.91993999996</v>
      </c>
      <c r="Z209" s="1"/>
      <c r="AA209" s="245">
        <f>D209*(IF(D209&lt;Variables!$C$7,Variables!$C$38,IF(D209&gt;Variables!$C$6,Variables!$C$36,Variables!$C$37)))</f>
        <v>355.01506525768156</v>
      </c>
      <c r="AB209" s="64">
        <f t="shared" si="13"/>
        <v>350</v>
      </c>
      <c r="AC209" s="66">
        <f t="shared" si="2"/>
        <v>5</v>
      </c>
      <c r="AD209" s="62">
        <f>AC209*Variables!$E$41</f>
        <v>2688000</v>
      </c>
      <c r="AE209" s="71">
        <f>ROUND((H209/(3.14*Variables!$C$35^2)),0)</f>
        <v>21</v>
      </c>
      <c r="AF209" s="57">
        <f t="shared" si="14"/>
        <v>21</v>
      </c>
      <c r="AG209" s="57">
        <f t="shared" si="3"/>
        <v>0</v>
      </c>
      <c r="AH209" s="58">
        <f>AG209*Variables!$E$42*Variables!$C$18</f>
        <v>0</v>
      </c>
      <c r="AI209" s="73">
        <f t="shared" si="4"/>
        <v>3</v>
      </c>
      <c r="AJ209" s="66">
        <f t="shared" si="15"/>
        <v>3</v>
      </c>
      <c r="AK209" s="66">
        <f t="shared" si="5"/>
        <v>0</v>
      </c>
      <c r="AL209" s="62">
        <f>IF(AK209*Variables!$E$43*Variables!$C$18&lt;0,0,AK209*Variables!$E$43*Variables!$C$18)</f>
        <v>0</v>
      </c>
      <c r="AM209" s="58">
        <f>AA209*Variables!$E$39*Variables!$C$18</f>
        <v>102617926.33199181</v>
      </c>
      <c r="AN209" s="1"/>
      <c r="AO209" s="76">
        <f t="shared" si="16"/>
        <v>0.67714285714285716</v>
      </c>
      <c r="AP209" s="76">
        <f t="shared" si="6"/>
        <v>130.82144666139601</v>
      </c>
      <c r="AQ209" s="75">
        <f>VLOOKUP(B209,'Household Information'!$B$2:$E$48,4,FALSE)</f>
        <v>65.935833333333335</v>
      </c>
      <c r="AR209" s="79">
        <f>IF(12*(AP209-Variables!$C$45*AQ209*F209)*(G209/5)&lt;0,0,12*(AP209-Variables!$C$45*AQ209*F209)*(G209/5))</f>
        <v>21825045.621985443</v>
      </c>
      <c r="AS209" s="1"/>
      <c r="AT209" s="62">
        <v>0</v>
      </c>
      <c r="AU209" s="1"/>
    </row>
    <row r="210" spans="1:47" ht="14.25" customHeight="1">
      <c r="A210" s="1">
        <v>19</v>
      </c>
      <c r="B210" s="3" t="s">
        <v>211</v>
      </c>
      <c r="C210" s="1">
        <v>2023</v>
      </c>
      <c r="D210" s="13">
        <f>VLOOKUP(B210,Population!$B$1:$O$48,7,FALSE)</f>
        <v>298698.53575702047</v>
      </c>
      <c r="E210" s="13" t="str">
        <f t="shared" si="19"/>
        <v>Medium</v>
      </c>
      <c r="F210" s="54">
        <f>VLOOKUP(B210,'Household Information'!$B$1:$E$48,2,FALSE)</f>
        <v>2.5344143617118515</v>
      </c>
      <c r="G210" s="54">
        <f t="shared" si="0"/>
        <v>117857.02459295833</v>
      </c>
      <c r="H210" s="55">
        <f>IF(D210&gt;Variables!$C$6,H163,H163*(1+Variables!$C$9))</f>
        <v>33.110705594037988</v>
      </c>
      <c r="I210" s="55"/>
      <c r="J210" s="13">
        <f>H210*Variables!$C$21</f>
        <v>595.9927006926838</v>
      </c>
      <c r="K210" s="13">
        <f t="shared" si="12"/>
        <v>595.9927006926838</v>
      </c>
      <c r="L210" s="54">
        <f t="shared" si="1"/>
        <v>0</v>
      </c>
      <c r="M210" s="56"/>
      <c r="N210" s="57"/>
      <c r="O210" s="57"/>
      <c r="P210" s="57"/>
      <c r="Q210" s="57"/>
      <c r="R210" s="57"/>
      <c r="S210" s="58">
        <v>0</v>
      </c>
      <c r="T210" s="59">
        <f>$L210*Variables!$C$22/100</f>
        <v>0</v>
      </c>
      <c r="U210" s="59">
        <f>$L210*Variables!$C$23/100</f>
        <v>0</v>
      </c>
      <c r="V210" s="59">
        <f>$L210*Variables!$C$24/100</f>
        <v>0</v>
      </c>
      <c r="W210" s="59">
        <f>$L210*Variables!$C$25/100</f>
        <v>0</v>
      </c>
      <c r="X210" s="62">
        <f>T210*Variables!$E$26*Variables!$C$18+'Cost Calculations'!U210*Variables!$E$27*Variables!$C$18+'Cost Calculations'!V210*Variables!$E$28*Variables!$C$18+W210*Variables!$E$29*Variables!$C$18</f>
        <v>0</v>
      </c>
      <c r="Y210" s="58">
        <f>J210*Variables!$E$30</f>
        <v>390375.2189537079</v>
      </c>
      <c r="Z210" s="1"/>
      <c r="AA210" s="245">
        <f>D210*(IF(D210&lt;Variables!$C$7,Variables!$C$38,IF(D210&gt;Variables!$C$6,Variables!$C$36,Variables!$C$37)))</f>
        <v>358.43824290842451</v>
      </c>
      <c r="AB210" s="64">
        <f t="shared" si="13"/>
        <v>353</v>
      </c>
      <c r="AC210" s="66">
        <f t="shared" si="2"/>
        <v>5</v>
      </c>
      <c r="AD210" s="62">
        <f>AC210*Variables!$E$41</f>
        <v>2688000</v>
      </c>
      <c r="AE210" s="71">
        <f>ROUND((H210/(3.14*Variables!$C$35^2)),0)</f>
        <v>42</v>
      </c>
      <c r="AF210" s="57">
        <f t="shared" si="14"/>
        <v>42</v>
      </c>
      <c r="AG210" s="57">
        <f t="shared" si="3"/>
        <v>0</v>
      </c>
      <c r="AH210" s="58">
        <f>AG210*Variables!$E$42*Variables!$C$18</f>
        <v>0</v>
      </c>
      <c r="AI210" s="73">
        <f t="shared" si="4"/>
        <v>3</v>
      </c>
      <c r="AJ210" s="66">
        <f t="shared" si="15"/>
        <v>3</v>
      </c>
      <c r="AK210" s="66">
        <f t="shared" si="5"/>
        <v>0</v>
      </c>
      <c r="AL210" s="62">
        <f>IF(AK210*Variables!$E$43*Variables!$C$18&lt;0,0,AK210*Variables!$E$43*Variables!$C$18)</f>
        <v>0</v>
      </c>
      <c r="AM210" s="58">
        <f>AA210*Variables!$E$39*Variables!$C$18</f>
        <v>103607403.75523944</v>
      </c>
      <c r="AN210" s="1"/>
      <c r="AO210" s="76">
        <f t="shared" si="16"/>
        <v>0.67714285714285716</v>
      </c>
      <c r="AP210" s="76">
        <f t="shared" si="6"/>
        <v>102.96963492440722</v>
      </c>
      <c r="AQ210" s="75">
        <f>VLOOKUP(B210,'Household Information'!$B$2:$E$48,4,FALSE)</f>
        <v>65.935833333333335</v>
      </c>
      <c r="AR210" s="79">
        <f>IF(12*(AP210-Variables!$C$45*AQ210*F210)*(G210/5)&lt;0,0,12*(AP210-Variables!$C$45*AQ210*F210)*(G210/5))</f>
        <v>22035490.236062307</v>
      </c>
      <c r="AS210" s="1"/>
      <c r="AT210" s="62">
        <v>0</v>
      </c>
      <c r="AU210" s="1"/>
    </row>
    <row r="211" spans="1:47" ht="14.25" customHeight="1">
      <c r="A211" s="1">
        <v>20</v>
      </c>
      <c r="B211" s="3" t="s">
        <v>212</v>
      </c>
      <c r="C211" s="1">
        <v>2023</v>
      </c>
      <c r="D211" s="13">
        <f>VLOOKUP(B211,Population!$B$1:$O$48,7,FALSE)</f>
        <v>180974.01709653993</v>
      </c>
      <c r="E211" s="13" t="str">
        <f t="shared" si="19"/>
        <v>Medium</v>
      </c>
      <c r="F211" s="54">
        <f>VLOOKUP(B211,'Household Information'!$B$1:$E$48,2,FALSE)</f>
        <v>2.6024941905499612</v>
      </c>
      <c r="G211" s="54">
        <f t="shared" si="0"/>
        <v>69538.682450736364</v>
      </c>
      <c r="H211" s="55">
        <f>IF(D211&gt;Variables!$C$6,H164,H164*(1+Variables!$C$9))</f>
        <v>15</v>
      </c>
      <c r="I211" s="55"/>
      <c r="J211" s="13">
        <f>H211*Variables!$C$21</f>
        <v>270</v>
      </c>
      <c r="K211" s="13">
        <f t="shared" si="12"/>
        <v>270</v>
      </c>
      <c r="L211" s="54">
        <f t="shared" si="1"/>
        <v>0</v>
      </c>
      <c r="M211" s="56"/>
      <c r="N211" s="57"/>
      <c r="O211" s="57"/>
      <c r="P211" s="57"/>
      <c r="Q211" s="57"/>
      <c r="R211" s="57"/>
      <c r="S211" s="58">
        <v>0</v>
      </c>
      <c r="T211" s="59">
        <f>$L211*Variables!$C$22/100</f>
        <v>0</v>
      </c>
      <c r="U211" s="59">
        <f>$L211*Variables!$C$23/100</f>
        <v>0</v>
      </c>
      <c r="V211" s="59">
        <f>$L211*Variables!$C$24/100</f>
        <v>0</v>
      </c>
      <c r="W211" s="59">
        <f>$L211*Variables!$C$25/100</f>
        <v>0</v>
      </c>
      <c r="X211" s="62">
        <f>T211*Variables!$E$26*Variables!$C$18+'Cost Calculations'!U211*Variables!$E$27*Variables!$C$18+'Cost Calculations'!V211*Variables!$E$28*Variables!$C$18+W211*Variables!$E$29*Variables!$C$18</f>
        <v>0</v>
      </c>
      <c r="Y211" s="58">
        <f>J211*Variables!$E$30</f>
        <v>176850</v>
      </c>
      <c r="Z211" s="1"/>
      <c r="AA211" s="245">
        <f>D211*(IF(D211&lt;Variables!$C$7,Variables!$C$38,IF(D211&gt;Variables!$C$6,Variables!$C$36,Variables!$C$37)))</f>
        <v>217.1688205158479</v>
      </c>
      <c r="AB211" s="64">
        <f t="shared" si="13"/>
        <v>214</v>
      </c>
      <c r="AC211" s="66">
        <f t="shared" si="2"/>
        <v>3</v>
      </c>
      <c r="AD211" s="62">
        <f>AC211*Variables!$E$41</f>
        <v>1612800</v>
      </c>
      <c r="AE211" s="71">
        <f>ROUND((H211/(3.14*Variables!$C$35^2)),0)</f>
        <v>19</v>
      </c>
      <c r="AF211" s="57">
        <f t="shared" si="14"/>
        <v>19</v>
      </c>
      <c r="AG211" s="57">
        <f t="shared" si="3"/>
        <v>0</v>
      </c>
      <c r="AH211" s="58">
        <f>AG211*Variables!$E$42*Variables!$C$18</f>
        <v>0</v>
      </c>
      <c r="AI211" s="73">
        <f t="shared" si="4"/>
        <v>2</v>
      </c>
      <c r="AJ211" s="66">
        <f t="shared" si="15"/>
        <v>2</v>
      </c>
      <c r="AK211" s="66">
        <f t="shared" si="5"/>
        <v>0</v>
      </c>
      <c r="AL211" s="62">
        <f>IF(AK211*Variables!$E$43*Variables!$C$18&lt;0,0,AK211*Variables!$E$43*Variables!$C$18)</f>
        <v>0</v>
      </c>
      <c r="AM211" s="58">
        <f>AA211*Variables!$E$39*Variables!$C$18</f>
        <v>62773150.229907423</v>
      </c>
      <c r="AN211" s="1"/>
      <c r="AO211" s="76">
        <f t="shared" si="16"/>
        <v>0.67714285714285716</v>
      </c>
      <c r="AP211" s="76">
        <f t="shared" si="6"/>
        <v>105.73562111320128</v>
      </c>
      <c r="AQ211" s="75">
        <f>VLOOKUP(B211,'Household Information'!$B$2:$E$48,4,FALSE)</f>
        <v>65.935833333333335</v>
      </c>
      <c r="AR211" s="79">
        <f>IF(12*(AP211-Variables!$C$45*AQ211*F211)*(G211/5)&lt;0,0,12*(AP211-Variables!$C$45*AQ211*F211)*(G211/5))</f>
        <v>13350755.726354608</v>
      </c>
      <c r="AS211" s="1"/>
      <c r="AT211" s="62">
        <v>0</v>
      </c>
      <c r="AU211" s="1"/>
    </row>
    <row r="212" spans="1:47" ht="14.25" customHeight="1">
      <c r="A212" s="1">
        <v>21</v>
      </c>
      <c r="B212" s="3" t="s">
        <v>213</v>
      </c>
      <c r="C212" s="1">
        <v>2023</v>
      </c>
      <c r="D212" s="13">
        <f>VLOOKUP(B212,Population!$B$1:$O$48,7,FALSE)</f>
        <v>191296.55242175999</v>
      </c>
      <c r="E212" s="13" t="str">
        <f t="shared" si="19"/>
        <v>Medium</v>
      </c>
      <c r="F212" s="54">
        <f>VLOOKUP(B212,'Household Information'!$B$1:$E$48,2,FALSE)</f>
        <v>3.3084232295567606</v>
      </c>
      <c r="G212" s="54">
        <f t="shared" si="0"/>
        <v>57821.064340486017</v>
      </c>
      <c r="H212" s="55">
        <f>IF(D212&gt;Variables!$C$6,H165,H165*(1+Variables!$C$9))</f>
        <v>35.084811999999992</v>
      </c>
      <c r="I212" s="55"/>
      <c r="J212" s="13">
        <f>H212*Variables!$C$21</f>
        <v>631.52661599999988</v>
      </c>
      <c r="K212" s="13">
        <f t="shared" si="12"/>
        <v>631.52661599999988</v>
      </c>
      <c r="L212" s="54">
        <f t="shared" si="1"/>
        <v>0</v>
      </c>
      <c r="M212" s="56"/>
      <c r="N212" s="57"/>
      <c r="O212" s="57"/>
      <c r="P212" s="57"/>
      <c r="Q212" s="57"/>
      <c r="R212" s="57"/>
      <c r="S212" s="58">
        <v>0</v>
      </c>
      <c r="T212" s="59">
        <f>$L212*Variables!$C$22/100</f>
        <v>0</v>
      </c>
      <c r="U212" s="59">
        <f>$L212*Variables!$C$23/100</f>
        <v>0</v>
      </c>
      <c r="V212" s="59">
        <f>$L212*Variables!$C$24/100</f>
        <v>0</v>
      </c>
      <c r="W212" s="59">
        <f>$L212*Variables!$C$25/100</f>
        <v>0</v>
      </c>
      <c r="X212" s="62">
        <f>T212*Variables!$E$26*Variables!$C$18+'Cost Calculations'!U212*Variables!$E$27*Variables!$C$18+'Cost Calculations'!V212*Variables!$E$28*Variables!$C$18+W212*Variables!$E$29*Variables!$C$18</f>
        <v>0</v>
      </c>
      <c r="Y212" s="58">
        <f>J212*Variables!$E$30</f>
        <v>413649.93347999989</v>
      </c>
      <c r="Z212" s="1"/>
      <c r="AA212" s="245">
        <f>D212*(IF(D212&lt;Variables!$C$7,Variables!$C$38,IF(D212&gt;Variables!$C$6,Variables!$C$36,Variables!$C$37)))</f>
        <v>229.55586290611197</v>
      </c>
      <c r="AB212" s="64">
        <f t="shared" si="13"/>
        <v>226</v>
      </c>
      <c r="AC212" s="66">
        <f t="shared" si="2"/>
        <v>4</v>
      </c>
      <c r="AD212" s="62">
        <f>AC212*Variables!$E$41</f>
        <v>2150400</v>
      </c>
      <c r="AE212" s="71">
        <f>ROUND((H212/(3.14*Variables!$C$35^2)),0)</f>
        <v>45</v>
      </c>
      <c r="AF212" s="57">
        <f t="shared" si="14"/>
        <v>45</v>
      </c>
      <c r="AG212" s="57">
        <f t="shared" si="3"/>
        <v>0</v>
      </c>
      <c r="AH212" s="58">
        <f>AG212*Variables!$E$42*Variables!$C$18</f>
        <v>0</v>
      </c>
      <c r="AI212" s="73">
        <f t="shared" si="4"/>
        <v>2</v>
      </c>
      <c r="AJ212" s="66">
        <f t="shared" si="15"/>
        <v>2</v>
      </c>
      <c r="AK212" s="66">
        <f t="shared" si="5"/>
        <v>0</v>
      </c>
      <c r="AL212" s="62">
        <f>IF(AK212*Variables!$E$43*Variables!$C$18&lt;0,0,AK212*Variables!$E$43*Variables!$C$18)</f>
        <v>0</v>
      </c>
      <c r="AM212" s="58">
        <f>AA212*Variables!$E$39*Variables!$C$18</f>
        <v>66353653.503910035</v>
      </c>
      <c r="AN212" s="1"/>
      <c r="AO212" s="76">
        <f t="shared" si="16"/>
        <v>0.67714285714285716</v>
      </c>
      <c r="AP212" s="76">
        <f t="shared" si="6"/>
        <v>134.4165094979918</v>
      </c>
      <c r="AQ212" s="75">
        <f>VLOOKUP(B212,'Household Information'!$B$2:$E$48,4,FALSE)</f>
        <v>65.935833333333335</v>
      </c>
      <c r="AR212" s="79">
        <f>IF(12*(AP212-Variables!$C$45*AQ212*F212)*(G212/5)&lt;0,0,12*(AP212-Variables!$C$45*AQ212*F212)*(G212/5))</f>
        <v>14112266.410676565</v>
      </c>
      <c r="AS212" s="1"/>
      <c r="AT212" s="62">
        <v>0</v>
      </c>
      <c r="AU212" s="1"/>
    </row>
    <row r="213" spans="1:47" ht="14.25" customHeight="1">
      <c r="A213" s="1">
        <v>22</v>
      </c>
      <c r="B213" s="3" t="s">
        <v>214</v>
      </c>
      <c r="C213" s="1">
        <v>2023</v>
      </c>
      <c r="D213" s="13">
        <f>VLOOKUP(B213,Population!$B$1:$O$48,7,FALSE)</f>
        <v>168906.28168502715</v>
      </c>
      <c r="E213" s="13" t="str">
        <f t="shared" si="19"/>
        <v>Medium</v>
      </c>
      <c r="F213" s="54">
        <f>VLOOKUP(B213,'Household Information'!$B$1:$E$48,2,FALSE)</f>
        <v>2.4748082204754236</v>
      </c>
      <c r="G213" s="54">
        <f t="shared" si="0"/>
        <v>68250.250782090647</v>
      </c>
      <c r="H213" s="55">
        <f>IF(D213&gt;Variables!$C$6,H166,H166*(1+Variables!$C$9))</f>
        <v>31.3</v>
      </c>
      <c r="I213" s="55"/>
      <c r="J213" s="13">
        <f>H213*Variables!$C$21</f>
        <v>563.4</v>
      </c>
      <c r="K213" s="13">
        <f t="shared" si="12"/>
        <v>563.4</v>
      </c>
      <c r="L213" s="54">
        <f t="shared" si="1"/>
        <v>0</v>
      </c>
      <c r="M213" s="56"/>
      <c r="N213" s="57"/>
      <c r="O213" s="57"/>
      <c r="P213" s="57"/>
      <c r="Q213" s="57"/>
      <c r="R213" s="57"/>
      <c r="S213" s="58">
        <v>0</v>
      </c>
      <c r="T213" s="59">
        <f>$L213*Variables!$C$22/100</f>
        <v>0</v>
      </c>
      <c r="U213" s="59">
        <f>$L213*Variables!$C$23/100</f>
        <v>0</v>
      </c>
      <c r="V213" s="59">
        <f>$L213*Variables!$C$24/100</f>
        <v>0</v>
      </c>
      <c r="W213" s="59">
        <f>$L213*Variables!$C$25/100</f>
        <v>0</v>
      </c>
      <c r="X213" s="62">
        <f>T213*Variables!$E$26*Variables!$C$18+'Cost Calculations'!U213*Variables!$E$27*Variables!$C$18+'Cost Calculations'!V213*Variables!$E$28*Variables!$C$18+W213*Variables!$E$29*Variables!$C$18</f>
        <v>0</v>
      </c>
      <c r="Y213" s="58">
        <f>J213*Variables!$E$30</f>
        <v>369027</v>
      </c>
      <c r="Z213" s="1"/>
      <c r="AA213" s="245">
        <f>D213*(IF(D213&lt;Variables!$C$7,Variables!$C$38,IF(D213&gt;Variables!$C$6,Variables!$C$36,Variables!$C$37)))</f>
        <v>202.68753802203256</v>
      </c>
      <c r="AB213" s="64">
        <f t="shared" si="13"/>
        <v>200</v>
      </c>
      <c r="AC213" s="66">
        <f t="shared" si="2"/>
        <v>3</v>
      </c>
      <c r="AD213" s="62">
        <f>AC213*Variables!$E$41</f>
        <v>1612800</v>
      </c>
      <c r="AE213" s="71">
        <f>ROUND((H213/(3.14*Variables!$C$35^2)),0)</f>
        <v>40</v>
      </c>
      <c r="AF213" s="57">
        <f t="shared" si="14"/>
        <v>40</v>
      </c>
      <c r="AG213" s="57">
        <f t="shared" si="3"/>
        <v>0</v>
      </c>
      <c r="AH213" s="58">
        <f>AG213*Variables!$E$42*Variables!$C$18</f>
        <v>0</v>
      </c>
      <c r="AI213" s="73">
        <f t="shared" si="4"/>
        <v>2</v>
      </c>
      <c r="AJ213" s="66">
        <f t="shared" si="15"/>
        <v>2</v>
      </c>
      <c r="AK213" s="66">
        <f t="shared" si="5"/>
        <v>0</v>
      </c>
      <c r="AL213" s="62">
        <f>IF(AK213*Variables!$E$43*Variables!$C$18&lt;0,0,AK213*Variables!$E$43*Variables!$C$18)</f>
        <v>0</v>
      </c>
      <c r="AM213" s="58">
        <f>AA213*Variables!$E$39*Variables!$C$18</f>
        <v>58587302.006636977</v>
      </c>
      <c r="AN213" s="1"/>
      <c r="AO213" s="76">
        <f t="shared" si="16"/>
        <v>0.67714285714285716</v>
      </c>
      <c r="AP213" s="76">
        <f t="shared" si="6"/>
        <v>100.5479225576015</v>
      </c>
      <c r="AQ213" s="75">
        <f>VLOOKUP(B213,'Household Information'!$B$2:$E$48,4,FALSE)</f>
        <v>65.935833333333335</v>
      </c>
      <c r="AR213" s="79">
        <f>IF(12*(AP213-Variables!$C$45*AQ213*F213)*(G213/5)&lt;0,0,12*(AP213-Variables!$C$45*AQ213*F213)*(G213/5))</f>
        <v>12460498.714689553</v>
      </c>
      <c r="AS213" s="1"/>
      <c r="AT213" s="62">
        <v>0</v>
      </c>
      <c r="AU213" s="1"/>
    </row>
    <row r="214" spans="1:47" ht="14.25" customHeight="1">
      <c r="A214" s="1">
        <v>23</v>
      </c>
      <c r="B214" s="3" t="s">
        <v>215</v>
      </c>
      <c r="C214" s="1">
        <v>2023</v>
      </c>
      <c r="D214" s="13">
        <f>VLOOKUP(B214,Population!$B$1:$O$48,7,FALSE)</f>
        <v>130005.5563047624</v>
      </c>
      <c r="E214" s="13" t="str">
        <f t="shared" si="19"/>
        <v>Medium</v>
      </c>
      <c r="F214" s="54">
        <f>VLOOKUP(B214,'Household Information'!$B$1:$E$48,2,FALSE)</f>
        <v>2.7568018275271275</v>
      </c>
      <c r="G214" s="54">
        <f t="shared" si="0"/>
        <v>47158.107270038483</v>
      </c>
      <c r="H214" s="55">
        <f>IF(D214&gt;Variables!$C$6,H167,H167*(1+Variables!$C$9))</f>
        <v>14.881089649499996</v>
      </c>
      <c r="I214" s="55"/>
      <c r="J214" s="13">
        <f>H214*Variables!$C$21</f>
        <v>267.85961369099994</v>
      </c>
      <c r="K214" s="13">
        <f t="shared" si="12"/>
        <v>267.85961369099994</v>
      </c>
      <c r="L214" s="54">
        <f t="shared" si="1"/>
        <v>0</v>
      </c>
      <c r="M214" s="56"/>
      <c r="N214" s="57"/>
      <c r="O214" s="57"/>
      <c r="P214" s="57"/>
      <c r="Q214" s="57"/>
      <c r="R214" s="57"/>
      <c r="S214" s="58">
        <v>0</v>
      </c>
      <c r="T214" s="59">
        <f>$L214*Variables!$C$22/100</f>
        <v>0</v>
      </c>
      <c r="U214" s="59">
        <f>$L214*Variables!$C$23/100</f>
        <v>0</v>
      </c>
      <c r="V214" s="59">
        <f>$L214*Variables!$C$24/100</f>
        <v>0</v>
      </c>
      <c r="W214" s="59">
        <f>$L214*Variables!$C$25/100</f>
        <v>0</v>
      </c>
      <c r="X214" s="62">
        <f>T214*Variables!$E$26*Variables!$C$18+'Cost Calculations'!U214*Variables!$E$27*Variables!$C$18+'Cost Calculations'!V214*Variables!$E$28*Variables!$C$18+W214*Variables!$E$29*Variables!$C$18</f>
        <v>0</v>
      </c>
      <c r="Y214" s="58">
        <f>J214*Variables!$E$30</f>
        <v>175448.04696760495</v>
      </c>
      <c r="Z214" s="1"/>
      <c r="AA214" s="245">
        <f>D214*(IF(D214&lt;Variables!$C$7,Variables!$C$38,IF(D214&gt;Variables!$C$6,Variables!$C$36,Variables!$C$37)))</f>
        <v>156.00666756571488</v>
      </c>
      <c r="AB214" s="64">
        <f t="shared" si="13"/>
        <v>154</v>
      </c>
      <c r="AC214" s="66">
        <f t="shared" si="2"/>
        <v>2</v>
      </c>
      <c r="AD214" s="62">
        <f>AC214*Variables!$E$41</f>
        <v>1075200</v>
      </c>
      <c r="AE214" s="71">
        <f>ROUND((H214/(3.14*Variables!$C$35^2)),0)</f>
        <v>19</v>
      </c>
      <c r="AF214" s="57">
        <f t="shared" si="14"/>
        <v>19</v>
      </c>
      <c r="AG214" s="57">
        <f t="shared" si="3"/>
        <v>0</v>
      </c>
      <c r="AH214" s="58">
        <f>AG214*Variables!$E$42*Variables!$C$18</f>
        <v>0</v>
      </c>
      <c r="AI214" s="73">
        <f t="shared" si="4"/>
        <v>1</v>
      </c>
      <c r="AJ214" s="66">
        <f t="shared" si="15"/>
        <v>1</v>
      </c>
      <c r="AK214" s="66">
        <f t="shared" si="5"/>
        <v>0</v>
      </c>
      <c r="AL214" s="62">
        <f>IF(AK214*Variables!$E$43*Variables!$C$18&lt;0,0,AK214*Variables!$E$43*Variables!$C$18)</f>
        <v>0</v>
      </c>
      <c r="AM214" s="58">
        <f>AA214*Variables!$E$39*Variables!$C$18</f>
        <v>45094088.353512973</v>
      </c>
      <c r="AN214" s="1"/>
      <c r="AO214" s="76">
        <f t="shared" si="16"/>
        <v>0.67714285714285716</v>
      </c>
      <c r="AP214" s="76">
        <f t="shared" si="6"/>
        <v>112.00491996410214</v>
      </c>
      <c r="AQ214" s="75">
        <f>VLOOKUP(B214,'Household Information'!$B$2:$E$48,4,FALSE)</f>
        <v>65.935833333333335</v>
      </c>
      <c r="AR214" s="79">
        <f>IF(12*(AP214-Variables!$C$45*AQ214*F214)*(G214/5)&lt;0,0,12*(AP214-Variables!$C$45*AQ214*F214)*(G214/5))</f>
        <v>9590727.1836035736</v>
      </c>
      <c r="AS214" s="1"/>
      <c r="AT214" s="62">
        <v>0</v>
      </c>
      <c r="AU214" s="1"/>
    </row>
    <row r="215" spans="1:47" ht="14.25" customHeight="1">
      <c r="A215" s="1">
        <v>24</v>
      </c>
      <c r="B215" s="3" t="s">
        <v>216</v>
      </c>
      <c r="C215" s="1">
        <v>2023</v>
      </c>
      <c r="D215" s="13">
        <f>VLOOKUP(B215,Population!$B$1:$O$48,7,FALSE)</f>
        <v>81588.104034183081</v>
      </c>
      <c r="E215" s="13" t="str">
        <f t="shared" si="19"/>
        <v>Small</v>
      </c>
      <c r="F215" s="54">
        <f>VLOOKUP(B215,'Household Information'!$B$1:$E$48,2,FALSE)</f>
        <v>2.845682723378673</v>
      </c>
      <c r="G215" s="54">
        <f t="shared" si="0"/>
        <v>28670.836479378733</v>
      </c>
      <c r="H215" s="55">
        <f>IF(D215&gt;Variables!$C$6,H168,H168*(1+Variables!$C$9))</f>
        <v>9.6773540166724423</v>
      </c>
      <c r="I215" s="55"/>
      <c r="J215" s="13">
        <f>H215*Variables!$C$21</f>
        <v>174.19237230010395</v>
      </c>
      <c r="K215" s="13">
        <f t="shared" si="12"/>
        <v>168.62765953543462</v>
      </c>
      <c r="L215" s="54">
        <f t="shared" si="1"/>
        <v>5.5647127646693377</v>
      </c>
      <c r="M215" s="56"/>
      <c r="N215" s="57"/>
      <c r="O215" s="57"/>
      <c r="P215" s="57"/>
      <c r="Q215" s="57"/>
      <c r="R215" s="57"/>
      <c r="S215" s="58">
        <v>0</v>
      </c>
      <c r="T215" s="59">
        <f>$L215*Variables!$C$22/100</f>
        <v>0.30215634921281465</v>
      </c>
      <c r="U215" s="59">
        <f>$L215*Variables!$C$23/100</f>
        <v>0.52877361112242571</v>
      </c>
      <c r="V215" s="59">
        <f>$L215*Variables!$C$24/100</f>
        <v>0.55395330689016031</v>
      </c>
      <c r="W215" s="59">
        <f>$L215*Variables!$C$25/100</f>
        <v>4.0287513228375298</v>
      </c>
      <c r="X215" s="62">
        <f>T215*Variables!$E$26*Variables!$C$18+'Cost Calculations'!U215*Variables!$E$27*Variables!$C$18+'Cost Calculations'!V215*Variables!$E$28*Variables!$C$18+W215*Variables!$E$29*Variables!$C$18</f>
        <v>6325564.6856585685</v>
      </c>
      <c r="Y215" s="58">
        <f>J215*Variables!$E$30</f>
        <v>114096.00385656809</v>
      </c>
      <c r="Z215" s="1"/>
      <c r="AA215" s="245">
        <f>D215*(IF(D215&lt;Variables!$C$7,Variables!$C$38,IF(D215&gt;Variables!$C$6,Variables!$C$36,Variables!$C$37)))</f>
        <v>65.270483227346475</v>
      </c>
      <c r="AB215" s="64">
        <f t="shared" si="13"/>
        <v>64</v>
      </c>
      <c r="AC215" s="66">
        <f t="shared" si="2"/>
        <v>1</v>
      </c>
      <c r="AD215" s="62">
        <f>AC215*Variables!$E$41</f>
        <v>537600</v>
      </c>
      <c r="AE215" s="71">
        <f>ROUND((H215/(3.14*Variables!$C$35^2)),0)</f>
        <v>12</v>
      </c>
      <c r="AF215" s="57">
        <f t="shared" si="14"/>
        <v>12</v>
      </c>
      <c r="AG215" s="57">
        <f t="shared" si="3"/>
        <v>0</v>
      </c>
      <c r="AH215" s="58">
        <f>AG215*Variables!$E$42*Variables!$C$18</f>
        <v>0</v>
      </c>
      <c r="AI215" s="73">
        <f t="shared" si="4"/>
        <v>1</v>
      </c>
      <c r="AJ215" s="66">
        <f t="shared" si="15"/>
        <v>1</v>
      </c>
      <c r="AK215" s="66">
        <f t="shared" si="5"/>
        <v>0</v>
      </c>
      <c r="AL215" s="62">
        <f>IF(AK215*Variables!$E$43*Variables!$C$18&lt;0,0,AK215*Variables!$E$43*Variables!$C$18)</f>
        <v>0</v>
      </c>
      <c r="AM215" s="58">
        <f>AA215*Variables!$E$39*Variables!$C$18</f>
        <v>18866584.25218033</v>
      </c>
      <c r="AN215" s="1"/>
      <c r="AO215" s="76">
        <f t="shared" si="16"/>
        <v>0.67714285714285716</v>
      </c>
      <c r="AP215" s="76">
        <f t="shared" si="6"/>
        <v>115.61602378984207</v>
      </c>
      <c r="AQ215" s="75">
        <f>VLOOKUP(B215,'Household Information'!$B$2:$E$48,4,FALSE)</f>
        <v>65.935833333333335</v>
      </c>
      <c r="AR215" s="79">
        <f>IF(12*(AP215-Variables!$C$45*AQ215*F215)*(G215/5)&lt;0,0,12*(AP215-Variables!$C$45*AQ215*F215)*(G215/5))</f>
        <v>6018890.8032898568</v>
      </c>
      <c r="AS215" s="1"/>
      <c r="AT215" s="62">
        <v>0</v>
      </c>
      <c r="AU215" s="1"/>
    </row>
    <row r="216" spans="1:47" ht="14.25" customHeight="1">
      <c r="A216" s="1">
        <v>25</v>
      </c>
      <c r="B216" s="3" t="s">
        <v>217</v>
      </c>
      <c r="C216" s="1">
        <v>2023</v>
      </c>
      <c r="D216" s="13">
        <f>VLOOKUP(B216,Population!$B$1:$O$48,7,FALSE)</f>
        <v>169071.10613762148</v>
      </c>
      <c r="E216" s="13" t="str">
        <f t="shared" si="19"/>
        <v>Medium</v>
      </c>
      <c r="F216" s="54">
        <f>VLOOKUP(B216,'Household Information'!$B$1:$E$48,2,FALSE)</f>
        <v>2.502264030612245</v>
      </c>
      <c r="G216" s="54">
        <f t="shared" si="0"/>
        <v>67567.252723627957</v>
      </c>
      <c r="H216" s="55">
        <f>IF(D216&gt;Variables!$C$6,H169,H169*(1+Variables!$C$9))</f>
        <v>22.498002944169993</v>
      </c>
      <c r="I216" s="55"/>
      <c r="J216" s="13">
        <f>H216*Variables!$C$21</f>
        <v>404.96405299505989</v>
      </c>
      <c r="K216" s="13">
        <f t="shared" si="12"/>
        <v>404.96405299505989</v>
      </c>
      <c r="L216" s="54">
        <f t="shared" si="1"/>
        <v>0</v>
      </c>
      <c r="M216" s="56"/>
      <c r="N216" s="57"/>
      <c r="O216" s="57"/>
      <c r="P216" s="57"/>
      <c r="Q216" s="57"/>
      <c r="R216" s="57"/>
      <c r="S216" s="58">
        <v>0</v>
      </c>
      <c r="T216" s="59">
        <f>$L216*Variables!$C$22/100</f>
        <v>0</v>
      </c>
      <c r="U216" s="59">
        <f>$L216*Variables!$C$23/100</f>
        <v>0</v>
      </c>
      <c r="V216" s="59">
        <f>$L216*Variables!$C$24/100</f>
        <v>0</v>
      </c>
      <c r="W216" s="59">
        <f>$L216*Variables!$C$25/100</f>
        <v>0</v>
      </c>
      <c r="X216" s="62">
        <f>T216*Variables!$E$26*Variables!$C$18+'Cost Calculations'!U216*Variables!$E$27*Variables!$C$18+'Cost Calculations'!V216*Variables!$E$28*Variables!$C$18+W216*Variables!$E$29*Variables!$C$18</f>
        <v>0</v>
      </c>
      <c r="Y216" s="58">
        <f>J216*Variables!$E$30</f>
        <v>265251.45471176424</v>
      </c>
      <c r="Z216" s="1"/>
      <c r="AA216" s="245">
        <f>D216*(IF(D216&lt;Variables!$C$7,Variables!$C$38,IF(D216&gt;Variables!$C$6,Variables!$C$36,Variables!$C$37)))</f>
        <v>202.88532736514577</v>
      </c>
      <c r="AB216" s="64">
        <f t="shared" si="13"/>
        <v>200</v>
      </c>
      <c r="AC216" s="66">
        <f t="shared" si="2"/>
        <v>3</v>
      </c>
      <c r="AD216" s="62">
        <f>AC216*Variables!$E$41</f>
        <v>1612800</v>
      </c>
      <c r="AE216" s="71">
        <f>ROUND((H216/(3.14*Variables!$C$35^2)),0)</f>
        <v>29</v>
      </c>
      <c r="AF216" s="57">
        <f t="shared" si="14"/>
        <v>29</v>
      </c>
      <c r="AG216" s="57">
        <f t="shared" si="3"/>
        <v>0</v>
      </c>
      <c r="AH216" s="58">
        <f>AG216*Variables!$E$42*Variables!$C$18</f>
        <v>0</v>
      </c>
      <c r="AI216" s="73">
        <f t="shared" si="4"/>
        <v>2</v>
      </c>
      <c r="AJ216" s="66">
        <f t="shared" si="15"/>
        <v>2</v>
      </c>
      <c r="AK216" s="66">
        <f t="shared" si="5"/>
        <v>0</v>
      </c>
      <c r="AL216" s="62">
        <f>IF(AK216*Variables!$E$43*Variables!$C$18&lt;0,0,AK216*Variables!$E$43*Variables!$C$18)</f>
        <v>0</v>
      </c>
      <c r="AM216" s="58">
        <f>AA216*Variables!$E$39*Variables!$C$18</f>
        <v>58644473.474067844</v>
      </c>
      <c r="AN216" s="1"/>
      <c r="AO216" s="76">
        <f t="shared" si="16"/>
        <v>0.67714285714285716</v>
      </c>
      <c r="AP216" s="76">
        <f t="shared" si="6"/>
        <v>101.66341290087463</v>
      </c>
      <c r="AQ216" s="75">
        <f>VLOOKUP(B216,'Household Information'!$B$2:$E$48,4,FALSE)</f>
        <v>65.935833333333335</v>
      </c>
      <c r="AR216" s="79">
        <f>IF(12*(AP216-Variables!$C$45*AQ216*F216)*(G216/5)&lt;0,0,12*(AP216-Variables!$C$45*AQ216*F216)*(G216/5))</f>
        <v>12472658.090049736</v>
      </c>
      <c r="AS216" s="1"/>
      <c r="AT216" s="62">
        <v>0</v>
      </c>
      <c r="AU216" s="1"/>
    </row>
    <row r="217" spans="1:47" ht="14.25" customHeight="1">
      <c r="A217" s="1">
        <v>26</v>
      </c>
      <c r="B217" s="3" t="s">
        <v>219</v>
      </c>
      <c r="C217" s="1">
        <v>2023</v>
      </c>
      <c r="D217" s="13">
        <f>VLOOKUP(B217,Population!$B$1:$O$48,7,FALSE)</f>
        <v>46155.155862422129</v>
      </c>
      <c r="E217" s="13" t="str">
        <f t="shared" si="19"/>
        <v>Small</v>
      </c>
      <c r="F217" s="54">
        <f>VLOOKUP(B217,'Household Information'!$B$1:$E$48,2,FALSE)</f>
        <v>3.6899491861166136</v>
      </c>
      <c r="G217" s="54">
        <f t="shared" si="0"/>
        <v>12508.344569101469</v>
      </c>
      <c r="H217" s="55">
        <f>IF(D217&gt;Variables!$C$6,H170,H170*(1+Variables!$C$9))</f>
        <v>4.2131120555076986</v>
      </c>
      <c r="I217" s="55"/>
      <c r="J217" s="13">
        <f>H217*Variables!$C$21</f>
        <v>75.836016999138579</v>
      </c>
      <c r="K217" s="13">
        <f t="shared" si="12"/>
        <v>73.413375604199985</v>
      </c>
      <c r="L217" s="54">
        <f t="shared" si="1"/>
        <v>2.4226413949385943</v>
      </c>
      <c r="M217" s="56"/>
      <c r="N217" s="57"/>
      <c r="O217" s="57"/>
      <c r="P217" s="57"/>
      <c r="Q217" s="57"/>
      <c r="R217" s="57"/>
      <c r="S217" s="58">
        <v>0</v>
      </c>
      <c r="T217" s="59">
        <f>$L217*Variables!$C$22/100</f>
        <v>0.13154613909168836</v>
      </c>
      <c r="U217" s="59">
        <f>$L217*Variables!$C$23/100</f>
        <v>0.23020574341045466</v>
      </c>
      <c r="V217" s="59">
        <f>$L217*Variables!$C$24/100</f>
        <v>0.24116792166809536</v>
      </c>
      <c r="W217" s="59">
        <f>$L217*Variables!$C$25/100</f>
        <v>1.7539485212225117</v>
      </c>
      <c r="X217" s="62">
        <f>T217*Variables!$E$26*Variables!$C$18+'Cost Calculations'!U217*Variables!$E$27*Variables!$C$18+'Cost Calculations'!V217*Variables!$E$28*Variables!$C$18+W217*Variables!$E$29*Variables!$C$18</f>
        <v>2753884.2527748672</v>
      </c>
      <c r="Y217" s="58">
        <f>J217*Variables!$E$30</f>
        <v>49672.591134435766</v>
      </c>
      <c r="Z217" s="1"/>
      <c r="AA217" s="245">
        <f>D217*(IF(D217&lt;Variables!$C$7,Variables!$C$38,IF(D217&gt;Variables!$C$6,Variables!$C$36,Variables!$C$37)))</f>
        <v>23.077577931211064</v>
      </c>
      <c r="AB217" s="64">
        <f t="shared" si="13"/>
        <v>23</v>
      </c>
      <c r="AC217" s="66">
        <f t="shared" si="2"/>
        <v>0</v>
      </c>
      <c r="AD217" s="62">
        <f>AC217*Variables!$E$41</f>
        <v>0</v>
      </c>
      <c r="AE217" s="71">
        <f>ROUND((H217/(3.14*Variables!$C$35^2)),0)</f>
        <v>5</v>
      </c>
      <c r="AF217" s="57">
        <f t="shared" si="14"/>
        <v>5</v>
      </c>
      <c r="AG217" s="57">
        <f t="shared" si="3"/>
        <v>0</v>
      </c>
      <c r="AH217" s="58">
        <f>AG217*Variables!$E$42*Variables!$C$18</f>
        <v>0</v>
      </c>
      <c r="AI217" s="73">
        <f t="shared" si="4"/>
        <v>0</v>
      </c>
      <c r="AJ217" s="66">
        <f t="shared" si="15"/>
        <v>0</v>
      </c>
      <c r="AK217" s="66">
        <f t="shared" si="5"/>
        <v>0</v>
      </c>
      <c r="AL217" s="62">
        <f>IF(AK217*Variables!$E$43*Variables!$C$18&lt;0,0,AK217*Variables!$E$43*Variables!$C$18)</f>
        <v>0</v>
      </c>
      <c r="AM217" s="58">
        <f>AA217*Variables!$E$39*Variables!$C$18</f>
        <v>6670627.3164687222</v>
      </c>
      <c r="AN217" s="1"/>
      <c r="AO217" s="76">
        <f t="shared" si="16"/>
        <v>0.67714285714285716</v>
      </c>
      <c r="AP217" s="76">
        <f t="shared" si="6"/>
        <v>149.91736407593783</v>
      </c>
      <c r="AQ217" s="75">
        <f>VLOOKUP(B217,'Household Information'!$B$2:$E$48,4,FALSE)</f>
        <v>65.935833333333335</v>
      </c>
      <c r="AR217" s="79">
        <f>IF(12*(AP217-Variables!$C$45*AQ217*F217)*(G217/5)&lt;0,0,12*(AP217-Variables!$C$45*AQ217*F217)*(G217/5))</f>
        <v>3404942.9930171063</v>
      </c>
      <c r="AS217" s="1"/>
      <c r="AT217" s="62">
        <v>0</v>
      </c>
      <c r="AU217" s="1"/>
    </row>
    <row r="218" spans="1:47" ht="14.25" customHeight="1">
      <c r="A218" s="1">
        <v>27</v>
      </c>
      <c r="B218" s="3" t="s">
        <v>220</v>
      </c>
      <c r="C218" s="1">
        <v>2023</v>
      </c>
      <c r="D218" s="13">
        <f>VLOOKUP(B218,Population!$B$1:$O$48,7,FALSE)</f>
        <v>8655.9769712109482</v>
      </c>
      <c r="E218" s="13" t="str">
        <f t="shared" si="19"/>
        <v>Small</v>
      </c>
      <c r="F218" s="54">
        <f>VLOOKUP(B218,'Household Information'!$B$1:$E$48,2,FALSE)</f>
        <v>2.667113684852179</v>
      </c>
      <c r="G218" s="54">
        <f t="shared" si="0"/>
        <v>3245.4473239638801</v>
      </c>
      <c r="H218" s="55">
        <f>IF(D218&gt;Variables!$C$6,H171,H171*(1+Variables!$C$9))</f>
        <v>0.68657751583914717</v>
      </c>
      <c r="I218" s="55"/>
      <c r="J218" s="13">
        <f>H218*Variables!$C$21</f>
        <v>12.358395285104649</v>
      </c>
      <c r="K218" s="13">
        <f t="shared" si="12"/>
        <v>11.963596597390755</v>
      </c>
      <c r="L218" s="54">
        <f t="shared" si="1"/>
        <v>0.39479868771389448</v>
      </c>
      <c r="M218" s="56"/>
      <c r="N218" s="57"/>
      <c r="O218" s="57"/>
      <c r="P218" s="57"/>
      <c r="Q218" s="57"/>
      <c r="R218" s="57"/>
      <c r="S218" s="58">
        <v>0</v>
      </c>
      <c r="T218" s="59">
        <f>$L218*Variables!$C$22/100</f>
        <v>2.1437032817044042E-2</v>
      </c>
      <c r="U218" s="59">
        <f>$L218*Variables!$C$23/100</f>
        <v>3.7514807429827074E-2</v>
      </c>
      <c r="V218" s="59">
        <f>$L218*Variables!$C$24/100</f>
        <v>3.9301226831247413E-2</v>
      </c>
      <c r="W218" s="59">
        <f>$L218*Variables!$C$25/100</f>
        <v>0.28582710422725394</v>
      </c>
      <c r="X218" s="62">
        <f>T218*Variables!$E$26*Variables!$C$18+'Cost Calculations'!U218*Variables!$E$27*Variables!$C$18+'Cost Calculations'!V218*Variables!$E$28*Variables!$C$18+W218*Variables!$E$29*Variables!$C$18</f>
        <v>448778.71375554282</v>
      </c>
      <c r="Y218" s="58">
        <f>J218*Variables!$E$30</f>
        <v>8094.7489117435452</v>
      </c>
      <c r="Z218" s="1"/>
      <c r="AA218" s="245">
        <f>D218*(IF(D218&lt;Variables!$C$7,Variables!$C$38,IF(D218&gt;Variables!$C$6,Variables!$C$36,Variables!$C$37)))</f>
        <v>4.3279884856054744</v>
      </c>
      <c r="AB218" s="64">
        <f t="shared" si="13"/>
        <v>78</v>
      </c>
      <c r="AC218" s="66">
        <f t="shared" si="2"/>
        <v>0</v>
      </c>
      <c r="AD218" s="62">
        <f>AC218*Variables!$E$41</f>
        <v>0</v>
      </c>
      <c r="AE218" s="71">
        <f>ROUND((H218/(3.14*Variables!$C$35^2)),0)</f>
        <v>1</v>
      </c>
      <c r="AF218" s="57">
        <f t="shared" si="14"/>
        <v>1</v>
      </c>
      <c r="AG218" s="57">
        <f t="shared" si="3"/>
        <v>0</v>
      </c>
      <c r="AH218" s="58">
        <f>AG218*Variables!$E$42*Variables!$C$18</f>
        <v>0</v>
      </c>
      <c r="AI218" s="73">
        <f t="shared" si="4"/>
        <v>0</v>
      </c>
      <c r="AJ218" s="66">
        <f t="shared" si="15"/>
        <v>0</v>
      </c>
      <c r="AK218" s="66">
        <f t="shared" si="5"/>
        <v>0</v>
      </c>
      <c r="AL218" s="62">
        <f>IF(AK218*Variables!$E$43*Variables!$C$18&lt;0,0,AK218*Variables!$E$43*Variables!$C$18)</f>
        <v>0</v>
      </c>
      <c r="AM218" s="58">
        <f>AA218*Variables!$E$39*Variables!$C$18</f>
        <v>1251015.0893433434</v>
      </c>
      <c r="AN218" s="1"/>
      <c r="AO218" s="76">
        <f t="shared" si="16"/>
        <v>0.67714285714285716</v>
      </c>
      <c r="AP218" s="76">
        <f t="shared" si="6"/>
        <v>108.3610188531371</v>
      </c>
      <c r="AQ218" s="75">
        <f>VLOOKUP(B218,'Household Information'!$B$2:$E$48,4,FALSE)</f>
        <v>65.935833333333335</v>
      </c>
      <c r="AR218" s="79">
        <f>IF(12*(AP218-Variables!$C$45*AQ218*F218)*(G218/5)&lt;0,0,12*(AP218-Variables!$C$45*AQ218*F218)*(G218/5))</f>
        <v>638565.88901345478</v>
      </c>
      <c r="AS218" s="1"/>
      <c r="AT218" s="62">
        <v>0</v>
      </c>
      <c r="AU218" s="1"/>
    </row>
    <row r="219" spans="1:47" ht="14.25" customHeight="1">
      <c r="A219" s="1">
        <v>28</v>
      </c>
      <c r="B219" s="3" t="s">
        <v>221</v>
      </c>
      <c r="C219" s="1">
        <v>2023</v>
      </c>
      <c r="D219" s="13">
        <f>VLOOKUP(B219,Population!$B$1:$O$48,7,FALSE)</f>
        <v>51802.278610784022</v>
      </c>
      <c r="E219" s="13" t="str">
        <f t="shared" si="19"/>
        <v>Small</v>
      </c>
      <c r="F219" s="54">
        <f>VLOOKUP(B219,'Household Information'!$B$1:$E$48,2,FALSE)</f>
        <v>2.5363152064982328</v>
      </c>
      <c r="G219" s="54">
        <f t="shared" si="0"/>
        <v>20424.227429643855</v>
      </c>
      <c r="H219" s="55">
        <f>IF(D219&gt;Variables!$C$6,H172,H172*(1+Variables!$C$9))</f>
        <v>5.9211304563891982</v>
      </c>
      <c r="I219" s="55"/>
      <c r="J219" s="13">
        <f>H219*Variables!$C$21</f>
        <v>106.58034821500557</v>
      </c>
      <c r="K219" s="13">
        <f t="shared" si="12"/>
        <v>124.62</v>
      </c>
      <c r="L219" s="54">
        <f t="shared" si="1"/>
        <v>0</v>
      </c>
      <c r="M219" s="56"/>
      <c r="N219" s="57"/>
      <c r="O219" s="57"/>
      <c r="P219" s="57"/>
      <c r="Q219" s="57"/>
      <c r="R219" s="57"/>
      <c r="S219" s="58">
        <v>0</v>
      </c>
      <c r="T219" s="59">
        <f>$L219*Variables!$C$22/100</f>
        <v>0</v>
      </c>
      <c r="U219" s="59">
        <f>$L219*Variables!$C$23/100</f>
        <v>0</v>
      </c>
      <c r="V219" s="59">
        <f>$L219*Variables!$C$24/100</f>
        <v>0</v>
      </c>
      <c r="W219" s="59">
        <f>$L219*Variables!$C$25/100</f>
        <v>0</v>
      </c>
      <c r="X219" s="62">
        <f>T219*Variables!$E$26*Variables!$C$18+'Cost Calculations'!U219*Variables!$E$27*Variables!$C$18+'Cost Calculations'!V219*Variables!$E$28*Variables!$C$18+W219*Variables!$E$29*Variables!$C$18</f>
        <v>0</v>
      </c>
      <c r="Y219" s="58">
        <f>J219*Variables!$E$30</f>
        <v>69810.128080828654</v>
      </c>
      <c r="Z219" s="1"/>
      <c r="AA219" s="245">
        <f>D219*(IF(D219&lt;Variables!$C$7,Variables!$C$38,IF(D219&gt;Variables!$C$6,Variables!$C$36,Variables!$C$37)))</f>
        <v>41.441822888627222</v>
      </c>
      <c r="AB219" s="64">
        <f t="shared" si="13"/>
        <v>41</v>
      </c>
      <c r="AC219" s="66">
        <f t="shared" si="2"/>
        <v>0</v>
      </c>
      <c r="AD219" s="62">
        <f>AC219*Variables!$E$41</f>
        <v>0</v>
      </c>
      <c r="AE219" s="71">
        <f>ROUND((H219/(3.14*Variables!$C$35^2)),0)</f>
        <v>8</v>
      </c>
      <c r="AF219" s="57">
        <f t="shared" si="14"/>
        <v>7</v>
      </c>
      <c r="AG219" s="57">
        <f t="shared" si="3"/>
        <v>1</v>
      </c>
      <c r="AH219" s="58">
        <f>AG219*Variables!$E$42*Variables!$C$18</f>
        <v>1148.2560000000001</v>
      </c>
      <c r="AI219" s="73">
        <f t="shared" si="4"/>
        <v>0</v>
      </c>
      <c r="AJ219" s="66">
        <f t="shared" si="15"/>
        <v>0</v>
      </c>
      <c r="AK219" s="66">
        <f t="shared" si="5"/>
        <v>0</v>
      </c>
      <c r="AL219" s="62">
        <f>IF(AK219*Variables!$E$43*Variables!$C$18&lt;0,0,AK219*Variables!$E$43*Variables!$C$18)</f>
        <v>0</v>
      </c>
      <c r="AM219" s="58">
        <f>AA219*Variables!$E$39*Variables!$C$18</f>
        <v>11978854.827363087</v>
      </c>
      <c r="AN219" s="1"/>
      <c r="AO219" s="76">
        <f t="shared" si="16"/>
        <v>0.67714285714285716</v>
      </c>
      <c r="AP219" s="76">
        <f t="shared" si="6"/>
        <v>103.04686353258533</v>
      </c>
      <c r="AQ219" s="75">
        <f>VLOOKUP(B219,'Household Information'!$B$2:$E$48,4,FALSE)</f>
        <v>65.935833333333335</v>
      </c>
      <c r="AR219" s="79">
        <f>IF(12*(AP219-Variables!$C$45*AQ219*F219)*(G219/5)&lt;0,0,12*(AP219-Variables!$C$45*AQ219*F219)*(G219/5))</f>
        <v>3821540.6769260722</v>
      </c>
      <c r="AS219" s="1"/>
      <c r="AT219" s="62">
        <v>0</v>
      </c>
      <c r="AU219" s="1"/>
    </row>
    <row r="220" spans="1:47" ht="14.25" customHeight="1">
      <c r="A220" s="1">
        <v>29</v>
      </c>
      <c r="B220" s="3" t="s">
        <v>222</v>
      </c>
      <c r="C220" s="1">
        <v>2023</v>
      </c>
      <c r="D220" s="13">
        <f>VLOOKUP(B220,Population!$B$1:$O$48,7,FALSE)</f>
        <v>52164.246036089171</v>
      </c>
      <c r="E220" s="13" t="str">
        <f t="shared" si="19"/>
        <v>Small</v>
      </c>
      <c r="F220" s="54">
        <f>VLOOKUP(B220,'Household Information'!$B$1:$E$48,2,FALSE)</f>
        <v>2.6066968130921619</v>
      </c>
      <c r="G220" s="54">
        <f t="shared" si="0"/>
        <v>20011.627656156135</v>
      </c>
      <c r="H220" s="55">
        <f>IF(D220&gt;Variables!$C$6,H173,H173*(1+Variables!$C$9))</f>
        <v>3.7348669032608788</v>
      </c>
      <c r="I220" s="55"/>
      <c r="J220" s="13">
        <f>H220*Variables!$C$21</f>
        <v>67.22760425869582</v>
      </c>
      <c r="K220" s="13">
        <f t="shared" si="12"/>
        <v>69.7</v>
      </c>
      <c r="L220" s="54">
        <f t="shared" si="1"/>
        <v>0</v>
      </c>
      <c r="M220" s="56"/>
      <c r="N220" s="57"/>
      <c r="O220" s="57"/>
      <c r="P220" s="57"/>
      <c r="Q220" s="57"/>
      <c r="R220" s="57"/>
      <c r="S220" s="58">
        <v>0</v>
      </c>
      <c r="T220" s="59">
        <f>$L220*Variables!$C$22/100</f>
        <v>0</v>
      </c>
      <c r="U220" s="59">
        <f>$L220*Variables!$C$23/100</f>
        <v>0</v>
      </c>
      <c r="V220" s="59">
        <f>$L220*Variables!$C$24/100</f>
        <v>0</v>
      </c>
      <c r="W220" s="59">
        <f>$L220*Variables!$C$25/100</f>
        <v>0</v>
      </c>
      <c r="X220" s="62">
        <f>T220*Variables!$E$26*Variables!$C$18+'Cost Calculations'!U220*Variables!$E$27*Variables!$C$18+'Cost Calculations'!V220*Variables!$E$28*Variables!$C$18+W220*Variables!$E$29*Variables!$C$18</f>
        <v>0</v>
      </c>
      <c r="Y220" s="58">
        <f>J220*Variables!$E$30</f>
        <v>44034.080789445761</v>
      </c>
      <c r="Z220" s="1"/>
      <c r="AA220" s="245">
        <f>D220*(IF(D220&lt;Variables!$C$7,Variables!$C$38,IF(D220&gt;Variables!$C$6,Variables!$C$36,Variables!$C$37)))</f>
        <v>41.73139682887134</v>
      </c>
      <c r="AB220" s="64">
        <f t="shared" si="13"/>
        <v>41</v>
      </c>
      <c r="AC220" s="66">
        <f t="shared" si="2"/>
        <v>1</v>
      </c>
      <c r="AD220" s="62">
        <f>AC220*Variables!$E$41</f>
        <v>537600</v>
      </c>
      <c r="AE220" s="71">
        <f>ROUND((H220/(3.14*Variables!$C$35^2)),0)</f>
        <v>5</v>
      </c>
      <c r="AF220" s="57">
        <f t="shared" si="14"/>
        <v>5</v>
      </c>
      <c r="AG220" s="57">
        <f t="shared" si="3"/>
        <v>0</v>
      </c>
      <c r="AH220" s="58">
        <f>AG220*Variables!$E$42*Variables!$C$18</f>
        <v>0</v>
      </c>
      <c r="AI220" s="73">
        <f t="shared" si="4"/>
        <v>0</v>
      </c>
      <c r="AJ220" s="66">
        <f t="shared" si="15"/>
        <v>0</v>
      </c>
      <c r="AK220" s="66">
        <f t="shared" si="5"/>
        <v>0</v>
      </c>
      <c r="AL220" s="62">
        <f>IF(AK220*Variables!$E$43*Variables!$C$18&lt;0,0,AK220*Variables!$E$43*Variables!$C$18)</f>
        <v>0</v>
      </c>
      <c r="AM220" s="58">
        <f>AA220*Variables!$E$39*Variables!$C$18</f>
        <v>12062556.845039625</v>
      </c>
      <c r="AN220" s="1"/>
      <c r="AO220" s="76">
        <f t="shared" si="16"/>
        <v>0.67714285714285716</v>
      </c>
      <c r="AP220" s="76">
        <f t="shared" si="6"/>
        <v>105.9063676633444</v>
      </c>
      <c r="AQ220" s="75">
        <f>VLOOKUP(B220,'Household Information'!$B$2:$E$48,4,FALSE)</f>
        <v>65.935833333333335</v>
      </c>
      <c r="AR220" s="79">
        <f>IF(12*(AP220-Variables!$C$45*AQ220*F220)*(G220/5)&lt;0,0,12*(AP220-Variables!$C$45*AQ220*F220)*(G220/5))</f>
        <v>3848243.6188935298</v>
      </c>
      <c r="AS220" s="1"/>
      <c r="AT220" s="62">
        <v>0</v>
      </c>
      <c r="AU220" s="1"/>
    </row>
    <row r="221" spans="1:47" ht="14.25" customHeight="1">
      <c r="A221" s="1">
        <v>30</v>
      </c>
      <c r="B221" s="3" t="s">
        <v>223</v>
      </c>
      <c r="C221" s="1">
        <v>2023</v>
      </c>
      <c r="D221" s="13">
        <f>VLOOKUP(B221,Population!$B$1:$O$48,7,FALSE)</f>
        <v>21317.295868863999</v>
      </c>
      <c r="E221" s="13" t="str">
        <f t="shared" si="19"/>
        <v>Small</v>
      </c>
      <c r="F221" s="54">
        <f>VLOOKUP(B221,'Household Information'!$B$1:$E$48,2,FALSE)</f>
        <v>2.8820273812991553</v>
      </c>
      <c r="G221" s="54">
        <f t="shared" si="0"/>
        <v>7396.6319706701142</v>
      </c>
      <c r="H221" s="55">
        <f>IF(D221&gt;Variables!$C$6,H174,H174*(1+Variables!$C$9))</f>
        <v>3.8715083753313984</v>
      </c>
      <c r="I221" s="55"/>
      <c r="J221" s="13">
        <f>H221*Variables!$C$21</f>
        <v>69.687150755965177</v>
      </c>
      <c r="K221" s="13">
        <f t="shared" si="12"/>
        <v>76.2</v>
      </c>
      <c r="L221" s="54">
        <f t="shared" si="1"/>
        <v>0</v>
      </c>
      <c r="M221" s="56"/>
      <c r="N221" s="57"/>
      <c r="O221" s="57"/>
      <c r="P221" s="57"/>
      <c r="Q221" s="57"/>
      <c r="R221" s="57"/>
      <c r="S221" s="58">
        <v>0</v>
      </c>
      <c r="T221" s="59">
        <f>$L221*Variables!$C$22/100</f>
        <v>0</v>
      </c>
      <c r="U221" s="59">
        <f>$L221*Variables!$C$23/100</f>
        <v>0</v>
      </c>
      <c r="V221" s="59">
        <f>$L221*Variables!$C$24/100</f>
        <v>0</v>
      </c>
      <c r="W221" s="59">
        <f>$L221*Variables!$C$25/100</f>
        <v>0</v>
      </c>
      <c r="X221" s="62">
        <f>T221*Variables!$E$26*Variables!$C$18+'Cost Calculations'!U221*Variables!$E$27*Variables!$C$18+'Cost Calculations'!V221*Variables!$E$28*Variables!$C$18+W221*Variables!$E$29*Variables!$C$18</f>
        <v>0</v>
      </c>
      <c r="Y221" s="58">
        <f>J221*Variables!$E$30</f>
        <v>45645.083745157193</v>
      </c>
      <c r="Z221" s="1"/>
      <c r="AA221" s="245">
        <f>D221*(IF(D221&lt;Variables!$C$7,Variables!$C$38,IF(D221&gt;Variables!$C$6,Variables!$C$36,Variables!$C$37)))</f>
        <v>10.658647934432</v>
      </c>
      <c r="AB221" s="64">
        <f t="shared" si="13"/>
        <v>11</v>
      </c>
      <c r="AC221" s="66">
        <f t="shared" si="2"/>
        <v>0</v>
      </c>
      <c r="AD221" s="62">
        <f>AC221*Variables!$E$41</f>
        <v>0</v>
      </c>
      <c r="AE221" s="71">
        <f>ROUND((H221/(3.14*Variables!$C$35^2)),0)</f>
        <v>5</v>
      </c>
      <c r="AF221" s="57">
        <f t="shared" si="14"/>
        <v>5</v>
      </c>
      <c r="AG221" s="57">
        <f t="shared" si="3"/>
        <v>0</v>
      </c>
      <c r="AH221" s="58">
        <f>AG221*Variables!$E$42*Variables!$C$18</f>
        <v>0</v>
      </c>
      <c r="AI221" s="73">
        <f t="shared" si="4"/>
        <v>0</v>
      </c>
      <c r="AJ221" s="66">
        <f t="shared" si="15"/>
        <v>0</v>
      </c>
      <c r="AK221" s="66">
        <f t="shared" si="5"/>
        <v>0</v>
      </c>
      <c r="AL221" s="62">
        <f>IF(AK221*Variables!$E$43*Variables!$C$18&lt;0,0,AK221*Variables!$E$43*Variables!$C$18)</f>
        <v>0</v>
      </c>
      <c r="AM221" s="58">
        <f>AA221*Variables!$E$39*Variables!$C$18</f>
        <v>3080906.855995778</v>
      </c>
      <c r="AN221" s="1"/>
      <c r="AO221" s="76">
        <f t="shared" si="16"/>
        <v>0.67714285714285716</v>
      </c>
      <c r="AP221" s="76">
        <f t="shared" si="6"/>
        <v>117.09265532021139</v>
      </c>
      <c r="AQ221" s="75">
        <f>VLOOKUP(B221,'Household Information'!$B$2:$E$48,4,FALSE)</f>
        <v>65.935833333333335</v>
      </c>
      <c r="AR221" s="79">
        <f>IF(12*(AP221-Variables!$C$45*AQ221*F221)*(G221/5)&lt;0,0,12*(AP221-Variables!$C$45*AQ221*F221)*(G221/5))</f>
        <v>1572612.5465834779</v>
      </c>
      <c r="AS221" s="1"/>
      <c r="AT221" s="62">
        <v>0</v>
      </c>
      <c r="AU221" s="1"/>
    </row>
    <row r="222" spans="1:47" ht="14.25" customHeight="1">
      <c r="A222" s="1">
        <v>31</v>
      </c>
      <c r="B222" s="3" t="s">
        <v>224</v>
      </c>
      <c r="C222" s="1">
        <v>2023</v>
      </c>
      <c r="D222" s="13">
        <f>VLOOKUP(B222,Population!$B$1:$O$48,7,FALSE)</f>
        <v>32430.557652935204</v>
      </c>
      <c r="E222" s="13" t="str">
        <f t="shared" si="19"/>
        <v>Small</v>
      </c>
      <c r="F222" s="54">
        <f>VLOOKUP(B222,'Household Information'!$B$1:$E$48,2,FALSE)</f>
        <v>3.407</v>
      </c>
      <c r="G222" s="54">
        <f t="shared" si="0"/>
        <v>9518.801776617318</v>
      </c>
      <c r="H222" s="55">
        <f>IF(D222&gt;Variables!$C$6,H175,H175*(1+Variables!$C$9))</f>
        <v>4.1334045301332285</v>
      </c>
      <c r="I222" s="55"/>
      <c r="J222" s="13">
        <f>H222*Variables!$C$21</f>
        <v>74.40128154239811</v>
      </c>
      <c r="K222" s="13">
        <f t="shared" si="12"/>
        <v>83</v>
      </c>
      <c r="L222" s="54">
        <f t="shared" si="1"/>
        <v>0</v>
      </c>
      <c r="M222" s="56"/>
      <c r="N222" s="57"/>
      <c r="O222" s="57"/>
      <c r="P222" s="57"/>
      <c r="Q222" s="57"/>
      <c r="R222" s="57"/>
      <c r="S222" s="58">
        <v>0</v>
      </c>
      <c r="T222" s="59">
        <f>$L222*Variables!$C$22/100</f>
        <v>0</v>
      </c>
      <c r="U222" s="59">
        <f>$L222*Variables!$C$23/100</f>
        <v>0</v>
      </c>
      <c r="V222" s="59">
        <f>$L222*Variables!$C$24/100</f>
        <v>0</v>
      </c>
      <c r="W222" s="59">
        <f>$L222*Variables!$C$25/100</f>
        <v>0</v>
      </c>
      <c r="X222" s="62">
        <f>T222*Variables!$E$26*Variables!$C$18+'Cost Calculations'!U222*Variables!$E$27*Variables!$C$18+'Cost Calculations'!V222*Variables!$E$28*Variables!$C$18+W222*Variables!$E$29*Variables!$C$18</f>
        <v>0</v>
      </c>
      <c r="Y222" s="58">
        <f>J222*Variables!$E$30</f>
        <v>48732.839410270761</v>
      </c>
      <c r="Z222" s="1"/>
      <c r="AA222" s="245">
        <f>D222*(IF(D222&lt;Variables!$C$7,Variables!$C$38,IF(D222&gt;Variables!$C$6,Variables!$C$36,Variables!$C$37)))</f>
        <v>16.215278826467603</v>
      </c>
      <c r="AB222" s="64">
        <f t="shared" si="13"/>
        <v>16</v>
      </c>
      <c r="AC222" s="66">
        <f t="shared" si="2"/>
        <v>0</v>
      </c>
      <c r="AD222" s="62">
        <f>AC222*Variables!$E$41</f>
        <v>0</v>
      </c>
      <c r="AE222" s="71">
        <f>ROUND((H222/(3.14*Variables!$C$35^2)),0)</f>
        <v>5</v>
      </c>
      <c r="AF222" s="57">
        <f t="shared" si="14"/>
        <v>5</v>
      </c>
      <c r="AG222" s="57">
        <f t="shared" si="3"/>
        <v>0</v>
      </c>
      <c r="AH222" s="58">
        <f>AG222*Variables!$E$42*Variables!$C$18</f>
        <v>0</v>
      </c>
      <c r="AI222" s="73">
        <f t="shared" si="4"/>
        <v>0</v>
      </c>
      <c r="AJ222" s="66">
        <f t="shared" si="15"/>
        <v>0</v>
      </c>
      <c r="AK222" s="66">
        <f t="shared" si="5"/>
        <v>0</v>
      </c>
      <c r="AL222" s="62">
        <f>IF(AK222*Variables!$E$43*Variables!$C$18&lt;0,0,AK222*Variables!$E$43*Variables!$C$18)</f>
        <v>0</v>
      </c>
      <c r="AM222" s="58">
        <f>AA222*Variables!$E$39*Variables!$C$18</f>
        <v>4687063.8767382707</v>
      </c>
      <c r="AN222" s="1"/>
      <c r="AO222" s="76">
        <f t="shared" si="16"/>
        <v>0.67714285714285716</v>
      </c>
      <c r="AP222" s="76">
        <f t="shared" si="6"/>
        <v>138.42154285714284</v>
      </c>
      <c r="AQ222" s="75">
        <f>VLOOKUP(B222,'Household Information'!$B$2:$E$48,4,FALSE)</f>
        <v>65.935833333333335</v>
      </c>
      <c r="AR222" s="79">
        <f>IF(12*(AP222-Variables!$C$45*AQ222*F222)*(G222/5)&lt;0,0,12*(AP222-Variables!$C$45*AQ222*F222)*(G222/5))</f>
        <v>2392456.4434176777</v>
      </c>
      <c r="AS222" s="1"/>
      <c r="AT222" s="62">
        <v>0</v>
      </c>
      <c r="AU222" s="1"/>
    </row>
    <row r="223" spans="1:47" ht="14.25" customHeight="1">
      <c r="A223" s="1">
        <v>32</v>
      </c>
      <c r="B223" s="3" t="s">
        <v>225</v>
      </c>
      <c r="C223" s="1">
        <v>2023</v>
      </c>
      <c r="D223" s="13">
        <f>VLOOKUP(B223,Population!$B$1:$O$48,7,FALSE)</f>
        <v>29850.462463632128</v>
      </c>
      <c r="E223" s="13" t="str">
        <f t="shared" si="19"/>
        <v>Small</v>
      </c>
      <c r="F223" s="54">
        <f>VLOOKUP(B223,'Household Information'!$B$1:$E$48,2,FALSE)</f>
        <v>4.9791554357592096</v>
      </c>
      <c r="G223" s="54">
        <f t="shared" si="0"/>
        <v>5995.0854816165429</v>
      </c>
      <c r="H223" s="55">
        <f>IF(D223&gt;Variables!$C$6,H176,H176*(1+Variables!$C$9))</f>
        <v>3.5299046951550985</v>
      </c>
      <c r="I223" s="55"/>
      <c r="J223" s="13">
        <f>H223*Variables!$C$21</f>
        <v>63.538284512791776</v>
      </c>
      <c r="K223" s="13">
        <f t="shared" si="12"/>
        <v>61.508503884599982</v>
      </c>
      <c r="L223" s="54">
        <f t="shared" si="1"/>
        <v>2.0297806281917943</v>
      </c>
      <c r="M223" s="56"/>
      <c r="N223" s="57"/>
      <c r="O223" s="57"/>
      <c r="P223" s="57"/>
      <c r="Q223" s="57"/>
      <c r="R223" s="57"/>
      <c r="S223" s="58">
        <v>0</v>
      </c>
      <c r="T223" s="59">
        <f>$L223*Variables!$C$22/100</f>
        <v>0.11021433275249561</v>
      </c>
      <c r="U223" s="59">
        <f>$L223*Variables!$C$23/100</f>
        <v>0.19287508231686734</v>
      </c>
      <c r="V223" s="59">
        <f>$L223*Variables!$C$24/100</f>
        <v>0.20205961004624196</v>
      </c>
      <c r="W223" s="59">
        <f>$L223*Variables!$C$25/100</f>
        <v>1.4695244366999416</v>
      </c>
      <c r="X223" s="62">
        <f>T223*Variables!$E$26*Variables!$C$18+'Cost Calculations'!U223*Variables!$E$27*Variables!$C$18+'Cost Calculations'!V223*Variables!$E$28*Variables!$C$18+W223*Variables!$E$29*Variables!$C$18</f>
        <v>2307308.4280005633</v>
      </c>
      <c r="Y223" s="58">
        <f>J223*Variables!$E$30</f>
        <v>41617.576355878613</v>
      </c>
      <c r="Z223" s="1"/>
      <c r="AA223" s="245">
        <f>D223*(IF(D223&lt;Variables!$C$7,Variables!$C$38,IF(D223&gt;Variables!$C$6,Variables!$C$36,Variables!$C$37)))</f>
        <v>14.925231231816063</v>
      </c>
      <c r="AB223" s="64">
        <f t="shared" si="13"/>
        <v>15</v>
      </c>
      <c r="AC223" s="66">
        <f t="shared" si="2"/>
        <v>0</v>
      </c>
      <c r="AD223" s="62">
        <f>AC223*Variables!$E$41</f>
        <v>0</v>
      </c>
      <c r="AE223" s="71">
        <f>ROUND((H223/(3.14*Variables!$C$35^2)),0)</f>
        <v>4</v>
      </c>
      <c r="AF223" s="57">
        <f t="shared" si="14"/>
        <v>4</v>
      </c>
      <c r="AG223" s="57">
        <f t="shared" si="3"/>
        <v>0</v>
      </c>
      <c r="AH223" s="58">
        <f>AG223*Variables!$E$42*Variables!$C$18</f>
        <v>0</v>
      </c>
      <c r="AI223" s="73">
        <f t="shared" si="4"/>
        <v>0</v>
      </c>
      <c r="AJ223" s="66">
        <f t="shared" si="15"/>
        <v>1</v>
      </c>
      <c r="AK223" s="66">
        <f t="shared" si="5"/>
        <v>0</v>
      </c>
      <c r="AL223" s="62">
        <f>IF(AK223*Variables!$E$43*Variables!$C$18&lt;0,0,AK223*Variables!$E$43*Variables!$C$18)</f>
        <v>0</v>
      </c>
      <c r="AM223" s="58">
        <f>AA223*Variables!$E$39*Variables!$C$18</f>
        <v>4314172.6335550332</v>
      </c>
      <c r="AN223" s="1"/>
      <c r="AO223" s="76">
        <f t="shared" si="16"/>
        <v>0.67714285714285716</v>
      </c>
      <c r="AP223" s="76">
        <f t="shared" si="6"/>
        <v>202.29597227570272</v>
      </c>
      <c r="AQ223" s="75">
        <f>VLOOKUP(B223,'Household Information'!$B$2:$E$48,4,FALSE)</f>
        <v>65.935833333333335</v>
      </c>
      <c r="AR223" s="79">
        <f>IF(12*(AP223-Variables!$C$45*AQ223*F223)*(G223/5)&lt;0,0,12*(AP223-Variables!$C$45*AQ223*F223)*(G223/5))</f>
        <v>2202118.5088579739</v>
      </c>
      <c r="AS223" s="1"/>
      <c r="AT223" s="62">
        <v>0</v>
      </c>
      <c r="AU223" s="1"/>
    </row>
    <row r="224" spans="1:47" ht="14.25" customHeight="1">
      <c r="A224" s="1">
        <v>33</v>
      </c>
      <c r="B224" s="3" t="s">
        <v>226</v>
      </c>
      <c r="C224" s="1">
        <v>2023</v>
      </c>
      <c r="D224" s="13">
        <f>VLOOKUP(B224,Population!$B$1:$O$48,7,FALSE)</f>
        <v>127984.57151347531</v>
      </c>
      <c r="E224" s="13" t="str">
        <f t="shared" si="19"/>
        <v>Medium</v>
      </c>
      <c r="F224" s="54">
        <f>VLOOKUP(B224,'Household Information'!$B$1:$E$48,2,FALSE)</f>
        <v>2.6362587373793409</v>
      </c>
      <c r="G224" s="54">
        <f t="shared" si="0"/>
        <v>48547.803635049328</v>
      </c>
      <c r="H224" s="55">
        <f>IF(D224&gt;Variables!$C$6,H177,H177*(1+Variables!$C$9))</f>
        <v>12.015102013299996</v>
      </c>
      <c r="I224" s="55"/>
      <c r="J224" s="13">
        <f>H224*Variables!$C$21</f>
        <v>216.27183623939993</v>
      </c>
      <c r="K224" s="13">
        <f t="shared" si="12"/>
        <v>216.27183623939993</v>
      </c>
      <c r="L224" s="54">
        <f t="shared" si="1"/>
        <v>0</v>
      </c>
      <c r="M224" s="56"/>
      <c r="N224" s="57"/>
      <c r="O224" s="57"/>
      <c r="P224" s="57"/>
      <c r="Q224" s="57"/>
      <c r="R224" s="57"/>
      <c r="S224" s="58">
        <v>0</v>
      </c>
      <c r="T224" s="59">
        <f>$L224*Variables!$C$22/100</f>
        <v>0</v>
      </c>
      <c r="U224" s="59">
        <f>$L224*Variables!$C$23/100</f>
        <v>0</v>
      </c>
      <c r="V224" s="59">
        <f>$L224*Variables!$C$24/100</f>
        <v>0</v>
      </c>
      <c r="W224" s="59">
        <f>$L224*Variables!$C$25/100</f>
        <v>0</v>
      </c>
      <c r="X224" s="62">
        <f>T224*Variables!$E$26*Variables!$C$18+'Cost Calculations'!U224*Variables!$E$27*Variables!$C$18+'Cost Calculations'!V224*Variables!$E$28*Variables!$C$18+W224*Variables!$E$29*Variables!$C$18</f>
        <v>0</v>
      </c>
      <c r="Y224" s="58">
        <f>J224*Variables!$E$30</f>
        <v>141658.05273680695</v>
      </c>
      <c r="Z224" s="1"/>
      <c r="AA224" s="245">
        <f>D224*(IF(D224&lt;Variables!$C$7,Variables!$C$38,IF(D224&gt;Variables!$C$6,Variables!$C$36,Variables!$C$37)))</f>
        <v>153.58148581617036</v>
      </c>
      <c r="AB224" s="64">
        <f t="shared" si="13"/>
        <v>151</v>
      </c>
      <c r="AC224" s="66">
        <f t="shared" si="2"/>
        <v>3</v>
      </c>
      <c r="AD224" s="62">
        <f>AC224*Variables!$E$41</f>
        <v>1612800</v>
      </c>
      <c r="AE224" s="71">
        <f>ROUND((H224/(3.14*Variables!$C$35^2)),0)</f>
        <v>15</v>
      </c>
      <c r="AF224" s="57">
        <f t="shared" si="14"/>
        <v>15</v>
      </c>
      <c r="AG224" s="57">
        <f t="shared" si="3"/>
        <v>0</v>
      </c>
      <c r="AH224" s="58">
        <f>AG224*Variables!$E$42*Variables!$C$18</f>
        <v>0</v>
      </c>
      <c r="AI224" s="73">
        <f t="shared" si="4"/>
        <v>1</v>
      </c>
      <c r="AJ224" s="66">
        <f t="shared" si="15"/>
        <v>1</v>
      </c>
      <c r="AK224" s="66">
        <f t="shared" si="5"/>
        <v>0</v>
      </c>
      <c r="AL224" s="62">
        <f>IF(AK224*Variables!$E$43*Variables!$C$18&lt;0,0,AK224*Variables!$E$43*Variables!$C$18)</f>
        <v>0</v>
      </c>
      <c r="AM224" s="58">
        <f>AA224*Variables!$E$39*Variables!$C$18</f>
        <v>44393083.955471963</v>
      </c>
      <c r="AN224" s="1"/>
      <c r="AO224" s="76">
        <f t="shared" si="16"/>
        <v>0.67714285714285716</v>
      </c>
      <c r="AP224" s="76">
        <f t="shared" si="6"/>
        <v>107.10742641581207</v>
      </c>
      <c r="AQ224" s="75">
        <f>VLOOKUP(B224,'Household Information'!$B$2:$E$48,4,FALSE)</f>
        <v>40.760000000000005</v>
      </c>
      <c r="AR224" s="79">
        <f>IF(12*(AP224-Variables!$C$45*AQ224*F224)*(G224/5)&lt;0,0,12*(AP224-Variables!$C$45*AQ224*F224)*(G224/5))</f>
        <v>10601598.324616684</v>
      </c>
      <c r="AS224" s="1"/>
      <c r="AT224" s="62">
        <v>0</v>
      </c>
      <c r="AU224" s="1"/>
    </row>
    <row r="225" spans="1:47" ht="14.25" customHeight="1">
      <c r="A225" s="1">
        <v>34</v>
      </c>
      <c r="B225" s="3" t="s">
        <v>227</v>
      </c>
      <c r="C225" s="1">
        <v>2023</v>
      </c>
      <c r="D225" s="13">
        <f>VLOOKUP(B225,Population!$B$1:$O$48,7,FALSE)</f>
        <v>113671.77623786753</v>
      </c>
      <c r="E225" s="13" t="str">
        <f t="shared" si="19"/>
        <v>Medium</v>
      </c>
      <c r="F225" s="54">
        <f>VLOOKUP(B225,'Household Information'!$B$1:$E$48,2,FALSE)</f>
        <v>2.8808529227072923</v>
      </c>
      <c r="G225" s="54">
        <f t="shared" si="0"/>
        <v>39457.681210272982</v>
      </c>
      <c r="H225" s="55">
        <f>IF(D225&gt;Variables!$C$6,H178,H178*(1+Variables!$C$9))</f>
        <v>8.2342029393899967</v>
      </c>
      <c r="I225" s="55"/>
      <c r="J225" s="13">
        <f>H225*Variables!$C$21</f>
        <v>148.21565290901995</v>
      </c>
      <c r="K225" s="13">
        <f t="shared" si="12"/>
        <v>148.21565290901995</v>
      </c>
      <c r="L225" s="54">
        <f t="shared" si="1"/>
        <v>0</v>
      </c>
      <c r="M225" s="56"/>
      <c r="N225" s="57"/>
      <c r="O225" s="57"/>
      <c r="P225" s="57"/>
      <c r="Q225" s="57"/>
      <c r="R225" s="57"/>
      <c r="S225" s="58">
        <v>0</v>
      </c>
      <c r="T225" s="59">
        <f>$L225*Variables!$C$22/100</f>
        <v>0</v>
      </c>
      <c r="U225" s="59">
        <f>$L225*Variables!$C$23/100</f>
        <v>0</v>
      </c>
      <c r="V225" s="59">
        <f>$L225*Variables!$C$24/100</f>
        <v>0</v>
      </c>
      <c r="W225" s="59">
        <f>$L225*Variables!$C$25/100</f>
        <v>0</v>
      </c>
      <c r="X225" s="62">
        <f>T225*Variables!$E$26*Variables!$C$18+'Cost Calculations'!U225*Variables!$E$27*Variables!$C$18+'Cost Calculations'!V225*Variables!$E$28*Variables!$C$18+W225*Variables!$E$29*Variables!$C$18</f>
        <v>0</v>
      </c>
      <c r="Y225" s="58">
        <f>J225*Variables!$E$30</f>
        <v>97081.252655408069</v>
      </c>
      <c r="Z225" s="1"/>
      <c r="AA225" s="245">
        <f>D225*(IF(D225&lt;Variables!$C$7,Variables!$C$38,IF(D225&gt;Variables!$C$6,Variables!$C$36,Variables!$C$37)))</f>
        <v>136.40613148544102</v>
      </c>
      <c r="AB225" s="64">
        <f t="shared" si="13"/>
        <v>134</v>
      </c>
      <c r="AC225" s="66">
        <f t="shared" si="2"/>
        <v>2</v>
      </c>
      <c r="AD225" s="62">
        <f>AC225*Variables!$E$41</f>
        <v>1075200</v>
      </c>
      <c r="AE225" s="71">
        <f>ROUND((H225/(3.14*Variables!$C$35^2)),0)</f>
        <v>10</v>
      </c>
      <c r="AF225" s="57">
        <f t="shared" si="14"/>
        <v>10</v>
      </c>
      <c r="AG225" s="57">
        <f t="shared" si="3"/>
        <v>0</v>
      </c>
      <c r="AH225" s="58">
        <f>AG225*Variables!$E$42*Variables!$C$18</f>
        <v>0</v>
      </c>
      <c r="AI225" s="73">
        <f t="shared" si="4"/>
        <v>1</v>
      </c>
      <c r="AJ225" s="66">
        <f t="shared" si="15"/>
        <v>1</v>
      </c>
      <c r="AK225" s="66">
        <f t="shared" si="5"/>
        <v>0</v>
      </c>
      <c r="AL225" s="62">
        <f>IF(AK225*Variables!$E$43*Variables!$C$18&lt;0,0,AK225*Variables!$E$43*Variables!$C$18)</f>
        <v>0</v>
      </c>
      <c r="AM225" s="58">
        <f>AA225*Variables!$E$39*Variables!$C$18</f>
        <v>39428508.032032318</v>
      </c>
      <c r="AN225" s="1"/>
      <c r="AO225" s="76">
        <f t="shared" si="16"/>
        <v>0.67714285714285716</v>
      </c>
      <c r="AP225" s="76">
        <f t="shared" si="6"/>
        <v>117.04493874542199</v>
      </c>
      <c r="AQ225" s="75">
        <f>VLOOKUP(B225,'Household Information'!$B$2:$E$48,4,FALSE)</f>
        <v>40.760000000000005</v>
      </c>
      <c r="AR225" s="79">
        <f>IF(12*(AP225-Variables!$C$45*AQ225*F225)*(G225/5)&lt;0,0,12*(AP225-Variables!$C$45*AQ225*F225)*(G225/5))</f>
        <v>9415998.3368987199</v>
      </c>
      <c r="AS225" s="1"/>
      <c r="AT225" s="62">
        <v>0</v>
      </c>
      <c r="AU225" s="1"/>
    </row>
    <row r="226" spans="1:47" ht="14.25" customHeight="1">
      <c r="A226" s="1">
        <v>35</v>
      </c>
      <c r="B226" s="3" t="s">
        <v>228</v>
      </c>
      <c r="C226" s="1">
        <v>2023</v>
      </c>
      <c r="D226" s="13">
        <f>VLOOKUP(B226,Population!$B$1:$O$48,7,FALSE)</f>
        <v>519144.23875588388</v>
      </c>
      <c r="E226" s="13" t="str">
        <f t="shared" si="19"/>
        <v>Medium</v>
      </c>
      <c r="F226" s="54">
        <f>VLOOKUP(B226,'Household Information'!$B$1:$E$48,2,FALSE)</f>
        <v>2.7382605632202197</v>
      </c>
      <c r="G226" s="54">
        <f t="shared" si="0"/>
        <v>189589.05727560326</v>
      </c>
      <c r="H226" s="55">
        <f>IF(D226&gt;Variables!$C$6,H179,H179*(1+Variables!$C$9))</f>
        <v>24.726831923274581</v>
      </c>
      <c r="I226" s="55"/>
      <c r="J226" s="13">
        <f>H226*Variables!$C$21</f>
        <v>445.08297461894244</v>
      </c>
      <c r="K226" s="13">
        <f t="shared" si="12"/>
        <v>445.08297461894244</v>
      </c>
      <c r="L226" s="54">
        <f t="shared" si="1"/>
        <v>0</v>
      </c>
      <c r="M226" s="56"/>
      <c r="N226" s="57"/>
      <c r="O226" s="57"/>
      <c r="P226" s="57"/>
      <c r="Q226" s="57"/>
      <c r="R226" s="57"/>
      <c r="S226" s="58">
        <v>0</v>
      </c>
      <c r="T226" s="59">
        <f>$L226*Variables!$C$22/100</f>
        <v>0</v>
      </c>
      <c r="U226" s="59">
        <f>$L226*Variables!$C$23/100</f>
        <v>0</v>
      </c>
      <c r="V226" s="59">
        <f>$L226*Variables!$C$24/100</f>
        <v>0</v>
      </c>
      <c r="W226" s="59">
        <f>$L226*Variables!$C$25/100</f>
        <v>0</v>
      </c>
      <c r="X226" s="62">
        <f>T226*Variables!$E$26*Variables!$C$18+'Cost Calculations'!U226*Variables!$E$27*Variables!$C$18+'Cost Calculations'!V226*Variables!$E$28*Variables!$C$18+W226*Variables!$E$29*Variables!$C$18</f>
        <v>0</v>
      </c>
      <c r="Y226" s="58">
        <f>J226*Variables!$E$30</f>
        <v>291529.34837540728</v>
      </c>
      <c r="Z226" s="1"/>
      <c r="AA226" s="245">
        <f>D226*(IF(D226&lt;Variables!$C$7,Variables!$C$38,IF(D226&gt;Variables!$C$6,Variables!$C$36,Variables!$C$37)))</f>
        <v>622.97308650706066</v>
      </c>
      <c r="AB226" s="64">
        <f t="shared" si="13"/>
        <v>614</v>
      </c>
      <c r="AC226" s="66">
        <f t="shared" si="2"/>
        <v>9</v>
      </c>
      <c r="AD226" s="62">
        <f>AC226*Variables!$E$41</f>
        <v>4838400</v>
      </c>
      <c r="AE226" s="71">
        <f>ROUND((H226/(3.14*Variables!$C$35^2)),0)</f>
        <v>31</v>
      </c>
      <c r="AF226" s="57">
        <f t="shared" si="14"/>
        <v>31</v>
      </c>
      <c r="AG226" s="57">
        <f t="shared" si="3"/>
        <v>0</v>
      </c>
      <c r="AH226" s="58">
        <f>AG226*Variables!$E$42*Variables!$C$18</f>
        <v>0</v>
      </c>
      <c r="AI226" s="73">
        <f t="shared" si="4"/>
        <v>5</v>
      </c>
      <c r="AJ226" s="66">
        <f t="shared" si="15"/>
        <v>5</v>
      </c>
      <c r="AK226" s="66">
        <f t="shared" si="5"/>
        <v>0</v>
      </c>
      <c r="AL226" s="62">
        <f>IF(AK226*Variables!$E$43*Variables!$C$18&lt;0,0,AK226*Variables!$E$43*Variables!$C$18)</f>
        <v>0</v>
      </c>
      <c r="AM226" s="58">
        <f>AA226*Variables!$E$39*Variables!$C$18</f>
        <v>180071812.59080914</v>
      </c>
      <c r="AN226" s="1"/>
      <c r="AO226" s="76">
        <f t="shared" si="16"/>
        <v>0.67714285714285716</v>
      </c>
      <c r="AP226" s="76">
        <f t="shared" si="6"/>
        <v>111.25161488283292</v>
      </c>
      <c r="AQ226" s="75">
        <f>VLOOKUP(B226,'Household Information'!$B$2:$E$48,4,FALSE)</f>
        <v>40.760000000000005</v>
      </c>
      <c r="AR226" s="79">
        <f>IF(12*(AP226-Variables!$C$45*AQ226*F226)*(G226/5)&lt;0,0,12*(AP226-Variables!$C$45*AQ226*F226)*(G226/5))</f>
        <v>43003298.184651107</v>
      </c>
      <c r="AS226" s="1"/>
      <c r="AT226" s="62">
        <v>0</v>
      </c>
      <c r="AU226" s="1"/>
    </row>
    <row r="227" spans="1:47" ht="14.25" customHeight="1">
      <c r="A227" s="1">
        <v>36</v>
      </c>
      <c r="B227" s="3" t="s">
        <v>229</v>
      </c>
      <c r="C227" s="1">
        <v>2023</v>
      </c>
      <c r="D227" s="13">
        <f>VLOOKUP(B227,Population!$B$1:$O$48,7,FALSE)</f>
        <v>278418.66438389709</v>
      </c>
      <c r="E227" s="13" t="str">
        <f t="shared" si="19"/>
        <v>Medium</v>
      </c>
      <c r="F227" s="54">
        <f>VLOOKUP(B227,'Household Information'!$B$1:$E$48,2,FALSE)</f>
        <v>2.7303604631507774</v>
      </c>
      <c r="G227" s="54">
        <f t="shared" si="0"/>
        <v>101971.39467167933</v>
      </c>
      <c r="H227" s="55">
        <f>IF(D227&gt;Variables!$C$6,H180,H180*(1+Variables!$C$9))</f>
        <v>25.407115316792478</v>
      </c>
      <c r="I227" s="55"/>
      <c r="J227" s="13">
        <f>H227*Variables!$C$21</f>
        <v>457.32807570226458</v>
      </c>
      <c r="K227" s="13">
        <f t="shared" si="12"/>
        <v>457.32807570226458</v>
      </c>
      <c r="L227" s="54">
        <f t="shared" si="1"/>
        <v>0</v>
      </c>
      <c r="M227" s="56"/>
      <c r="N227" s="57"/>
      <c r="O227" s="57"/>
      <c r="P227" s="57"/>
      <c r="Q227" s="57"/>
      <c r="R227" s="57"/>
      <c r="S227" s="58">
        <v>0</v>
      </c>
      <c r="T227" s="59">
        <f>$L227*Variables!$C$22/100</f>
        <v>0</v>
      </c>
      <c r="U227" s="59">
        <f>$L227*Variables!$C$23/100</f>
        <v>0</v>
      </c>
      <c r="V227" s="59">
        <f>$L227*Variables!$C$24/100</f>
        <v>0</v>
      </c>
      <c r="W227" s="59">
        <f>$L227*Variables!$C$25/100</f>
        <v>0</v>
      </c>
      <c r="X227" s="62">
        <f>T227*Variables!$E$26*Variables!$C$18+'Cost Calculations'!U227*Variables!$E$27*Variables!$C$18+'Cost Calculations'!V227*Variables!$E$28*Variables!$C$18+W227*Variables!$E$29*Variables!$C$18</f>
        <v>0</v>
      </c>
      <c r="Y227" s="58">
        <f>J227*Variables!$E$30</f>
        <v>299549.88958498329</v>
      </c>
      <c r="Z227" s="1"/>
      <c r="AA227" s="245">
        <f>D227*(IF(D227&lt;Variables!$C$7,Variables!$C$38,IF(D227&gt;Variables!$C$6,Variables!$C$36,Variables!$C$37)))</f>
        <v>334.10239726067647</v>
      </c>
      <c r="AB227" s="64">
        <f t="shared" si="13"/>
        <v>329</v>
      </c>
      <c r="AC227" s="66">
        <f t="shared" si="2"/>
        <v>5</v>
      </c>
      <c r="AD227" s="62">
        <f>AC227*Variables!$E$41</f>
        <v>2688000</v>
      </c>
      <c r="AE227" s="71">
        <f>ROUND((H227/(3.14*Variables!$C$35^2)),0)</f>
        <v>32</v>
      </c>
      <c r="AF227" s="57">
        <f t="shared" si="14"/>
        <v>32</v>
      </c>
      <c r="AG227" s="57">
        <f t="shared" si="3"/>
        <v>0</v>
      </c>
      <c r="AH227" s="58">
        <f>AG227*Variables!$E$42*Variables!$C$18</f>
        <v>0</v>
      </c>
      <c r="AI227" s="73">
        <f t="shared" si="4"/>
        <v>3</v>
      </c>
      <c r="AJ227" s="66">
        <f t="shared" si="15"/>
        <v>3</v>
      </c>
      <c r="AK227" s="66">
        <f t="shared" si="5"/>
        <v>0</v>
      </c>
      <c r="AL227" s="62">
        <f>IF(AK227*Variables!$E$43*Variables!$C$18&lt;0,0,AK227*Variables!$E$43*Variables!$C$18)</f>
        <v>0</v>
      </c>
      <c r="AM227" s="58">
        <f>AA227*Variables!$E$39*Variables!$C$18</f>
        <v>96573071.242914319</v>
      </c>
      <c r="AN227" s="1"/>
      <c r="AO227" s="76">
        <f t="shared" si="16"/>
        <v>0.67714285714285716</v>
      </c>
      <c r="AP227" s="76">
        <f t="shared" si="6"/>
        <v>110.93064510286872</v>
      </c>
      <c r="AQ227" s="75">
        <f>VLOOKUP(B227,'Household Information'!$B$2:$E$48,4,FALSE)</f>
        <v>27.28</v>
      </c>
      <c r="AR227" s="79">
        <f>IF(12*(AP227-Variables!$C$45*AQ227*F227)*(G227/5)&lt;0,0,12*(AP227-Variables!$C$45*AQ227*F227)*(G227/5))</f>
        <v>24413912.203943312</v>
      </c>
      <c r="AS227" s="1"/>
      <c r="AT227" s="62">
        <v>0</v>
      </c>
      <c r="AU227" s="1"/>
    </row>
    <row r="228" spans="1:47" ht="14.25" customHeight="1">
      <c r="A228" s="1">
        <v>37</v>
      </c>
      <c r="B228" s="3" t="s">
        <v>230</v>
      </c>
      <c r="C228" s="1">
        <v>2023</v>
      </c>
      <c r="D228" s="13">
        <f>VLOOKUP(B228,Population!$B$1:$O$48,7,FALSE)</f>
        <v>129771.7856759195</v>
      </c>
      <c r="E228" s="13" t="str">
        <f t="shared" si="19"/>
        <v>Medium</v>
      </c>
      <c r="F228" s="54">
        <f>VLOOKUP(B228,'Household Information'!$B$1:$E$48,2,FALSE)</f>
        <v>2.4882673717260184</v>
      </c>
      <c r="G228" s="54">
        <f t="shared" si="0"/>
        <v>52153.473196050327</v>
      </c>
      <c r="H228" s="55">
        <f>IF(D228&gt;Variables!$C$6,H181,H181*(1+Variables!$C$9))</f>
        <v>33.664331695979989</v>
      </c>
      <c r="I228" s="55"/>
      <c r="J228" s="13">
        <f>H228*Variables!$C$21</f>
        <v>605.95797052763976</v>
      </c>
      <c r="K228" s="13">
        <f t="shared" si="12"/>
        <v>605.95797052763976</v>
      </c>
      <c r="L228" s="54">
        <f t="shared" si="1"/>
        <v>0</v>
      </c>
      <c r="M228" s="56"/>
      <c r="N228" s="57"/>
      <c r="O228" s="57"/>
      <c r="P228" s="57"/>
      <c r="Q228" s="57"/>
      <c r="R228" s="57"/>
      <c r="S228" s="58">
        <v>0</v>
      </c>
      <c r="T228" s="59">
        <f>$L228*Variables!$C$22/100</f>
        <v>0</v>
      </c>
      <c r="U228" s="59">
        <f>$L228*Variables!$C$23/100</f>
        <v>0</v>
      </c>
      <c r="V228" s="59">
        <f>$L228*Variables!$C$24/100</f>
        <v>0</v>
      </c>
      <c r="W228" s="59">
        <f>$L228*Variables!$C$25/100</f>
        <v>0</v>
      </c>
      <c r="X228" s="62">
        <f>T228*Variables!$E$26*Variables!$C$18+'Cost Calculations'!U228*Variables!$E$27*Variables!$C$18+'Cost Calculations'!V228*Variables!$E$28*Variables!$C$18+W228*Variables!$E$29*Variables!$C$18</f>
        <v>0</v>
      </c>
      <c r="Y228" s="58">
        <f>J228*Variables!$E$30</f>
        <v>396902.47069560405</v>
      </c>
      <c r="Z228" s="1"/>
      <c r="AA228" s="245">
        <f>D228*(IF(D228&lt;Variables!$C$7,Variables!$C$38,IF(D228&gt;Variables!$C$6,Variables!$C$36,Variables!$C$37)))</f>
        <v>155.72614281110339</v>
      </c>
      <c r="AB228" s="64">
        <f t="shared" si="13"/>
        <v>153</v>
      </c>
      <c r="AC228" s="66">
        <f t="shared" si="2"/>
        <v>3</v>
      </c>
      <c r="AD228" s="62">
        <f>AC228*Variables!$E$41</f>
        <v>1612800</v>
      </c>
      <c r="AE228" s="71">
        <f>ROUND((H228/(3.14*Variables!$C$35^2)),0)</f>
        <v>43</v>
      </c>
      <c r="AF228" s="57">
        <f t="shared" si="14"/>
        <v>43</v>
      </c>
      <c r="AG228" s="57">
        <f t="shared" si="3"/>
        <v>0</v>
      </c>
      <c r="AH228" s="58">
        <f>AG228*Variables!$E$42*Variables!$C$18</f>
        <v>0</v>
      </c>
      <c r="AI228" s="73">
        <f t="shared" si="4"/>
        <v>1</v>
      </c>
      <c r="AJ228" s="66">
        <f t="shared" si="15"/>
        <v>1</v>
      </c>
      <c r="AK228" s="66">
        <f t="shared" si="5"/>
        <v>0</v>
      </c>
      <c r="AL228" s="62">
        <f>IF(AK228*Variables!$E$43*Variables!$C$18&lt;0,0,AK228*Variables!$E$43*Variables!$C$18)</f>
        <v>0</v>
      </c>
      <c r="AM228" s="58">
        <f>AA228*Variables!$E$39*Variables!$C$18</f>
        <v>45013002.023888826</v>
      </c>
      <c r="AN228" s="1"/>
      <c r="AO228" s="76">
        <f t="shared" si="16"/>
        <v>0.67714285714285716</v>
      </c>
      <c r="AP228" s="76">
        <f t="shared" si="6"/>
        <v>101.09474864555423</v>
      </c>
      <c r="AQ228" s="75">
        <f>VLOOKUP(B228,'Household Information'!$B$2:$E$48,4,FALSE)</f>
        <v>40.760000000000005</v>
      </c>
      <c r="AR228" s="79">
        <f>IF(12*(AP228-Variables!$C$45*AQ228*F228)*(G228/5)&lt;0,0,12*(AP228-Variables!$C$45*AQ228*F228)*(G228/5))</f>
        <v>10749642.158699486</v>
      </c>
      <c r="AS228" s="1"/>
      <c r="AT228" s="62">
        <v>0</v>
      </c>
      <c r="AU228" s="1"/>
    </row>
    <row r="229" spans="1:47" ht="14.25" customHeight="1">
      <c r="A229" s="1">
        <v>38</v>
      </c>
      <c r="B229" s="3" t="s">
        <v>231</v>
      </c>
      <c r="C229" s="1">
        <v>2023</v>
      </c>
      <c r="D229" s="13">
        <f>VLOOKUP(B229,Population!$B$1:$O$48,7,FALSE)</f>
        <v>38303.91004211281</v>
      </c>
      <c r="E229" s="13" t="str">
        <f t="shared" si="19"/>
        <v>Small</v>
      </c>
      <c r="F229" s="54">
        <f>VLOOKUP(B229,'Household Information'!$B$1:$E$48,2,FALSE)</f>
        <v>3.5815854318168161</v>
      </c>
      <c r="G229" s="54">
        <f t="shared" si="0"/>
        <v>10694.679987762443</v>
      </c>
      <c r="H229" s="55">
        <f>IF(D229&gt;Variables!$C$6,H182,H182*(1+Variables!$C$9))</f>
        <v>4.0992441621155988</v>
      </c>
      <c r="I229" s="55"/>
      <c r="J229" s="13">
        <f>H229*Variables!$C$21</f>
        <v>73.786394918080774</v>
      </c>
      <c r="K229" s="13">
        <f t="shared" si="12"/>
        <v>71.429230317599988</v>
      </c>
      <c r="L229" s="54">
        <f t="shared" si="1"/>
        <v>2.357164600480786</v>
      </c>
      <c r="M229" s="56"/>
      <c r="N229" s="57"/>
      <c r="O229" s="57"/>
      <c r="P229" s="57"/>
      <c r="Q229" s="57"/>
      <c r="R229" s="57"/>
      <c r="S229" s="58">
        <v>0</v>
      </c>
      <c r="T229" s="59">
        <f>$L229*Variables!$C$22/100</f>
        <v>0.12799083803515579</v>
      </c>
      <c r="U229" s="59">
        <f>$L229*Variables!$C$23/100</f>
        <v>0.22398396656152264</v>
      </c>
      <c r="V229" s="59">
        <f>$L229*Variables!$C$24/100</f>
        <v>0.23464986973111898</v>
      </c>
      <c r="W229" s="59">
        <f>$L229*Variables!$C$25/100</f>
        <v>1.7065445071354106</v>
      </c>
      <c r="X229" s="62">
        <f>T229*Variables!$E$26*Variables!$C$18+'Cost Calculations'!U229*Variables!$E$27*Variables!$C$18+'Cost Calculations'!V229*Variables!$E$28*Variables!$C$18+W229*Variables!$E$29*Variables!$C$18</f>
        <v>2679454.9486458069</v>
      </c>
      <c r="Y229" s="58">
        <f>J229*Variables!$E$30</f>
        <v>48330.088671342906</v>
      </c>
      <c r="Z229" s="1"/>
      <c r="AA229" s="245">
        <f>D229*(IF(D229&lt;Variables!$C$7,Variables!$C$38,IF(D229&gt;Variables!$C$6,Variables!$C$36,Variables!$C$37)))</f>
        <v>19.151955021056406</v>
      </c>
      <c r="AB229" s="64">
        <f t="shared" si="13"/>
        <v>19</v>
      </c>
      <c r="AC229" s="66">
        <f t="shared" si="2"/>
        <v>0</v>
      </c>
      <c r="AD229" s="62">
        <f>AC229*Variables!$E$41</f>
        <v>0</v>
      </c>
      <c r="AE229" s="71">
        <f>ROUND((H229/(3.14*Variables!$C$35^2)),0)</f>
        <v>5</v>
      </c>
      <c r="AF229" s="57">
        <f t="shared" si="14"/>
        <v>5</v>
      </c>
      <c r="AG229" s="57">
        <f t="shared" si="3"/>
        <v>0</v>
      </c>
      <c r="AH229" s="58">
        <f>AG229*Variables!$E$42*Variables!$C$18</f>
        <v>0</v>
      </c>
      <c r="AI229" s="73">
        <f t="shared" si="4"/>
        <v>0</v>
      </c>
      <c r="AJ229" s="66">
        <f t="shared" si="15"/>
        <v>0</v>
      </c>
      <c r="AK229" s="66">
        <f t="shared" si="5"/>
        <v>0</v>
      </c>
      <c r="AL229" s="62">
        <f>IF(AK229*Variables!$E$43*Variables!$C$18&lt;0,0,AK229*Variables!$E$43*Variables!$C$18)</f>
        <v>0</v>
      </c>
      <c r="AM229" s="58">
        <f>AA229*Variables!$E$39*Variables!$C$18</f>
        <v>5535916.9280263735</v>
      </c>
      <c r="AN229" s="1"/>
      <c r="AO229" s="76">
        <f t="shared" si="16"/>
        <v>0.67714285714285716</v>
      </c>
      <c r="AP229" s="76">
        <f t="shared" si="6"/>
        <v>145.51469954410035</v>
      </c>
      <c r="AQ229" s="75">
        <f>VLOOKUP(B229,'Household Information'!$B$2:$E$48,4,FALSE)</f>
        <v>40.760000000000005</v>
      </c>
      <c r="AR229" s="79">
        <f>IF(12*(AP229-Variables!$C$45*AQ229*F229)*(G229/5)&lt;0,0,12*(AP229-Variables!$C$45*AQ229*F229)*(G229/5))</f>
        <v>3172903.2939409846</v>
      </c>
      <c r="AS229" s="1"/>
      <c r="AT229" s="62">
        <v>0</v>
      </c>
      <c r="AU229" s="1"/>
    </row>
    <row r="230" spans="1:47" ht="14.25" customHeight="1">
      <c r="A230" s="1">
        <v>39</v>
      </c>
      <c r="B230" s="3" t="s">
        <v>232</v>
      </c>
      <c r="C230" s="1">
        <v>2023</v>
      </c>
      <c r="D230" s="13">
        <f>VLOOKUP(B230,Population!$B$1:$O$48,7,FALSE)</f>
        <v>72305.14777271144</v>
      </c>
      <c r="E230" s="13" t="str">
        <f t="shared" si="19"/>
        <v>Small</v>
      </c>
      <c r="F230" s="54">
        <f>VLOOKUP(B230,'Household Information'!$B$1:$E$48,2,FALSE)</f>
        <v>3.4614749871067563</v>
      </c>
      <c r="G230" s="54">
        <f t="shared" si="0"/>
        <v>20888.536835318017</v>
      </c>
      <c r="H230" s="55">
        <f>IF(D230&gt;Variables!$C$6,H183,H183*(1+Variables!$C$9))</f>
        <v>6.684045342116268</v>
      </c>
      <c r="I230" s="55"/>
      <c r="J230" s="13">
        <f>H230*Variables!$C$21</f>
        <v>120.31281615809283</v>
      </c>
      <c r="K230" s="13">
        <f t="shared" si="12"/>
        <v>116.46932832341997</v>
      </c>
      <c r="L230" s="54">
        <f t="shared" si="1"/>
        <v>3.8434878346728567</v>
      </c>
      <c r="M230" s="56"/>
      <c r="N230" s="57"/>
      <c r="O230" s="57"/>
      <c r="P230" s="57"/>
      <c r="Q230" s="57"/>
      <c r="R230" s="57"/>
      <c r="S230" s="58">
        <v>0</v>
      </c>
      <c r="T230" s="59">
        <f>$L230*Variables!$C$22/100</f>
        <v>0.20869617201843563</v>
      </c>
      <c r="U230" s="59">
        <f>$L230*Variables!$C$23/100</f>
        <v>0.36521830103226244</v>
      </c>
      <c r="V230" s="59">
        <f>$L230*Variables!$C$24/100</f>
        <v>0.38260964870046538</v>
      </c>
      <c r="W230" s="59">
        <f>$L230*Variables!$C$25/100</f>
        <v>2.7826156269124755</v>
      </c>
      <c r="X230" s="62">
        <f>T230*Variables!$E$26*Variables!$C$18+'Cost Calculations'!U230*Variables!$E$27*Variables!$C$18+'Cost Calculations'!V230*Variables!$E$28*Variables!$C$18+W230*Variables!$E$29*Variables!$C$18</f>
        <v>4369000.1523752697</v>
      </c>
      <c r="Y230" s="58">
        <f>J230*Variables!$E$30</f>
        <v>78804.894583550806</v>
      </c>
      <c r="Z230" s="1"/>
      <c r="AA230" s="245">
        <f>D230*(IF(D230&lt;Variables!$C$7,Variables!$C$38,IF(D230&gt;Variables!$C$6,Variables!$C$36,Variables!$C$37)))</f>
        <v>57.844118218169157</v>
      </c>
      <c r="AB230" s="64">
        <f t="shared" si="13"/>
        <v>57</v>
      </c>
      <c r="AC230" s="66">
        <f t="shared" si="2"/>
        <v>1</v>
      </c>
      <c r="AD230" s="62">
        <f>AC230*Variables!$E$41</f>
        <v>537600</v>
      </c>
      <c r="AE230" s="71">
        <f>ROUND((H230/(3.14*Variables!$C$35^2)),0)</f>
        <v>9</v>
      </c>
      <c r="AF230" s="57">
        <f t="shared" si="14"/>
        <v>8</v>
      </c>
      <c r="AG230" s="57">
        <f t="shared" si="3"/>
        <v>1</v>
      </c>
      <c r="AH230" s="58">
        <f>AG230*Variables!$E$42*Variables!$C$18</f>
        <v>1148.2560000000001</v>
      </c>
      <c r="AI230" s="73">
        <f t="shared" si="4"/>
        <v>0</v>
      </c>
      <c r="AJ230" s="66">
        <f t="shared" si="15"/>
        <v>3</v>
      </c>
      <c r="AK230" s="66">
        <f t="shared" si="5"/>
        <v>0</v>
      </c>
      <c r="AL230" s="62">
        <f>IF(AK230*Variables!$E$43*Variables!$C$18&lt;0,0,AK230*Variables!$E$43*Variables!$C$18)</f>
        <v>0</v>
      </c>
      <c r="AM230" s="58">
        <f>AA230*Variables!$E$39*Variables!$C$18</f>
        <v>16719976.257184125</v>
      </c>
      <c r="AN230" s="1"/>
      <c r="AO230" s="76">
        <f t="shared" si="16"/>
        <v>0.67714285714285716</v>
      </c>
      <c r="AP230" s="76">
        <f t="shared" si="6"/>
        <v>140.63478376188021</v>
      </c>
      <c r="AQ230" s="75">
        <f>VLOOKUP(B230,'Household Information'!$B$2:$E$48,4,FALSE)</f>
        <v>40.760000000000005</v>
      </c>
      <c r="AR230" s="79">
        <f>IF(12*(AP230-Variables!$C$45*AQ230*F230)*(G230/5)&lt;0,0,12*(AP230-Variables!$C$45*AQ230*F230)*(G230/5))</f>
        <v>5989394.8498911876</v>
      </c>
      <c r="AS230" s="1"/>
      <c r="AT230" s="62">
        <v>0</v>
      </c>
      <c r="AU230" s="1"/>
    </row>
    <row r="231" spans="1:47" ht="14.25" customHeight="1">
      <c r="A231" s="1">
        <v>40</v>
      </c>
      <c r="B231" s="3" t="s">
        <v>233</v>
      </c>
      <c r="C231" s="1">
        <v>2023</v>
      </c>
      <c r="D231" s="13">
        <f>VLOOKUP(B231,Population!$B$1:$O$48,7,FALSE)</f>
        <v>3270.6342357929602</v>
      </c>
      <c r="E231" s="13" t="str">
        <f t="shared" si="19"/>
        <v>Small</v>
      </c>
      <c r="F231" s="54">
        <f>VLOOKUP(B231,'Household Information'!$B$1:$E$48,2,FALSE)</f>
        <v>3.9153259949195598</v>
      </c>
      <c r="G231" s="54">
        <f t="shared" si="0"/>
        <v>835.34148626113449</v>
      </c>
      <c r="H231" s="55">
        <f>IF(D231&gt;Variables!$C$6,H184,H184*(1+Variables!$C$9))</f>
        <v>0.22773578678419995</v>
      </c>
      <c r="I231" s="55"/>
      <c r="J231" s="13">
        <f>H231*Variables!$C$21</f>
        <v>4.0992441621155988</v>
      </c>
      <c r="K231" s="13">
        <f t="shared" si="12"/>
        <v>21.97</v>
      </c>
      <c r="L231" s="54">
        <f t="shared" si="1"/>
        <v>0</v>
      </c>
      <c r="M231" s="56"/>
      <c r="N231" s="57"/>
      <c r="O231" s="57"/>
      <c r="P231" s="57"/>
      <c r="Q231" s="57"/>
      <c r="R231" s="57"/>
      <c r="S231" s="58">
        <v>0</v>
      </c>
      <c r="T231" s="59">
        <f>$L231*Variables!$C$22/100</f>
        <v>0</v>
      </c>
      <c r="U231" s="59">
        <f>$L231*Variables!$C$23/100</f>
        <v>0</v>
      </c>
      <c r="V231" s="59">
        <f>$L231*Variables!$C$24/100</f>
        <v>0</v>
      </c>
      <c r="W231" s="59">
        <f>$L231*Variables!$C$25/100</f>
        <v>0</v>
      </c>
      <c r="X231" s="62">
        <f>T231*Variables!$E$26*Variables!$C$18+'Cost Calculations'!U231*Variables!$E$27*Variables!$C$18+'Cost Calculations'!V231*Variables!$E$28*Variables!$C$18+W231*Variables!$E$29*Variables!$C$18</f>
        <v>0</v>
      </c>
      <c r="Y231" s="58">
        <f>J231*Variables!$E$30</f>
        <v>2685.0049261857171</v>
      </c>
      <c r="Z231" s="1"/>
      <c r="AA231" s="245">
        <f>D231*(IF(D231&lt;Variables!$C$7,Variables!$C$38,IF(D231&gt;Variables!$C$6,Variables!$C$36,Variables!$C$37)))</f>
        <v>1.63531711789648</v>
      </c>
      <c r="AB231" s="64">
        <f t="shared" si="13"/>
        <v>2</v>
      </c>
      <c r="AC231" s="66">
        <f t="shared" si="2"/>
        <v>0</v>
      </c>
      <c r="AD231" s="62">
        <f>AC231*Variables!$E$41</f>
        <v>0</v>
      </c>
      <c r="AE231" s="71">
        <f>ROUND((H231/(3.14*Variables!$C$35^2)),0)</f>
        <v>0</v>
      </c>
      <c r="AF231" s="57">
        <f t="shared" si="14"/>
        <v>0</v>
      </c>
      <c r="AG231" s="57">
        <f t="shared" si="3"/>
        <v>0</v>
      </c>
      <c r="AH231" s="58">
        <f>AG231*Variables!$E$42*Variables!$C$18</f>
        <v>0</v>
      </c>
      <c r="AI231" s="73">
        <f t="shared" si="4"/>
        <v>0</v>
      </c>
      <c r="AJ231" s="66">
        <f t="shared" si="15"/>
        <v>0</v>
      </c>
      <c r="AK231" s="66">
        <f t="shared" si="5"/>
        <v>0</v>
      </c>
      <c r="AL231" s="62">
        <f>IF(AK231*Variables!$E$43*Variables!$C$18&lt;0,0,AK231*Variables!$E$43*Variables!$C$18)</f>
        <v>0</v>
      </c>
      <c r="AM231" s="58">
        <f>AA231*Variables!$E$39*Variables!$C$18</f>
        <v>472692.19803937641</v>
      </c>
      <c r="AN231" s="1"/>
      <c r="AO231" s="76">
        <f t="shared" si="16"/>
        <v>0.67714285714285716</v>
      </c>
      <c r="AP231" s="76">
        <f t="shared" si="6"/>
        <v>159.07410185073181</v>
      </c>
      <c r="AQ231" s="75">
        <f>VLOOKUP(B231,'Household Information'!$B$2:$E$48,4,FALSE)</f>
        <v>40.760000000000005</v>
      </c>
      <c r="AR231" s="79">
        <f>IF(12*(AP231-Variables!$C$45*AQ231*F231)*(G231/5)&lt;0,0,12*(AP231-Variables!$C$45*AQ231*F231)*(G231/5))</f>
        <v>270922.8934752174</v>
      </c>
      <c r="AS231" s="1"/>
      <c r="AT231" s="62">
        <v>0</v>
      </c>
      <c r="AU231" s="1"/>
    </row>
    <row r="232" spans="1:47" ht="14.25" customHeight="1">
      <c r="A232" s="1">
        <v>41</v>
      </c>
      <c r="B232" s="3" t="s">
        <v>234</v>
      </c>
      <c r="C232" s="1">
        <v>2023</v>
      </c>
      <c r="D232" s="13">
        <f>VLOOKUP(B232,Population!$B$1:$O$48,7,FALSE)</f>
        <v>56364.576367234346</v>
      </c>
      <c r="E232" s="13" t="str">
        <f t="shared" si="19"/>
        <v>Small</v>
      </c>
      <c r="F232" s="54">
        <f>VLOOKUP(B232,'Household Information'!$B$1:$E$48,2,FALSE)</f>
        <v>2.524</v>
      </c>
      <c r="G232" s="54">
        <f t="shared" si="0"/>
        <v>22331.448639950217</v>
      </c>
      <c r="H232" s="55">
        <f>IF(D232&gt;Variables!$C$6,H185,H185*(1+Variables!$C$9))</f>
        <v>4.554715735683998</v>
      </c>
      <c r="I232" s="55"/>
      <c r="J232" s="13">
        <f>H232*Variables!$C$21</f>
        <v>81.984883242311966</v>
      </c>
      <c r="K232" s="13">
        <f t="shared" si="12"/>
        <v>105</v>
      </c>
      <c r="L232" s="54">
        <f t="shared" si="1"/>
        <v>0</v>
      </c>
      <c r="M232" s="56"/>
      <c r="N232" s="57"/>
      <c r="O232" s="57"/>
      <c r="P232" s="57"/>
      <c r="Q232" s="57"/>
      <c r="R232" s="57"/>
      <c r="S232" s="58">
        <v>0</v>
      </c>
      <c r="T232" s="59">
        <f>$L232*Variables!$C$22/100</f>
        <v>0</v>
      </c>
      <c r="U232" s="59">
        <f>$L232*Variables!$C$23/100</f>
        <v>0</v>
      </c>
      <c r="V232" s="59">
        <f>$L232*Variables!$C$24/100</f>
        <v>0</v>
      </c>
      <c r="W232" s="59">
        <f>$L232*Variables!$C$25/100</f>
        <v>0</v>
      </c>
      <c r="X232" s="62">
        <f>T232*Variables!$E$26*Variables!$C$18+'Cost Calculations'!U232*Variables!$E$27*Variables!$C$18+'Cost Calculations'!V232*Variables!$E$28*Variables!$C$18+W232*Variables!$E$29*Variables!$C$18</f>
        <v>0</v>
      </c>
      <c r="Y232" s="58">
        <f>J232*Variables!$E$30</f>
        <v>53700.09852371434</v>
      </c>
      <c r="Z232" s="1"/>
      <c r="AA232" s="245">
        <f>D232*(IF(D232&lt;Variables!$C$7,Variables!$C$38,IF(D232&gt;Variables!$C$6,Variables!$C$36,Variables!$C$37)))</f>
        <v>45.091661093787479</v>
      </c>
      <c r="AB232" s="64">
        <f t="shared" si="13"/>
        <v>44</v>
      </c>
      <c r="AC232" s="66">
        <f t="shared" si="2"/>
        <v>1</v>
      </c>
      <c r="AD232" s="62">
        <f>AC232*Variables!$E$41</f>
        <v>537600</v>
      </c>
      <c r="AE232" s="71">
        <f>ROUND((H232/(3.14*Variables!$C$35^2)),0)</f>
        <v>6</v>
      </c>
      <c r="AF232" s="57">
        <f t="shared" si="14"/>
        <v>6</v>
      </c>
      <c r="AG232" s="57">
        <f t="shared" si="3"/>
        <v>0</v>
      </c>
      <c r="AH232" s="58">
        <f>AG232*Variables!$E$42*Variables!$C$18</f>
        <v>0</v>
      </c>
      <c r="AI232" s="73">
        <f t="shared" si="4"/>
        <v>0</v>
      </c>
      <c r="AJ232" s="66">
        <f t="shared" si="15"/>
        <v>2</v>
      </c>
      <c r="AK232" s="66">
        <f t="shared" si="5"/>
        <v>0</v>
      </c>
      <c r="AL232" s="62">
        <f>IF(AK232*Variables!$E$43*Variables!$C$18&lt;0,0,AK232*Variables!$E$43*Variables!$C$18)</f>
        <v>0</v>
      </c>
      <c r="AM232" s="58">
        <f>AA232*Variables!$E$39*Variables!$C$18</f>
        <v>13033849.008494448</v>
      </c>
      <c r="AN232" s="1"/>
      <c r="AO232" s="76">
        <f t="shared" si="16"/>
        <v>0.67714285714285716</v>
      </c>
      <c r="AP232" s="76">
        <f t="shared" si="6"/>
        <v>102.54651428571428</v>
      </c>
      <c r="AQ232" s="75">
        <f>VLOOKUP(B232,'Household Information'!$B$2:$E$48,4,FALSE)</f>
        <v>40.760000000000005</v>
      </c>
      <c r="AR232" s="79">
        <f>IF(12*(AP232-Variables!$C$45*AQ232*F232)*(G232/5)&lt;0,0,12*(AP232-Variables!$C$45*AQ232*F232)*(G232/5))</f>
        <v>4668958.0729633896</v>
      </c>
      <c r="AS232" s="1"/>
      <c r="AT232" s="62">
        <v>0</v>
      </c>
      <c r="AU232" s="1"/>
    </row>
    <row r="233" spans="1:47" ht="14.25" customHeight="1">
      <c r="A233" s="1">
        <v>42</v>
      </c>
      <c r="B233" s="3" t="s">
        <v>235</v>
      </c>
      <c r="C233" s="1">
        <v>2023</v>
      </c>
      <c r="D233" s="13">
        <f>VLOOKUP(B233,Population!$B$1:$O$48,7,FALSE)</f>
        <v>49039.045140820599</v>
      </c>
      <c r="E233" s="13" t="str">
        <f t="shared" si="19"/>
        <v>Small</v>
      </c>
      <c r="F233" s="54">
        <f>VLOOKUP(B233,'Household Information'!$B$1:$E$48,2,FALSE)</f>
        <v>2.7236881469514751</v>
      </c>
      <c r="G233" s="54">
        <f t="shared" si="0"/>
        <v>18004.647556919546</v>
      </c>
      <c r="H233" s="55">
        <f>IF(D233&gt;Variables!$C$6,H186,H186*(1+Variables!$C$9))</f>
        <v>5.8072625629970975</v>
      </c>
      <c r="I233" s="55"/>
      <c r="J233" s="13">
        <f>H233*Variables!$C$21</f>
        <v>104.53072613394775</v>
      </c>
      <c r="K233" s="13">
        <f t="shared" si="12"/>
        <v>101.19140961659997</v>
      </c>
      <c r="L233" s="54">
        <f t="shared" si="1"/>
        <v>3.3393165173477826</v>
      </c>
      <c r="M233" s="56"/>
      <c r="N233" s="57"/>
      <c r="O233" s="57"/>
      <c r="P233" s="57"/>
      <c r="Q233" s="57"/>
      <c r="R233" s="57"/>
      <c r="S233" s="58">
        <v>0</v>
      </c>
      <c r="T233" s="59">
        <f>$L233*Variables!$C$22/100</f>
        <v>0.1813203538831375</v>
      </c>
      <c r="U233" s="59">
        <f>$L233*Variables!$C$23/100</f>
        <v>0.31731061929549065</v>
      </c>
      <c r="V233" s="59">
        <f>$L233*Variables!$C$24/100</f>
        <v>0.33242064878575212</v>
      </c>
      <c r="W233" s="59">
        <f>$L233*Variables!$C$25/100</f>
        <v>2.4176047184418334</v>
      </c>
      <c r="X233" s="62">
        <f>T233*Variables!$E$26*Variables!$C$18+'Cost Calculations'!U233*Variables!$E$27*Variables!$C$18+'Cost Calculations'!V233*Variables!$E$28*Variables!$C$18+W233*Variables!$E$29*Variables!$C$18</f>
        <v>3795894.5105815628</v>
      </c>
      <c r="Y233" s="58">
        <f>J233*Variables!$E$30</f>
        <v>68467.625617735772</v>
      </c>
      <c r="Z233" s="1"/>
      <c r="AA233" s="245">
        <f>D233*(IF(D233&lt;Variables!$C$7,Variables!$C$38,IF(D233&gt;Variables!$C$6,Variables!$C$36,Variables!$C$37)))</f>
        <v>24.519522570410299</v>
      </c>
      <c r="AB233" s="64">
        <f t="shared" si="13"/>
        <v>24</v>
      </c>
      <c r="AC233" s="66">
        <f t="shared" si="2"/>
        <v>1</v>
      </c>
      <c r="AD233" s="62">
        <f>AC233*Variables!$E$41</f>
        <v>537600</v>
      </c>
      <c r="AE233" s="71">
        <f>ROUND((H233/(3.14*Variables!$C$35^2)),0)</f>
        <v>7</v>
      </c>
      <c r="AF233" s="57">
        <f t="shared" si="14"/>
        <v>7</v>
      </c>
      <c r="AG233" s="57">
        <f t="shared" si="3"/>
        <v>0</v>
      </c>
      <c r="AH233" s="58">
        <f>AG233*Variables!$E$42*Variables!$C$18</f>
        <v>0</v>
      </c>
      <c r="AI233" s="73">
        <f t="shared" si="4"/>
        <v>0</v>
      </c>
      <c r="AJ233" s="66">
        <f t="shared" si="15"/>
        <v>0</v>
      </c>
      <c r="AK233" s="66">
        <f t="shared" si="5"/>
        <v>0</v>
      </c>
      <c r="AL233" s="62">
        <f>IF(AK233*Variables!$E$43*Variables!$C$18&lt;0,0,AK233*Variables!$E$43*Variables!$C$18)</f>
        <v>0</v>
      </c>
      <c r="AM233" s="58">
        <f>AA233*Variables!$E$39*Variables!$C$18</f>
        <v>7087424.7519599656</v>
      </c>
      <c r="AN233" s="1"/>
      <c r="AO233" s="76">
        <f t="shared" si="16"/>
        <v>0.67714285714285716</v>
      </c>
      <c r="AP233" s="76">
        <f t="shared" si="6"/>
        <v>110.65955842757135</v>
      </c>
      <c r="AQ233" s="75">
        <f>VLOOKUP(B233,'Household Information'!$B$2:$E$48,4,FALSE)</f>
        <v>40.760000000000005</v>
      </c>
      <c r="AR233" s="79">
        <f>IF(12*(AP233-Variables!$C$45*AQ233*F233)*(G233/5)&lt;0,0,12*(AP233-Variables!$C$45*AQ233*F233)*(G233/5))</f>
        <v>4062147.9031242984</v>
      </c>
      <c r="AS233" s="1"/>
      <c r="AT233" s="62">
        <v>0</v>
      </c>
      <c r="AU233" s="1"/>
    </row>
    <row r="234" spans="1:47" ht="14.25" customHeight="1">
      <c r="A234" s="1">
        <v>43</v>
      </c>
      <c r="B234" s="3" t="s">
        <v>236</v>
      </c>
      <c r="C234" s="1">
        <v>2023</v>
      </c>
      <c r="D234" s="13">
        <f>VLOOKUP(B234,Population!$B$1:$O$48,7,FALSE)</f>
        <v>25894.675601368705</v>
      </c>
      <c r="E234" s="13" t="str">
        <f t="shared" si="19"/>
        <v>Small</v>
      </c>
      <c r="F234" s="54">
        <f>VLOOKUP(B234,'Household Information'!$B$1:$E$48,2,FALSE)</f>
        <v>3.4114391143911438</v>
      </c>
      <c r="G234" s="54">
        <f t="shared" si="0"/>
        <v>7590.5430913693017</v>
      </c>
      <c r="H234" s="55">
        <f>IF(D234&gt;Variables!$C$6,H187,H187*(1+Variables!$C$9))</f>
        <v>4.9663909391520811</v>
      </c>
      <c r="I234" s="55"/>
      <c r="J234" s="13">
        <f>H234*Variables!$C$21</f>
        <v>89.395036904737452</v>
      </c>
      <c r="K234" s="13">
        <f t="shared" si="12"/>
        <v>86.539241921333456</v>
      </c>
      <c r="L234" s="54">
        <f t="shared" si="1"/>
        <v>2.855794983403996</v>
      </c>
      <c r="M234" s="56"/>
      <c r="N234" s="57"/>
      <c r="O234" s="57"/>
      <c r="P234" s="57"/>
      <c r="Q234" s="57"/>
      <c r="R234" s="57"/>
      <c r="S234" s="58">
        <v>0</v>
      </c>
      <c r="T234" s="59">
        <f>$L234*Variables!$C$22/100</f>
        <v>0.15506579095406312</v>
      </c>
      <c r="U234" s="59">
        <f>$L234*Variables!$C$23/100</f>
        <v>0.2713651341696105</v>
      </c>
      <c r="V234" s="59">
        <f>$L234*Variables!$C$24/100</f>
        <v>0.28428728341578241</v>
      </c>
      <c r="W234" s="59">
        <f>$L234*Variables!$C$25/100</f>
        <v>2.0675438793875083</v>
      </c>
      <c r="X234" s="62">
        <f>T234*Variables!$E$26*Variables!$C$18+'Cost Calculations'!U234*Variables!$E$27*Variables!$C$18+'Cost Calculations'!V234*Variables!$E$28*Variables!$C$18+W234*Variables!$E$29*Variables!$C$18</f>
        <v>3246262.0552841108</v>
      </c>
      <c r="Y234" s="58">
        <f>J234*Variables!$E$30</f>
        <v>58553.749172603035</v>
      </c>
      <c r="Z234" s="1"/>
      <c r="AA234" s="245">
        <f>D234*(IF(D234&lt;Variables!$C$7,Variables!$C$38,IF(D234&gt;Variables!$C$6,Variables!$C$36,Variables!$C$37)))</f>
        <v>12.947337800684352</v>
      </c>
      <c r="AB234" s="64">
        <f t="shared" si="13"/>
        <v>13</v>
      </c>
      <c r="AC234" s="66">
        <f t="shared" si="2"/>
        <v>0</v>
      </c>
      <c r="AD234" s="62">
        <f>AC234*Variables!$E$41</f>
        <v>0</v>
      </c>
      <c r="AE234" s="71">
        <f>ROUND((H234/(3.14*Variables!$C$35^2)),0)</f>
        <v>6</v>
      </c>
      <c r="AF234" s="57">
        <f t="shared" si="14"/>
        <v>6</v>
      </c>
      <c r="AG234" s="57">
        <f t="shared" si="3"/>
        <v>0</v>
      </c>
      <c r="AH234" s="58">
        <f>AG234*Variables!$E$42*Variables!$C$18</f>
        <v>0</v>
      </c>
      <c r="AI234" s="73">
        <f t="shared" si="4"/>
        <v>0</v>
      </c>
      <c r="AJ234" s="66">
        <f t="shared" si="15"/>
        <v>0</v>
      </c>
      <c r="AK234" s="66">
        <f t="shared" si="5"/>
        <v>0</v>
      </c>
      <c r="AL234" s="62">
        <f>IF(AK234*Variables!$E$43*Variables!$C$18&lt;0,0,AK234*Variables!$E$43*Variables!$C$18)</f>
        <v>0</v>
      </c>
      <c r="AM234" s="58">
        <f>AA234*Variables!$E$39*Variables!$C$18</f>
        <v>3742457.9592465386</v>
      </c>
      <c r="AN234" s="1"/>
      <c r="AO234" s="76">
        <f t="shared" si="16"/>
        <v>0.67714285714285716</v>
      </c>
      <c r="AP234" s="76">
        <f t="shared" si="6"/>
        <v>138.60189773326303</v>
      </c>
      <c r="AQ234" s="75">
        <f>VLOOKUP(B234,'Household Information'!$B$2:$E$48,4,FALSE)</f>
        <v>40.760000000000005</v>
      </c>
      <c r="AR234" s="79">
        <f>IF(12*(AP234-Variables!$C$45*AQ234*F234)*(G234/5)&lt;0,0,12*(AP234-Variables!$C$45*AQ234*F234)*(G234/5))</f>
        <v>2144984.7135915025</v>
      </c>
      <c r="AS234" s="1"/>
      <c r="AT234" s="62">
        <v>0</v>
      </c>
      <c r="AU234" s="1"/>
    </row>
    <row r="235" spans="1:47" ht="14.25" customHeight="1">
      <c r="A235" s="1">
        <v>44</v>
      </c>
      <c r="B235" s="3" t="s">
        <v>241</v>
      </c>
      <c r="C235" s="1">
        <v>2023</v>
      </c>
      <c r="D235" s="13">
        <f>VLOOKUP(B235,Population!$B$1:$O$48,7,FALSE)</f>
        <v>100154.20288901543</v>
      </c>
      <c r="E235" s="13" t="str">
        <f t="shared" si="19"/>
        <v>Medium</v>
      </c>
      <c r="F235" s="54">
        <f>VLOOKUP(B235,'Household Information'!$B$1:$E$48,2,FALSE)</f>
        <v>2.919</v>
      </c>
      <c r="G235" s="54">
        <f t="shared" si="0"/>
        <v>34311.134939710668</v>
      </c>
      <c r="H235" s="55">
        <f>IF(D235&gt;Variables!$C$6,H188,H188*(1+Variables!$C$9))</f>
        <v>11.723279703725108</v>
      </c>
      <c r="I235" s="55"/>
      <c r="J235" s="13">
        <f>H235*Variables!$C$21</f>
        <v>211.01903466705195</v>
      </c>
      <c r="K235" s="13">
        <f t="shared" si="12"/>
        <v>211.01903466705195</v>
      </c>
      <c r="L235" s="54">
        <f t="shared" si="1"/>
        <v>0</v>
      </c>
      <c r="M235" s="56"/>
      <c r="N235" s="57"/>
      <c r="O235" s="57"/>
      <c r="P235" s="57"/>
      <c r="Q235" s="57"/>
      <c r="R235" s="57"/>
      <c r="S235" s="58">
        <v>0</v>
      </c>
      <c r="T235" s="59">
        <f>$L235*Variables!$C$22/100</f>
        <v>0</v>
      </c>
      <c r="U235" s="59">
        <f>$L235*Variables!$C$23/100</f>
        <v>0</v>
      </c>
      <c r="V235" s="59">
        <f>$L235*Variables!$C$24/100</f>
        <v>0</v>
      </c>
      <c r="W235" s="59">
        <f>$L235*Variables!$C$25/100</f>
        <v>0</v>
      </c>
      <c r="X235" s="62">
        <f>T235*Variables!$E$26*Variables!$C$18+'Cost Calculations'!U235*Variables!$E$27*Variables!$C$18+'Cost Calculations'!V235*Variables!$E$28*Variables!$C$18+W235*Variables!$E$29*Variables!$C$18</f>
        <v>0</v>
      </c>
      <c r="Y235" s="58">
        <f>J235*Variables!$E$30</f>
        <v>138217.46770691904</v>
      </c>
      <c r="Z235" s="1"/>
      <c r="AA235" s="245">
        <f>D235*(IF(D235&lt;Variables!$C$7,Variables!$C$38,IF(D235&gt;Variables!$C$6,Variables!$C$36,Variables!$C$37)))</f>
        <v>120.18504346681851</v>
      </c>
      <c r="AB235" s="64">
        <f>ROUND(AB188+AC188,0)</f>
        <v>79</v>
      </c>
      <c r="AC235" s="66">
        <f t="shared" si="2"/>
        <v>41</v>
      </c>
      <c r="AD235" s="62">
        <f>AC235*Variables!$E$41</f>
        <v>22041600</v>
      </c>
      <c r="AE235" s="71">
        <f>ROUND((H235/(3.14*Variables!$C$35^2)),0)</f>
        <v>15</v>
      </c>
      <c r="AF235" s="57">
        <f t="shared" si="14"/>
        <v>15</v>
      </c>
      <c r="AG235" s="57">
        <f t="shared" si="3"/>
        <v>0</v>
      </c>
      <c r="AH235" s="58">
        <f>AG235*Variables!$E$42*Variables!$C$18</f>
        <v>0</v>
      </c>
      <c r="AI235" s="73">
        <f t="shared" si="4"/>
        <v>1</v>
      </c>
      <c r="AJ235" s="66">
        <f t="shared" si="15"/>
        <v>1</v>
      </c>
      <c r="AK235" s="66">
        <f t="shared" si="5"/>
        <v>0</v>
      </c>
      <c r="AL235" s="62">
        <f>IF(AK235*Variables!$E$43*Variables!$C$18&lt;0,0,AK235*Variables!$E$43*Variables!$C$18)</f>
        <v>0</v>
      </c>
      <c r="AM235" s="58">
        <f>AA235*Variables!$E$39*Variables!$C$18</f>
        <v>34739764.994855694</v>
      </c>
      <c r="AN235" s="1"/>
      <c r="AO235" s="76">
        <f t="shared" si="16"/>
        <v>0.67714285714285716</v>
      </c>
      <c r="AP235" s="76">
        <f t="shared" si="6"/>
        <v>118.59479999999999</v>
      </c>
      <c r="AQ235" s="75">
        <f>VLOOKUP(B235,'Household Information'!$B$2:$E$48,4,FALSE)</f>
        <v>40.760000000000005</v>
      </c>
      <c r="AR235" s="79">
        <f>IF(12*(AP235-Variables!$C$45*AQ235*F235)*(G235/5)&lt;0,0,12*(AP235-Variables!$C$45*AQ235*F235)*(G235/5))</f>
        <v>8296270.5347629404</v>
      </c>
      <c r="AS235" s="1"/>
      <c r="AT235" s="62">
        <v>0</v>
      </c>
      <c r="AU235" s="1"/>
    </row>
    <row r="236" spans="1:47" ht="14.25" customHeight="1">
      <c r="A236" s="1">
        <v>45</v>
      </c>
      <c r="B236" s="3" t="s">
        <v>242</v>
      </c>
      <c r="C236" s="1">
        <v>2023</v>
      </c>
      <c r="D236" s="13">
        <f>VLOOKUP(B236,Population!$B$1:$O$48,7,FALSE)</f>
        <v>25441.139035733384</v>
      </c>
      <c r="E236" s="13" t="str">
        <f t="shared" si="19"/>
        <v>Small</v>
      </c>
      <c r="F236" s="54">
        <f>VLOOKUP(B236,'Household Information'!$B$1:$E$48,2,FALSE)</f>
        <v>2.377290114757399</v>
      </c>
      <c r="G236" s="54">
        <f t="shared" si="0"/>
        <v>10701.739294587374</v>
      </c>
      <c r="H236" s="55">
        <f>IF(D236&gt;Variables!$C$6,H189,H189*(1+Variables!$C$9))</f>
        <v>4.3269799488997975</v>
      </c>
      <c r="I236" s="55"/>
      <c r="J236" s="13">
        <f>H236*Variables!$C$21</f>
        <v>77.885639080196356</v>
      </c>
      <c r="K236" s="13">
        <f t="shared" si="12"/>
        <v>75.397520890799967</v>
      </c>
      <c r="L236" s="54">
        <f t="shared" si="1"/>
        <v>2.4881181893963884</v>
      </c>
      <c r="M236" s="56"/>
      <c r="N236" s="57"/>
      <c r="O236" s="57"/>
      <c r="P236" s="57"/>
      <c r="Q236" s="57"/>
      <c r="R236" s="57"/>
      <c r="S236" s="58">
        <v>0</v>
      </c>
      <c r="T236" s="59">
        <f>$L236*Variables!$C$22/100</f>
        <v>0.13510144014822018</v>
      </c>
      <c r="U236" s="59">
        <f>$L236*Variables!$C$23/100</f>
        <v>0.23642752025938532</v>
      </c>
      <c r="V236" s="59">
        <f>$L236*Variables!$C$24/100</f>
        <v>0.24768597360507033</v>
      </c>
      <c r="W236" s="59">
        <f>$L236*Variables!$C$25/100</f>
        <v>1.8013525353096025</v>
      </c>
      <c r="X236" s="62">
        <f>T236*Variables!$E$26*Variables!$C$18+'Cost Calculations'!U236*Variables!$E$27*Variables!$C$18+'Cost Calculations'!V236*Variables!$E$28*Variables!$C$18+W236*Variables!$E$29*Variables!$C$18</f>
        <v>2828313.5569039108</v>
      </c>
      <c r="Y236" s="58">
        <f>J236*Variables!$E$30</f>
        <v>51015.093597528612</v>
      </c>
      <c r="Z236" s="1"/>
      <c r="AA236" s="245">
        <f>D236*(IF(D236&lt;Variables!$C$7,Variables!$C$38,IF(D236&gt;Variables!$C$6,Variables!$C$36,Variables!$C$37)))</f>
        <v>12.720569517866693</v>
      </c>
      <c r="AB236" s="64">
        <f t="shared" si="13"/>
        <v>13</v>
      </c>
      <c r="AC236" s="66">
        <f t="shared" si="2"/>
        <v>0</v>
      </c>
      <c r="AD236" s="62">
        <f>AC236*Variables!$E$41</f>
        <v>0</v>
      </c>
      <c r="AE236" s="71">
        <f>ROUND((H236/(3.14*Variables!$C$35^2)),0)</f>
        <v>6</v>
      </c>
      <c r="AF236" s="57">
        <f t="shared" si="14"/>
        <v>5</v>
      </c>
      <c r="AG236" s="57">
        <f t="shared" si="3"/>
        <v>1</v>
      </c>
      <c r="AH236" s="58">
        <f>AG236*Variables!$E$42*Variables!$C$18</f>
        <v>1148.2560000000001</v>
      </c>
      <c r="AI236" s="73">
        <f t="shared" si="4"/>
        <v>0</v>
      </c>
      <c r="AJ236" s="66">
        <f t="shared" si="15"/>
        <v>0</v>
      </c>
      <c r="AK236" s="66">
        <f t="shared" si="5"/>
        <v>0</v>
      </c>
      <c r="AL236" s="62">
        <f>IF(AK236*Variables!$E$43*Variables!$C$18&lt;0,0,AK236*Variables!$E$43*Variables!$C$18)</f>
        <v>0</v>
      </c>
      <c r="AM236" s="58">
        <f>AA236*Variables!$E$39*Variables!$C$18</f>
        <v>3676910.0622193394</v>
      </c>
      <c r="AN236" s="1"/>
      <c r="AO236" s="76">
        <f t="shared" si="16"/>
        <v>0.67714285714285716</v>
      </c>
      <c r="AP236" s="76">
        <f t="shared" si="6"/>
        <v>96.585901233857754</v>
      </c>
      <c r="AQ236" s="75">
        <f>VLOOKUP(B236,'Household Information'!$B$2:$E$48,4,FALSE)</f>
        <v>40.760000000000005</v>
      </c>
      <c r="AR236" s="79">
        <f>IF(12*(AP236-Variables!$C$45*AQ236*F236)*(G236/5)&lt;0,0,12*(AP236-Variables!$C$45*AQ236*F236)*(G236/5))</f>
        <v>2107416.025135288</v>
      </c>
      <c r="AS236" s="1"/>
      <c r="AT236" s="62">
        <v>0</v>
      </c>
      <c r="AU236" s="1"/>
    </row>
    <row r="237" spans="1:47" ht="14.25" customHeight="1">
      <c r="A237" s="1">
        <v>46</v>
      </c>
      <c r="B237" s="3" t="s">
        <v>243</v>
      </c>
      <c r="C237" s="1">
        <v>2023</v>
      </c>
      <c r="D237" s="13">
        <f>VLOOKUP(B237,Population!$B$1:$O$48,7,FALSE)</f>
        <v>32515.663089242069</v>
      </c>
      <c r="E237" s="13" t="str">
        <f t="shared" si="19"/>
        <v>Small</v>
      </c>
      <c r="F237" s="54">
        <f>VLOOKUP(B237,'Household Information'!$B$1:$E$48,2,FALSE)</f>
        <v>2.6682284299858559</v>
      </c>
      <c r="G237" s="54">
        <f t="shared" si="0"/>
        <v>12186.236651940042</v>
      </c>
      <c r="H237" s="55">
        <f>IF(D237&gt;Variables!$C$6,H190,H190*(1+Variables!$C$9))</f>
        <v>4.2173682874214515</v>
      </c>
      <c r="I237" s="55"/>
      <c r="J237" s="13">
        <f>H237*Variables!$C$21</f>
        <v>75.912629173586126</v>
      </c>
      <c r="K237" s="13">
        <f t="shared" si="12"/>
        <v>73.487540342290544</v>
      </c>
      <c r="L237" s="54">
        <f t="shared" si="1"/>
        <v>2.4250888312955823</v>
      </c>
      <c r="M237" s="56"/>
      <c r="N237" s="57"/>
      <c r="O237" s="57"/>
      <c r="P237" s="57"/>
      <c r="Q237" s="57"/>
      <c r="R237" s="57"/>
      <c r="S237" s="58">
        <v>0</v>
      </c>
      <c r="T237" s="59">
        <f>$L237*Variables!$C$22/100</f>
        <v>0.13167903156356103</v>
      </c>
      <c r="U237" s="59">
        <f>$L237*Variables!$C$23/100</f>
        <v>0.23043830523623179</v>
      </c>
      <c r="V237" s="59">
        <f>$L237*Variables!$C$24/100</f>
        <v>0.24141155786652857</v>
      </c>
      <c r="W237" s="59">
        <f>$L237*Variables!$C$25/100</f>
        <v>1.7557204208474804</v>
      </c>
      <c r="X237" s="62">
        <f>T237*Variables!$E$26*Variables!$C$18+'Cost Calculations'!U237*Variables!$E$27*Variables!$C$18+'Cost Calculations'!V237*Variables!$E$28*Variables!$C$18+W237*Variables!$E$29*Variables!$C$18</f>
        <v>2756666.3221547017</v>
      </c>
      <c r="Y237" s="58">
        <f>J237*Variables!$E$30</f>
        <v>49722.772108698911</v>
      </c>
      <c r="Z237" s="1"/>
      <c r="AA237" s="245">
        <f>D237*(IF(D237&lt;Variables!$C$7,Variables!$C$38,IF(D237&gt;Variables!$C$6,Variables!$C$36,Variables!$C$37)))</f>
        <v>16.257831544621034</v>
      </c>
      <c r="AB237" s="64">
        <f t="shared" si="13"/>
        <v>16</v>
      </c>
      <c r="AC237" s="66">
        <f t="shared" si="2"/>
        <v>0</v>
      </c>
      <c r="AD237" s="62">
        <f>AC237*Variables!$E$41</f>
        <v>0</v>
      </c>
      <c r="AE237" s="71">
        <f>ROUND((H237/(3.14*Variables!$C$35^2)),0)</f>
        <v>5</v>
      </c>
      <c r="AF237" s="57">
        <f t="shared" si="14"/>
        <v>5</v>
      </c>
      <c r="AG237" s="57">
        <f t="shared" si="3"/>
        <v>0</v>
      </c>
      <c r="AH237" s="58">
        <f>AG237*Variables!$E$42*Variables!$C$18</f>
        <v>0</v>
      </c>
      <c r="AI237" s="73">
        <f t="shared" si="4"/>
        <v>0</v>
      </c>
      <c r="AJ237" s="66">
        <f t="shared" si="15"/>
        <v>0</v>
      </c>
      <c r="AK237" s="66">
        <f t="shared" si="5"/>
        <v>0</v>
      </c>
      <c r="AL237" s="62">
        <f>IF(AK237*Variables!$E$43*Variables!$C$18&lt;0,0,AK237*Variables!$E$43*Variables!$C$18)</f>
        <v>0</v>
      </c>
      <c r="AM237" s="58">
        <f>AA237*Variables!$E$39*Variables!$C$18</f>
        <v>4699363.8384132078</v>
      </c>
      <c r="AN237" s="1"/>
      <c r="AO237" s="76">
        <f t="shared" si="16"/>
        <v>0.67714285714285716</v>
      </c>
      <c r="AP237" s="76">
        <f t="shared" si="6"/>
        <v>108.40630935542534</v>
      </c>
      <c r="AQ237" s="75">
        <f>VLOOKUP(B237,'Household Information'!$B$2:$E$48,4,FALSE)</f>
        <v>40.760000000000005</v>
      </c>
      <c r="AR237" s="79">
        <f>IF(12*(AP237-Variables!$C$45*AQ237*F237)*(G237/5)&lt;0,0,12*(AP237-Variables!$C$45*AQ237*F237)*(G237/5))</f>
        <v>2693434.0229784213</v>
      </c>
      <c r="AS237" s="1"/>
      <c r="AT237" s="62">
        <v>0</v>
      </c>
      <c r="AU237" s="1"/>
    </row>
    <row r="238" spans="1:47" ht="14.25" customHeight="1">
      <c r="A238" s="1">
        <v>47</v>
      </c>
      <c r="B238" s="3" t="s">
        <v>244</v>
      </c>
      <c r="C238" s="1">
        <v>2023</v>
      </c>
      <c r="D238" s="13">
        <f>VLOOKUP(B238,Population!$B$1:$O$48,7,FALSE)</f>
        <v>68907.394024460111</v>
      </c>
      <c r="E238" s="13" t="str">
        <f t="shared" si="19"/>
        <v>Small</v>
      </c>
      <c r="F238" s="54">
        <f>VLOOKUP(B238,'Household Information'!$B$1:$E$48,2,FALSE)</f>
        <v>3.4580000000000002</v>
      </c>
      <c r="G238" s="54">
        <f t="shared" si="0"/>
        <v>19926.950267339533</v>
      </c>
      <c r="H238" s="55">
        <f>IF(D238&gt;Variables!$C$6,H191,H191*(1+Variables!$C$9))</f>
        <v>4.7824515224681985</v>
      </c>
      <c r="I238" s="55"/>
      <c r="J238" s="13">
        <f>H238*Variables!$C$21</f>
        <v>86.084127404427576</v>
      </c>
      <c r="K238" s="13">
        <f t="shared" si="12"/>
        <v>94.147999999999996</v>
      </c>
      <c r="L238" s="54">
        <f t="shared" si="1"/>
        <v>0</v>
      </c>
      <c r="M238" s="56"/>
      <c r="N238" s="57"/>
      <c r="O238" s="57"/>
      <c r="P238" s="57"/>
      <c r="Q238" s="57"/>
      <c r="R238" s="57"/>
      <c r="S238" s="58">
        <v>0</v>
      </c>
      <c r="T238" s="59">
        <f>$L238*Variables!$C$22/100</f>
        <v>0</v>
      </c>
      <c r="U238" s="59">
        <f>$L238*Variables!$C$23/100</f>
        <v>0</v>
      </c>
      <c r="V238" s="59">
        <f>$L238*Variables!$C$24/100</f>
        <v>0</v>
      </c>
      <c r="W238" s="59">
        <f>$L238*Variables!$C$25/100</f>
        <v>0</v>
      </c>
      <c r="X238" s="62">
        <f>T238*Variables!$E$26*Variables!$C$18+'Cost Calculations'!U238*Variables!$E$27*Variables!$C$18+'Cost Calculations'!V238*Variables!$E$28*Variables!$C$18+W238*Variables!$E$29*Variables!$C$18</f>
        <v>0</v>
      </c>
      <c r="Y238" s="58">
        <f>J238*Variables!$E$30</f>
        <v>56385.10344990006</v>
      </c>
      <c r="Z238" s="1"/>
      <c r="AA238" s="245">
        <f>D238*(IF(D238&lt;Variables!$C$7,Variables!$C$38,IF(D238&gt;Variables!$C$6,Variables!$C$36,Variables!$C$37)))</f>
        <v>55.125915219568093</v>
      </c>
      <c r="AB238" s="64">
        <f t="shared" si="13"/>
        <v>54</v>
      </c>
      <c r="AC238" s="66">
        <f t="shared" si="2"/>
        <v>1</v>
      </c>
      <c r="AD238" s="62">
        <f>AC238*Variables!$E$41</f>
        <v>537600</v>
      </c>
      <c r="AE238" s="71">
        <f>ROUND((H238/(3.14*Variables!$C$35^2)),0)</f>
        <v>6</v>
      </c>
      <c r="AF238" s="57">
        <f t="shared" si="14"/>
        <v>6</v>
      </c>
      <c r="AG238" s="57">
        <f t="shared" si="3"/>
        <v>0</v>
      </c>
      <c r="AH238" s="58">
        <f>AG238*Variables!$E$42*Variables!$C$18</f>
        <v>0</v>
      </c>
      <c r="AI238" s="73">
        <f t="shared" si="4"/>
        <v>0</v>
      </c>
      <c r="AJ238" s="66">
        <f t="shared" si="15"/>
        <v>0</v>
      </c>
      <c r="AK238" s="66">
        <f t="shared" si="5"/>
        <v>0</v>
      </c>
      <c r="AL238" s="62">
        <f>IF(AK238*Variables!$E$43*Variables!$C$18&lt;0,0,AK238*Variables!$E$43*Variables!$C$18)</f>
        <v>0</v>
      </c>
      <c r="AM238" s="58">
        <f>AA238*Variables!$E$39*Variables!$C$18</f>
        <v>15934273.388875192</v>
      </c>
      <c r="AN238" s="1"/>
      <c r="AO238" s="76">
        <f t="shared" si="16"/>
        <v>0.67714285714285716</v>
      </c>
      <c r="AP238" s="76">
        <f t="shared" si="6"/>
        <v>140.49359999999999</v>
      </c>
      <c r="AQ238" s="75">
        <f>VLOOKUP(B238,'Household Information'!$B$2:$E$48,4,FALSE)</f>
        <v>40.760000000000005</v>
      </c>
      <c r="AR238" s="79">
        <f>IF(12*(AP238-Variables!$C$45*AQ238*F238)*(G238/5)&lt;0,0,12*(AP238-Variables!$C$45*AQ238*F238)*(G238/5))</f>
        <v>5707942.0152334655</v>
      </c>
      <c r="AS238" s="1"/>
      <c r="AT238" s="62">
        <v>0</v>
      </c>
      <c r="AU238" s="1"/>
    </row>
    <row r="239" spans="1:47" ht="14.25" customHeight="1">
      <c r="A239" s="1">
        <v>1</v>
      </c>
      <c r="B239" s="3" t="s">
        <v>76</v>
      </c>
      <c r="C239" s="1">
        <v>2024</v>
      </c>
      <c r="D239" s="13">
        <f>VLOOKUP(B239,Population!$B$1:$O$48,8,FALSE)</f>
        <v>7852528.9032628844</v>
      </c>
      <c r="E239" s="13" t="str">
        <f t="shared" si="19"/>
        <v>Large</v>
      </c>
      <c r="F239" s="54">
        <f>VLOOKUP(B239,'Household Information'!$B$1:$E$48,2,FALSE)</f>
        <v>2.8458153079093123</v>
      </c>
      <c r="G239" s="54">
        <f t="shared" si="0"/>
        <v>2759324.8519812659</v>
      </c>
      <c r="H239" s="55">
        <f>IF(D239&gt;Variables!$C$6,H192,H192*(1+Variables!$C$9))</f>
        <v>418.2688494446499</v>
      </c>
      <c r="I239" s="55"/>
      <c r="J239" s="13">
        <f>H239*Variables!$C$21</f>
        <v>7528.8392900036979</v>
      </c>
      <c r="K239" s="13">
        <f t="shared" si="12"/>
        <v>13984</v>
      </c>
      <c r="L239" s="54">
        <f t="shared" si="1"/>
        <v>0</v>
      </c>
      <c r="M239" s="56"/>
      <c r="N239" s="57"/>
      <c r="O239" s="57"/>
      <c r="P239" s="57"/>
      <c r="Q239" s="57"/>
      <c r="R239" s="57"/>
      <c r="S239" s="58">
        <v>0</v>
      </c>
      <c r="T239" s="59">
        <f>$L239*Variables!$C$22/100</f>
        <v>0</v>
      </c>
      <c r="U239" s="59">
        <f>$L239*Variables!$C$23/100</f>
        <v>0</v>
      </c>
      <c r="V239" s="59">
        <f>$L239*Variables!$C$24/100</f>
        <v>0</v>
      </c>
      <c r="W239" s="59">
        <f>$L239*Variables!$C$25/100</f>
        <v>0</v>
      </c>
      <c r="X239" s="62">
        <f>T239*Variables!$E$26*Variables!$C$18+'Cost Calculations'!U239*Variables!$E$27*Variables!$C$18+'Cost Calculations'!V239*Variables!$E$28*Variables!$C$18+W239*Variables!$E$29*Variables!$C$18</f>
        <v>0</v>
      </c>
      <c r="Y239" s="58">
        <f>J239*Variables!$E$30</f>
        <v>4931389.7349524219</v>
      </c>
      <c r="Z239" s="1"/>
      <c r="AA239" s="245">
        <f>D239*(IF(D239&lt;Variables!$C$7,Variables!$C$38,IF(D239&gt;Variables!$C$6,Variables!$C$36,Variables!$C$37)))</f>
        <v>9423.0346839154608</v>
      </c>
      <c r="AB239" s="64">
        <f t="shared" si="13"/>
        <v>9284</v>
      </c>
      <c r="AC239" s="66">
        <f t="shared" si="2"/>
        <v>139</v>
      </c>
      <c r="AD239" s="62">
        <f>AC239*Variables!$E$41</f>
        <v>74726400</v>
      </c>
      <c r="AE239" s="71">
        <f>ROUND((H239/(3.14*Variables!$C$35^2)),0)</f>
        <v>533</v>
      </c>
      <c r="AF239" s="57">
        <f t="shared" si="14"/>
        <v>853</v>
      </c>
      <c r="AG239" s="57">
        <f t="shared" si="3"/>
        <v>0</v>
      </c>
      <c r="AH239" s="58">
        <f>AG239*Variables!$E$42*Variables!$C$18</f>
        <v>0</v>
      </c>
      <c r="AI239" s="73">
        <f t="shared" si="4"/>
        <v>79</v>
      </c>
      <c r="AJ239" s="66">
        <f t="shared" si="15"/>
        <v>77</v>
      </c>
      <c r="AK239" s="66">
        <f t="shared" si="5"/>
        <v>2</v>
      </c>
      <c r="AL239" s="62">
        <f>IF(AK239*Variables!$E$43*Variables!$C$18&lt;0,0,AK239*Variables!$E$43*Variables!$C$18)</f>
        <v>1890762.9839999999</v>
      </c>
      <c r="AM239" s="58">
        <f>AA239*Variables!$E$39*Variables!$C$18</f>
        <v>2723749985.9787087</v>
      </c>
      <c r="AN239" s="1"/>
      <c r="AO239" s="76">
        <f t="shared" si="16"/>
        <v>0.68340000000000001</v>
      </c>
      <c r="AP239" s="76">
        <f t="shared" si="6"/>
        <v>116.68981088551344</v>
      </c>
      <c r="AQ239" s="75">
        <f>VLOOKUP(B239,'Household Information'!$B$2:$E$48,4,FALSE)</f>
        <v>91.36</v>
      </c>
      <c r="AR239" s="79">
        <f>IF(12*(AP239-Variables!$C$45*AQ239*F239)*(G239/5)&lt;0,0,12*(AP239-Variables!$C$45*AQ239*F239)*(G239/5))</f>
        <v>514497693.74178421</v>
      </c>
      <c r="AS239" s="1"/>
      <c r="AT239" s="62">
        <v>0</v>
      </c>
      <c r="AU239" s="1"/>
    </row>
    <row r="240" spans="1:47" ht="14.25" customHeight="1">
      <c r="A240" s="1">
        <v>2</v>
      </c>
      <c r="B240" s="3" t="s">
        <v>87</v>
      </c>
      <c r="C240" s="1">
        <v>2024</v>
      </c>
      <c r="D240" s="13">
        <f>VLOOKUP(B240,Population!$B$1:$O$48,8,FALSE)</f>
        <v>2594008.2583490424</v>
      </c>
      <c r="E240" s="13" t="str">
        <f t="shared" si="19"/>
        <v>Large</v>
      </c>
      <c r="F240" s="54">
        <f>VLOOKUP(B240,'Household Information'!$B$1:$E$48,2,FALSE)</f>
        <v>2.6591126390039355</v>
      </c>
      <c r="G240" s="54">
        <f t="shared" si="0"/>
        <v>975516.50136968994</v>
      </c>
      <c r="H240" s="55">
        <f>IF(D240&gt;Variables!$C$6,H193,H193*(1+Variables!$C$9))</f>
        <v>119.58406164038337</v>
      </c>
      <c r="I240" s="55"/>
      <c r="J240" s="13">
        <f>H240*Variables!$C$21</f>
        <v>2152.5131095269007</v>
      </c>
      <c r="K240" s="13">
        <f t="shared" si="12"/>
        <v>2152.5131095269007</v>
      </c>
      <c r="L240" s="54">
        <f t="shared" si="1"/>
        <v>0</v>
      </c>
      <c r="M240" s="56"/>
      <c r="N240" s="57"/>
      <c r="O240" s="57"/>
      <c r="P240" s="57"/>
      <c r="Q240" s="57"/>
      <c r="R240" s="57"/>
      <c r="S240" s="58">
        <v>0</v>
      </c>
      <c r="T240" s="59">
        <f>$L240*Variables!$C$22/100</f>
        <v>0</v>
      </c>
      <c r="U240" s="59">
        <f>$L240*Variables!$C$23/100</f>
        <v>0</v>
      </c>
      <c r="V240" s="59">
        <f>$L240*Variables!$C$24/100</f>
        <v>0</v>
      </c>
      <c r="W240" s="59">
        <f>$L240*Variables!$C$25/100</f>
        <v>0</v>
      </c>
      <c r="X240" s="62">
        <f>T240*Variables!$E$26*Variables!$C$18+'Cost Calculations'!U240*Variables!$E$27*Variables!$C$18+'Cost Calculations'!V240*Variables!$E$28*Variables!$C$18+W240*Variables!$E$29*Variables!$C$18</f>
        <v>0</v>
      </c>
      <c r="Y240" s="58">
        <f>J240*Variables!$E$30</f>
        <v>1409896.0867401201</v>
      </c>
      <c r="Z240" s="1"/>
      <c r="AA240" s="245">
        <f>D240*(IF(D240&lt;Variables!$C$7,Variables!$C$38,IF(D240&gt;Variables!$C$6,Variables!$C$36,Variables!$C$37)))</f>
        <v>3112.8099100188506</v>
      </c>
      <c r="AB240" s="64">
        <f t="shared" si="13"/>
        <v>4664</v>
      </c>
      <c r="AC240" s="66">
        <f t="shared" si="2"/>
        <v>0</v>
      </c>
      <c r="AD240" s="62">
        <f>AC240*Variables!$E$41</f>
        <v>0</v>
      </c>
      <c r="AE240" s="71">
        <f>ROUND((H240/(3.14*Variables!$C$35^2)),0)</f>
        <v>152</v>
      </c>
      <c r="AF240" s="57">
        <f t="shared" si="14"/>
        <v>152</v>
      </c>
      <c r="AG240" s="57">
        <f t="shared" si="3"/>
        <v>0</v>
      </c>
      <c r="AH240" s="58">
        <f>AG240*Variables!$E$42*Variables!$C$18</f>
        <v>0</v>
      </c>
      <c r="AI240" s="73">
        <f t="shared" si="4"/>
        <v>26</v>
      </c>
      <c r="AJ240" s="66">
        <f t="shared" si="15"/>
        <v>26</v>
      </c>
      <c r="AK240" s="66">
        <f t="shared" si="5"/>
        <v>0</v>
      </c>
      <c r="AL240" s="62">
        <f>IF(AK240*Variables!$E$43*Variables!$C$18&lt;0,0,AK240*Variables!$E$43*Variables!$C$18)</f>
        <v>0</v>
      </c>
      <c r="AM240" s="58">
        <f>AA240*Variables!$E$39*Variables!$C$18</f>
        <v>899764909.41294467</v>
      </c>
      <c r="AN240" s="1"/>
      <c r="AO240" s="76">
        <f t="shared" si="16"/>
        <v>0.75480000000000003</v>
      </c>
      <c r="AP240" s="76">
        <f t="shared" si="6"/>
        <v>120.42589319521024</v>
      </c>
      <c r="AQ240" s="75">
        <f>VLOOKUP(B240,'Household Information'!$B$2:$E$48,4,FALSE)</f>
        <v>73.64</v>
      </c>
      <c r="AR240" s="79">
        <f>IF(12*(AP240-Variables!$C$45*AQ240*F240)*(G240/5)&lt;0,0,12*(AP240-Variables!$C$45*AQ240*F240)*(G240/5))</f>
        <v>213177673.87773103</v>
      </c>
      <c r="AS240" s="1"/>
      <c r="AT240" s="62">
        <v>0</v>
      </c>
      <c r="AU240" s="1"/>
    </row>
    <row r="241" spans="1:47" ht="14.25" customHeight="1">
      <c r="A241" s="1">
        <v>3</v>
      </c>
      <c r="B241" s="3" t="s">
        <v>103</v>
      </c>
      <c r="C241" s="1">
        <v>2024</v>
      </c>
      <c r="D241" s="13">
        <f>VLOOKUP(B241,Population!$B$1:$O$48,8,FALSE)</f>
        <v>1993203.8290998556</v>
      </c>
      <c r="E241" s="13" t="str">
        <f t="shared" si="19"/>
        <v>Large</v>
      </c>
      <c r="F241" s="54">
        <f>VLOOKUP(B241,'Household Information'!$B$1:$E$48,2,FALSE)</f>
        <v>2.6407866430045996</v>
      </c>
      <c r="G241" s="54">
        <f t="shared" si="0"/>
        <v>754776.54901800561</v>
      </c>
      <c r="H241" s="55">
        <f>IF(D241&gt;Variables!$C$6,H194,H194*(1+Variables!$C$9))</f>
        <v>224.70642399999997</v>
      </c>
      <c r="I241" s="55"/>
      <c r="J241" s="13">
        <f>H241*Variables!$C$21</f>
        <v>4044.7156319999995</v>
      </c>
      <c r="K241" s="13">
        <f t="shared" si="12"/>
        <v>4044.7156319999995</v>
      </c>
      <c r="L241" s="54">
        <f t="shared" si="1"/>
        <v>0</v>
      </c>
      <c r="M241" s="56"/>
      <c r="N241" s="57"/>
      <c r="O241" s="57"/>
      <c r="P241" s="57"/>
      <c r="Q241" s="57"/>
      <c r="R241" s="57"/>
      <c r="S241" s="58">
        <v>0</v>
      </c>
      <c r="T241" s="59">
        <f>$L241*Variables!$C$22/100</f>
        <v>0</v>
      </c>
      <c r="U241" s="59">
        <f>$L241*Variables!$C$23/100</f>
        <v>0</v>
      </c>
      <c r="V241" s="59">
        <f>$L241*Variables!$C$24/100</f>
        <v>0</v>
      </c>
      <c r="W241" s="59">
        <f>$L241*Variables!$C$25/100</f>
        <v>0</v>
      </c>
      <c r="X241" s="62">
        <f>T241*Variables!$E$26*Variables!$C$18+'Cost Calculations'!U241*Variables!$E$27*Variables!$C$18+'Cost Calculations'!V241*Variables!$E$28*Variables!$C$18+W241*Variables!$E$29*Variables!$C$18</f>
        <v>0</v>
      </c>
      <c r="Y241" s="58">
        <f>J241*Variables!$E$30</f>
        <v>2649288.7389599998</v>
      </c>
      <c r="Z241" s="1"/>
      <c r="AA241" s="245">
        <f>D241*(IF(D241&lt;Variables!$C$7,Variables!$C$38,IF(D241&gt;Variables!$C$6,Variables!$C$36,Variables!$C$37)))</f>
        <v>2391.8445949198267</v>
      </c>
      <c r="AB241" s="64">
        <f t="shared" si="13"/>
        <v>2356</v>
      </c>
      <c r="AC241" s="66">
        <f t="shared" si="2"/>
        <v>36</v>
      </c>
      <c r="AD241" s="62">
        <f>AC241*Variables!$E$41</f>
        <v>19353600</v>
      </c>
      <c r="AE241" s="71">
        <f>ROUND((H241/(3.14*Variables!$C$35^2)),0)</f>
        <v>286</v>
      </c>
      <c r="AF241" s="57">
        <f t="shared" si="14"/>
        <v>286</v>
      </c>
      <c r="AG241" s="57">
        <f t="shared" si="3"/>
        <v>0</v>
      </c>
      <c r="AH241" s="58">
        <f>AG241*Variables!$E$42*Variables!$C$18</f>
        <v>0</v>
      </c>
      <c r="AI241" s="73">
        <f t="shared" si="4"/>
        <v>20</v>
      </c>
      <c r="AJ241" s="66">
        <f t="shared" si="15"/>
        <v>20</v>
      </c>
      <c r="AK241" s="66">
        <f t="shared" si="5"/>
        <v>0</v>
      </c>
      <c r="AL241" s="62">
        <f>IF(AK241*Variables!$E$43*Variables!$C$18&lt;0,0,AK241*Variables!$E$43*Variables!$C$18)</f>
        <v>0</v>
      </c>
      <c r="AM241" s="58">
        <f>AA241*Variables!$E$39*Variables!$C$18</f>
        <v>691368216.33443284</v>
      </c>
      <c r="AN241" s="1"/>
      <c r="AO241" s="76">
        <f t="shared" si="16"/>
        <v>0.61199999999999999</v>
      </c>
      <c r="AP241" s="76">
        <f t="shared" si="6"/>
        <v>96.969685531128903</v>
      </c>
      <c r="AQ241" s="75">
        <f>VLOOKUP(B241,'Household Information'!$B$2:$E$48,4,FALSE)</f>
        <v>61.12</v>
      </c>
      <c r="AR241" s="79">
        <f>IF(12*(AP241-Variables!$C$45*AQ241*F241)*(G241/5)&lt;0,0,12*(AP241-Variables!$C$45*AQ241*F241)*(G241/5))</f>
        <v>131800204.55846214</v>
      </c>
      <c r="AS241" s="1"/>
      <c r="AT241" s="62">
        <v>0</v>
      </c>
      <c r="AU241" s="1"/>
    </row>
    <row r="242" spans="1:47" ht="14.25" customHeight="1">
      <c r="A242" s="1">
        <v>4</v>
      </c>
      <c r="B242" s="3" t="s">
        <v>104</v>
      </c>
      <c r="C242" s="1">
        <v>2024</v>
      </c>
      <c r="D242" s="13">
        <f>VLOOKUP(B242,Population!$B$1:$O$48,8,FALSE)</f>
        <v>1224769.0802719425</v>
      </c>
      <c r="E242" s="13" t="str">
        <f t="shared" si="19"/>
        <v>Large</v>
      </c>
      <c r="F242" s="54">
        <f>VLOOKUP(B242,'Household Information'!$B$1:$E$48,2,FALSE)</f>
        <v>3.2280741697119208</v>
      </c>
      <c r="G242" s="54">
        <f t="shared" si="0"/>
        <v>379411.69126892864</v>
      </c>
      <c r="H242" s="55">
        <f>IF(D242&gt;Variables!$C$6,H195,H195*(1+Variables!$C$9))</f>
        <v>154</v>
      </c>
      <c r="I242" s="55"/>
      <c r="J242" s="13">
        <f>H242*Variables!$C$21</f>
        <v>2772</v>
      </c>
      <c r="K242" s="13">
        <f t="shared" si="12"/>
        <v>3916</v>
      </c>
      <c r="L242" s="54">
        <f t="shared" si="1"/>
        <v>0</v>
      </c>
      <c r="M242" s="56"/>
      <c r="N242" s="57"/>
      <c r="O242" s="57"/>
      <c r="P242" s="57"/>
      <c r="Q242" s="57"/>
      <c r="R242" s="57"/>
      <c r="S242" s="58">
        <v>0</v>
      </c>
      <c r="T242" s="59">
        <f>$L242*Variables!$C$22/100</f>
        <v>0</v>
      </c>
      <c r="U242" s="59">
        <f>$L242*Variables!$C$23/100</f>
        <v>0</v>
      </c>
      <c r="V242" s="59">
        <f>$L242*Variables!$C$24/100</f>
        <v>0</v>
      </c>
      <c r="W242" s="59">
        <f>$L242*Variables!$C$25/100</f>
        <v>0</v>
      </c>
      <c r="X242" s="62">
        <f>T242*Variables!$E$26*Variables!$C$18+'Cost Calculations'!U242*Variables!$E$27*Variables!$C$18+'Cost Calculations'!V242*Variables!$E$28*Variables!$C$18+W242*Variables!$E$29*Variables!$C$18</f>
        <v>0</v>
      </c>
      <c r="Y242" s="58">
        <f>J242*Variables!$E$30</f>
        <v>1815660</v>
      </c>
      <c r="Z242" s="1"/>
      <c r="AA242" s="245">
        <f>D242*(IF(D242&lt;Variables!$C$7,Variables!$C$38,IF(D242&gt;Variables!$C$6,Variables!$C$36,Variables!$C$37)))</f>
        <v>1469.722896326331</v>
      </c>
      <c r="AB242" s="64">
        <f t="shared" si="13"/>
        <v>2043</v>
      </c>
      <c r="AC242" s="66">
        <f t="shared" si="2"/>
        <v>0</v>
      </c>
      <c r="AD242" s="62">
        <f>AC242*Variables!$E$41</f>
        <v>0</v>
      </c>
      <c r="AE242" s="71">
        <f>ROUND((H242/(3.14*Variables!$C$35^2)),0)</f>
        <v>196</v>
      </c>
      <c r="AF242" s="57">
        <f t="shared" si="14"/>
        <v>196</v>
      </c>
      <c r="AG242" s="57">
        <f t="shared" si="3"/>
        <v>0</v>
      </c>
      <c r="AH242" s="58">
        <f>AG242*Variables!$E$42*Variables!$C$18</f>
        <v>0</v>
      </c>
      <c r="AI242" s="73">
        <f t="shared" si="4"/>
        <v>12</v>
      </c>
      <c r="AJ242" s="66">
        <f t="shared" si="15"/>
        <v>12</v>
      </c>
      <c r="AK242" s="66">
        <f t="shared" si="5"/>
        <v>0</v>
      </c>
      <c r="AL242" s="62">
        <f>IF(AK242*Variables!$E$43*Variables!$C$18&lt;0,0,AK242*Variables!$E$43*Variables!$C$18)</f>
        <v>0</v>
      </c>
      <c r="AM242" s="58">
        <f>AA242*Variables!$E$39*Variables!$C$18</f>
        <v>424826805.00949174</v>
      </c>
      <c r="AN242" s="1"/>
      <c r="AO242" s="76">
        <f t="shared" si="16"/>
        <v>0.6804</v>
      </c>
      <c r="AP242" s="76">
        <f t="shared" si="6"/>
        <v>131.78289990431946</v>
      </c>
      <c r="AQ242" s="75">
        <f>VLOOKUP(B242,'Household Information'!$B$2:$E$48,4,FALSE)</f>
        <v>42.71</v>
      </c>
      <c r="AR242" s="79">
        <f>IF(12*(AP242-Variables!$C$45*AQ242*F242)*(G242/5)&lt;0,0,12*(AP242-Variables!$C$45*AQ242*F242)*(G242/5))</f>
        <v>101168375.56862301</v>
      </c>
      <c r="AS242" s="1"/>
      <c r="AT242" s="62">
        <v>0</v>
      </c>
      <c r="AU242" s="1"/>
    </row>
    <row r="243" spans="1:47" ht="14.25" customHeight="1">
      <c r="A243" s="1">
        <v>5</v>
      </c>
      <c r="B243" s="3" t="s">
        <v>105</v>
      </c>
      <c r="C243" s="1">
        <v>2024</v>
      </c>
      <c r="D243" s="13">
        <f>VLOOKUP(B243,Population!$B$1:$O$48,8,FALSE)</f>
        <v>578272.93735238467</v>
      </c>
      <c r="E243" s="13" t="str">
        <f t="shared" si="19"/>
        <v>Medium</v>
      </c>
      <c r="F243" s="54">
        <f>VLOOKUP(B243,'Household Information'!$B$1:$E$48,2,FALSE)</f>
        <v>2.791645991913092</v>
      </c>
      <c r="G243" s="54">
        <f t="shared" si="0"/>
        <v>207144.07880782153</v>
      </c>
      <c r="H243" s="55">
        <f>IF(D243&gt;Variables!$C$6,H196,H196*(1+Variables!$C$9))</f>
        <v>76.806648999999993</v>
      </c>
      <c r="I243" s="55"/>
      <c r="J243" s="13">
        <f>H243*Variables!$C$21</f>
        <v>1382.5196819999999</v>
      </c>
      <c r="K243" s="13">
        <f t="shared" si="12"/>
        <v>1382.5196819999999</v>
      </c>
      <c r="L243" s="54">
        <f t="shared" si="1"/>
        <v>0</v>
      </c>
      <c r="M243" s="56"/>
      <c r="N243" s="57"/>
      <c r="O243" s="57"/>
      <c r="P243" s="57"/>
      <c r="Q243" s="57"/>
      <c r="R243" s="57"/>
      <c r="S243" s="58">
        <v>0</v>
      </c>
      <c r="T243" s="59">
        <f>$L243*Variables!$C$22/100</f>
        <v>0</v>
      </c>
      <c r="U243" s="59">
        <f>$L243*Variables!$C$23/100</f>
        <v>0</v>
      </c>
      <c r="V243" s="59">
        <f>$L243*Variables!$C$24/100</f>
        <v>0</v>
      </c>
      <c r="W243" s="59">
        <f>$L243*Variables!$C$25/100</f>
        <v>0</v>
      </c>
      <c r="X243" s="62">
        <f>T243*Variables!$E$26*Variables!$C$18+'Cost Calculations'!U243*Variables!$E$27*Variables!$C$18+'Cost Calculations'!V243*Variables!$E$28*Variables!$C$18+W243*Variables!$E$29*Variables!$C$18</f>
        <v>0</v>
      </c>
      <c r="Y243" s="58">
        <f>J243*Variables!$E$30</f>
        <v>905550.39170999988</v>
      </c>
      <c r="Z243" s="1"/>
      <c r="AA243" s="245">
        <f>D243*(IF(D243&lt;Variables!$C$7,Variables!$C$38,IF(D243&gt;Variables!$C$6,Variables!$C$36,Variables!$C$37)))</f>
        <v>693.92752482286153</v>
      </c>
      <c r="AB243" s="64">
        <f t="shared" si="13"/>
        <v>684</v>
      </c>
      <c r="AC243" s="66">
        <f t="shared" si="2"/>
        <v>10</v>
      </c>
      <c r="AD243" s="62">
        <f>AC243*Variables!$E$41</f>
        <v>5376000</v>
      </c>
      <c r="AE243" s="71">
        <f>ROUND((H243/(3.14*Variables!$C$35^2)),0)</f>
        <v>98</v>
      </c>
      <c r="AF243" s="57">
        <f t="shared" si="14"/>
        <v>98</v>
      </c>
      <c r="AG243" s="57">
        <f t="shared" si="3"/>
        <v>0</v>
      </c>
      <c r="AH243" s="58">
        <f>AG243*Variables!$E$42*Variables!$C$18</f>
        <v>0</v>
      </c>
      <c r="AI243" s="73">
        <f t="shared" si="4"/>
        <v>6</v>
      </c>
      <c r="AJ243" s="66">
        <f t="shared" si="15"/>
        <v>6</v>
      </c>
      <c r="AK243" s="66">
        <f t="shared" si="5"/>
        <v>0</v>
      </c>
      <c r="AL243" s="62">
        <f>IF(AK243*Variables!$E$43*Variables!$C$18&lt;0,0,AK243*Variables!$E$43*Variables!$C$18)</f>
        <v>0</v>
      </c>
      <c r="AM243" s="58">
        <f>AA243*Variables!$E$39*Variables!$C$18</f>
        <v>200581357.21741188</v>
      </c>
      <c r="AN243" s="1"/>
      <c r="AO243" s="76">
        <f t="shared" si="16"/>
        <v>0.71399999999999997</v>
      </c>
      <c r="AP243" s="76">
        <f t="shared" si="6"/>
        <v>119.59411429355686</v>
      </c>
      <c r="AQ243" s="75">
        <f>VLOOKUP(B243,'Household Information'!$B$2:$E$48,4,FALSE)</f>
        <v>61.2</v>
      </c>
      <c r="AR243" s="79">
        <f>IF(12*(AP243-Variables!$C$45*AQ243*F243)*(G243/5)&lt;0,0,12*(AP243-Variables!$C$45*AQ243*F243)*(G243/5))</f>
        <v>46715200.971075036</v>
      </c>
      <c r="AS243" s="1"/>
      <c r="AT243" s="62">
        <v>0</v>
      </c>
      <c r="AU243" s="1"/>
    </row>
    <row r="244" spans="1:47" ht="14.25" customHeight="1">
      <c r="A244" s="1">
        <v>6</v>
      </c>
      <c r="B244" s="3" t="s">
        <v>106</v>
      </c>
      <c r="C244" s="1">
        <v>2024</v>
      </c>
      <c r="D244" s="13">
        <f>VLOOKUP(B244,Population!$B$1:$O$48,8,FALSE)</f>
        <v>970918.57244481111</v>
      </c>
      <c r="E244" s="13" t="str">
        <f t="shared" si="19"/>
        <v>Medium</v>
      </c>
      <c r="F244" s="54">
        <f>VLOOKUP(B244,'Household Information'!$B$1:$E$48,2,FALSE)</f>
        <v>3.0151582035627214</v>
      </c>
      <c r="G244" s="54">
        <f t="shared" si="0"/>
        <v>322012.48057152372</v>
      </c>
      <c r="H244" s="55">
        <f>IF(D244&gt;Variables!$C$6,H197,H197*(1+Variables!$C$9))</f>
        <v>116.91803899999999</v>
      </c>
      <c r="I244" s="1"/>
      <c r="J244" s="13">
        <f>H244*Variables!$C$21</f>
        <v>2104.5247019999997</v>
      </c>
      <c r="K244" s="13">
        <f t="shared" si="12"/>
        <v>2104.5247019999997</v>
      </c>
      <c r="L244" s="54">
        <f t="shared" si="1"/>
        <v>0</v>
      </c>
      <c r="M244" s="56"/>
      <c r="N244" s="57"/>
      <c r="O244" s="57"/>
      <c r="P244" s="57"/>
      <c r="Q244" s="57"/>
      <c r="R244" s="57"/>
      <c r="S244" s="58">
        <v>0</v>
      </c>
      <c r="T244" s="59">
        <f>$L244*Variables!$C$22/100</f>
        <v>0</v>
      </c>
      <c r="U244" s="59">
        <f>$L244*Variables!$C$23/100</f>
        <v>0</v>
      </c>
      <c r="V244" s="59">
        <f>$L244*Variables!$C$24/100</f>
        <v>0</v>
      </c>
      <c r="W244" s="59">
        <f>$L244*Variables!$C$25/100</f>
        <v>0</v>
      </c>
      <c r="X244" s="62">
        <f>T244*Variables!$E$26*Variables!$C$18+'Cost Calculations'!U244*Variables!$E$27*Variables!$C$18+'Cost Calculations'!V244*Variables!$E$28*Variables!$C$18+W244*Variables!$E$29*Variables!$C$18</f>
        <v>0</v>
      </c>
      <c r="Y244" s="58">
        <f>J244*Variables!$E$30</f>
        <v>1378463.6798099999</v>
      </c>
      <c r="Z244" s="1"/>
      <c r="AA244" s="245">
        <f>D244*(IF(D244&lt;Variables!$C$7,Variables!$C$38,IF(D244&gt;Variables!$C$6,Variables!$C$36,Variables!$C$37)))</f>
        <v>1165.1022869337733</v>
      </c>
      <c r="AB244" s="64">
        <f t="shared" si="13"/>
        <v>1148</v>
      </c>
      <c r="AC244" s="66">
        <f t="shared" si="2"/>
        <v>17</v>
      </c>
      <c r="AD244" s="62">
        <f>AC244*Variables!$E$41</f>
        <v>9139200</v>
      </c>
      <c r="AE244" s="71">
        <f>ROUND((H244/(3.14*Variables!$C$35^2)),0)</f>
        <v>149</v>
      </c>
      <c r="AF244" s="57">
        <f t="shared" si="14"/>
        <v>149</v>
      </c>
      <c r="AG244" s="57">
        <f t="shared" si="3"/>
        <v>0</v>
      </c>
      <c r="AH244" s="58">
        <f>AG244*Variables!$E$42*Variables!$C$18</f>
        <v>0</v>
      </c>
      <c r="AI244" s="73">
        <f t="shared" si="4"/>
        <v>10</v>
      </c>
      <c r="AJ244" s="66">
        <f t="shared" si="15"/>
        <v>10</v>
      </c>
      <c r="AK244" s="66">
        <f t="shared" si="5"/>
        <v>0</v>
      </c>
      <c r="AL244" s="62">
        <f>IF(AK244*Variables!$E$43*Variables!$C$18&lt;0,0,AK244*Variables!$E$43*Variables!$C$18)</f>
        <v>0</v>
      </c>
      <c r="AM244" s="58">
        <f>AA244*Variables!$E$39*Variables!$C$18</f>
        <v>336775512.78851867</v>
      </c>
      <c r="AN244" s="1"/>
      <c r="AO244" s="76">
        <f t="shared" si="16"/>
        <v>0.68340000000000001</v>
      </c>
      <c r="AP244" s="76">
        <f t="shared" si="6"/>
        <v>123.63354697888582</v>
      </c>
      <c r="AQ244" s="75">
        <f>VLOOKUP(B244,'Household Information'!$B$2:$E$48,4,FALSE)</f>
        <v>55.55</v>
      </c>
      <c r="AR244" s="79">
        <f>IF(12*(AP244-Variables!$C$45*AQ244*F244)*(G244/5)&lt;0,0,12*(AP244-Variables!$C$45*AQ244*F244)*(G244/5))</f>
        <v>76131278.735113546</v>
      </c>
      <c r="AS244" s="1"/>
      <c r="AT244" s="62">
        <v>0</v>
      </c>
      <c r="AU244" s="1"/>
    </row>
    <row r="245" spans="1:47" ht="14.25" customHeight="1">
      <c r="A245" s="1">
        <v>7</v>
      </c>
      <c r="B245" s="3" t="s">
        <v>107</v>
      </c>
      <c r="C245" s="1">
        <v>2024</v>
      </c>
      <c r="D245" s="13">
        <f>VLOOKUP(B245,Population!$B$1:$O$48,8,FALSE)</f>
        <v>688228.49853119266</v>
      </c>
      <c r="E245" s="13" t="str">
        <f t="shared" si="19"/>
        <v>Medium</v>
      </c>
      <c r="F245" s="54">
        <f>VLOOKUP(B245,'Household Information'!$B$1:$E$48,2,FALSE)</f>
        <v>2.7144187891908675</v>
      </c>
      <c r="G245" s="54">
        <f t="shared" si="0"/>
        <v>253545.43715649142</v>
      </c>
      <c r="H245" s="55">
        <f>IF(D245&gt;Variables!$C$6,H198,H198*(1+Variables!$C$9))</f>
        <v>92.766498999999996</v>
      </c>
      <c r="I245" s="1"/>
      <c r="J245" s="13">
        <f>H245*Variables!$C$21</f>
        <v>1669.7969819999998</v>
      </c>
      <c r="K245" s="13">
        <f t="shared" si="12"/>
        <v>1669.7969819999998</v>
      </c>
      <c r="L245" s="54">
        <f t="shared" si="1"/>
        <v>0</v>
      </c>
      <c r="M245" s="56"/>
      <c r="N245" s="57"/>
      <c r="O245" s="57"/>
      <c r="P245" s="57"/>
      <c r="Q245" s="57"/>
      <c r="R245" s="57"/>
      <c r="S245" s="58">
        <v>0</v>
      </c>
      <c r="T245" s="59">
        <f>$L245*Variables!$C$22/100</f>
        <v>0</v>
      </c>
      <c r="U245" s="59">
        <f>$L245*Variables!$C$23/100</f>
        <v>0</v>
      </c>
      <c r="V245" s="59">
        <f>$L245*Variables!$C$24/100</f>
        <v>0</v>
      </c>
      <c r="W245" s="59">
        <f>$L245*Variables!$C$25/100</f>
        <v>0</v>
      </c>
      <c r="X245" s="62">
        <f>T245*Variables!$E$26*Variables!$C$18+'Cost Calculations'!U245*Variables!$E$27*Variables!$C$18+'Cost Calculations'!V245*Variables!$E$28*Variables!$C$18+W245*Variables!$E$29*Variables!$C$18</f>
        <v>0</v>
      </c>
      <c r="Y245" s="58">
        <f>J245*Variables!$E$30</f>
        <v>1093717.0232099998</v>
      </c>
      <c r="Z245" s="1"/>
      <c r="AA245" s="245">
        <f>D245*(IF(D245&lt;Variables!$C$7,Variables!$C$38,IF(D245&gt;Variables!$C$6,Variables!$C$36,Variables!$C$37)))</f>
        <v>825.87419823743107</v>
      </c>
      <c r="AB245" s="64">
        <f t="shared" si="13"/>
        <v>814</v>
      </c>
      <c r="AC245" s="66">
        <f t="shared" si="2"/>
        <v>12</v>
      </c>
      <c r="AD245" s="62">
        <f>AC245*Variables!$E$41</f>
        <v>6451200</v>
      </c>
      <c r="AE245" s="71">
        <f>ROUND((H245/(3.14*Variables!$C$35^2)),0)</f>
        <v>118</v>
      </c>
      <c r="AF245" s="57">
        <f t="shared" si="14"/>
        <v>118</v>
      </c>
      <c r="AG245" s="57">
        <f t="shared" si="3"/>
        <v>0</v>
      </c>
      <c r="AH245" s="58">
        <f>AG245*Variables!$E$42*Variables!$C$18</f>
        <v>0</v>
      </c>
      <c r="AI245" s="73">
        <f t="shared" si="4"/>
        <v>7</v>
      </c>
      <c r="AJ245" s="66">
        <f t="shared" si="15"/>
        <v>7</v>
      </c>
      <c r="AK245" s="66">
        <f t="shared" si="5"/>
        <v>0</v>
      </c>
      <c r="AL245" s="62">
        <f>IF(AK245*Variables!$E$43*Variables!$C$18&lt;0,0,AK245*Variables!$E$43*Variables!$C$18)</f>
        <v>0</v>
      </c>
      <c r="AM245" s="58">
        <f>AA245*Variables!$E$39*Variables!$C$18</f>
        <v>238720848.5721797</v>
      </c>
      <c r="AN245" s="1"/>
      <c r="AO245" s="76">
        <f t="shared" si="16"/>
        <v>0.67714285714285716</v>
      </c>
      <c r="AP245" s="76">
        <f t="shared" si="6"/>
        <v>110.28295766369753</v>
      </c>
      <c r="AQ245" s="75">
        <f>VLOOKUP(B245,'Household Information'!$B$2:$E$48,4,FALSE)</f>
        <v>59.47</v>
      </c>
      <c r="AR245" s="79">
        <f>IF(12*(AP245-Variables!$C$45*AQ245*F245)*(G245/5)&lt;0,0,12*(AP245-Variables!$C$45*AQ245*F245)*(G245/5))</f>
        <v>52373756.137453258</v>
      </c>
      <c r="AS245" s="1"/>
      <c r="AT245" s="62">
        <v>0</v>
      </c>
      <c r="AU245" s="1"/>
    </row>
    <row r="246" spans="1:47" ht="14.25" customHeight="1">
      <c r="A246" s="1">
        <v>8</v>
      </c>
      <c r="B246" s="3" t="s">
        <v>108</v>
      </c>
      <c r="C246" s="1">
        <v>2024</v>
      </c>
      <c r="D246" s="13">
        <f>VLOOKUP(B246,Population!$B$1:$O$48,8,FALSE)</f>
        <v>447950.90193938121</v>
      </c>
      <c r="E246" s="13" t="str">
        <f t="shared" si="19"/>
        <v>Medium</v>
      </c>
      <c r="F246" s="54">
        <f>VLOOKUP(B246,'Household Information'!$B$1:$E$48,2,FALSE)</f>
        <v>2.3617684870776379</v>
      </c>
      <c r="G246" s="54">
        <f t="shared" si="0"/>
        <v>189667.57512022633</v>
      </c>
      <c r="H246" s="55">
        <f>IF(D246&gt;Variables!$C$6,H199,H199*(1+Variables!$C$9))</f>
        <v>39.199250999999997</v>
      </c>
      <c r="I246" s="1"/>
      <c r="J246" s="13">
        <f>H246*Variables!$C$21</f>
        <v>705.58651799999996</v>
      </c>
      <c r="K246" s="13">
        <f t="shared" si="12"/>
        <v>705.58651799999996</v>
      </c>
      <c r="L246" s="54">
        <f t="shared" si="1"/>
        <v>0</v>
      </c>
      <c r="M246" s="56"/>
      <c r="N246" s="57"/>
      <c r="O246" s="57"/>
      <c r="P246" s="57"/>
      <c r="Q246" s="57"/>
      <c r="R246" s="57"/>
      <c r="S246" s="58">
        <v>0</v>
      </c>
      <c r="T246" s="59">
        <f>$L246*Variables!$C$22/100</f>
        <v>0</v>
      </c>
      <c r="U246" s="59">
        <f>$L246*Variables!$C$23/100</f>
        <v>0</v>
      </c>
      <c r="V246" s="59">
        <f>$L246*Variables!$C$24/100</f>
        <v>0</v>
      </c>
      <c r="W246" s="59">
        <f>$L246*Variables!$C$25/100</f>
        <v>0</v>
      </c>
      <c r="X246" s="62">
        <f>T246*Variables!$E$26*Variables!$C$18+'Cost Calculations'!U246*Variables!$E$27*Variables!$C$18+'Cost Calculations'!V246*Variables!$E$28*Variables!$C$18+W246*Variables!$E$29*Variables!$C$18</f>
        <v>0</v>
      </c>
      <c r="Y246" s="58">
        <f>J246*Variables!$E$30</f>
        <v>462159.16928999999</v>
      </c>
      <c r="Z246" s="1"/>
      <c r="AA246" s="245">
        <f>D246*(IF(D246&lt;Variables!$C$7,Variables!$C$38,IF(D246&gt;Variables!$C$6,Variables!$C$36,Variables!$C$37)))</f>
        <v>537.54108232725741</v>
      </c>
      <c r="AB246" s="64">
        <f t="shared" si="13"/>
        <v>978</v>
      </c>
      <c r="AC246" s="66">
        <f t="shared" si="2"/>
        <v>0</v>
      </c>
      <c r="AD246" s="62">
        <f>AC246*Variables!$E$41</f>
        <v>0</v>
      </c>
      <c r="AE246" s="71">
        <f>ROUND((H246/(3.14*Variables!$C$35^2)),0)</f>
        <v>50</v>
      </c>
      <c r="AF246" s="57">
        <f t="shared" si="14"/>
        <v>50</v>
      </c>
      <c r="AG246" s="57">
        <f t="shared" si="3"/>
        <v>0</v>
      </c>
      <c r="AH246" s="58">
        <f>AG246*Variables!$E$42*Variables!$C$18</f>
        <v>0</v>
      </c>
      <c r="AI246" s="73">
        <f t="shared" si="4"/>
        <v>4</v>
      </c>
      <c r="AJ246" s="66">
        <f t="shared" si="15"/>
        <v>4</v>
      </c>
      <c r="AK246" s="66">
        <f t="shared" si="5"/>
        <v>0</v>
      </c>
      <c r="AL246" s="62">
        <f>IF(AK246*Variables!$E$43*Variables!$C$18&lt;0,0,AK246*Variables!$E$43*Variables!$C$18)</f>
        <v>0</v>
      </c>
      <c r="AM246" s="58">
        <f>AA246*Variables!$E$39*Variables!$C$18</f>
        <v>155377494.04138592</v>
      </c>
      <c r="AN246" s="1"/>
      <c r="AO246" s="76">
        <f t="shared" si="16"/>
        <v>0.61199999999999999</v>
      </c>
      <c r="AP246" s="76">
        <f t="shared" si="6"/>
        <v>86.724138845490856</v>
      </c>
      <c r="AQ246" s="75">
        <f>VLOOKUP(B246,'Household Information'!$B$2:$E$48,4,FALSE)</f>
        <v>75.66</v>
      </c>
      <c r="AR246" s="79">
        <f>IF(12*(AP246-Variables!$C$45*AQ246*F246)*(G246/5)&lt;0,0,12*(AP246-Variables!$C$45*AQ246*F246)*(G246/5))</f>
        <v>27275909.599449694</v>
      </c>
      <c r="AS246" s="1"/>
      <c r="AT246" s="62">
        <v>0</v>
      </c>
      <c r="AU246" s="1"/>
    </row>
    <row r="247" spans="1:47" ht="14.25" customHeight="1">
      <c r="A247" s="1">
        <v>9</v>
      </c>
      <c r="B247" s="3" t="s">
        <v>109</v>
      </c>
      <c r="C247" s="1">
        <v>2024</v>
      </c>
      <c r="D247" s="13">
        <f>VLOOKUP(B247,Population!$B$1:$O$48,8,FALSE)</f>
        <v>524692.03053266753</v>
      </c>
      <c r="E247" s="13" t="str">
        <f t="shared" si="19"/>
        <v>Medium</v>
      </c>
      <c r="F247" s="54">
        <f>VLOOKUP(B247,'Household Information'!$B$1:$E$48,2,FALSE)</f>
        <v>2.7429262269780841</v>
      </c>
      <c r="G247" s="54">
        <f t="shared" si="0"/>
        <v>191289.15148065329</v>
      </c>
      <c r="H247" s="55">
        <f>IF(D247&gt;Variables!$C$6,H200,H200*(1+Variables!$C$9))</f>
        <v>47.234957999999992</v>
      </c>
      <c r="I247" s="1"/>
      <c r="J247" s="13">
        <f>H247*Variables!$C$21</f>
        <v>850.22924399999988</v>
      </c>
      <c r="K247" s="13">
        <f t="shared" si="12"/>
        <v>850.22924399999988</v>
      </c>
      <c r="L247" s="54">
        <f t="shared" si="1"/>
        <v>0</v>
      </c>
      <c r="M247" s="56"/>
      <c r="N247" s="57"/>
      <c r="O247" s="57"/>
      <c r="P247" s="57"/>
      <c r="Q247" s="57"/>
      <c r="R247" s="57"/>
      <c r="S247" s="58">
        <v>0</v>
      </c>
      <c r="T247" s="59">
        <f>$L247*Variables!$C$22/100</f>
        <v>0</v>
      </c>
      <c r="U247" s="59">
        <f>$L247*Variables!$C$23/100</f>
        <v>0</v>
      </c>
      <c r="V247" s="59">
        <f>$L247*Variables!$C$24/100</f>
        <v>0</v>
      </c>
      <c r="W247" s="59">
        <f>$L247*Variables!$C$25/100</f>
        <v>0</v>
      </c>
      <c r="X247" s="62">
        <f>T247*Variables!$E$26*Variables!$C$18+'Cost Calculations'!U247*Variables!$E$27*Variables!$C$18+'Cost Calculations'!V247*Variables!$E$28*Variables!$C$18+W247*Variables!$E$29*Variables!$C$18</f>
        <v>0</v>
      </c>
      <c r="Y247" s="58">
        <f>J247*Variables!$E$30</f>
        <v>556900.15481999994</v>
      </c>
      <c r="Z247" s="1"/>
      <c r="AA247" s="245">
        <f>D247*(IF(D247&lt;Variables!$C$7,Variables!$C$38,IF(D247&gt;Variables!$C$6,Variables!$C$36,Variables!$C$37)))</f>
        <v>629.63043663920098</v>
      </c>
      <c r="AB247" s="64">
        <f t="shared" si="13"/>
        <v>620</v>
      </c>
      <c r="AC247" s="66">
        <f t="shared" si="2"/>
        <v>10</v>
      </c>
      <c r="AD247" s="62">
        <f>AC247*Variables!$E$41</f>
        <v>5376000</v>
      </c>
      <c r="AE247" s="71">
        <f>ROUND((H247/(3.14*Variables!$C$35^2)),0)</f>
        <v>60</v>
      </c>
      <c r="AF247" s="57">
        <f t="shared" si="14"/>
        <v>60</v>
      </c>
      <c r="AG247" s="57">
        <f t="shared" si="3"/>
        <v>0</v>
      </c>
      <c r="AH247" s="58">
        <f>AG247*Variables!$E$42*Variables!$C$18</f>
        <v>0</v>
      </c>
      <c r="AI247" s="73">
        <f t="shared" si="4"/>
        <v>5</v>
      </c>
      <c r="AJ247" s="66">
        <f t="shared" si="15"/>
        <v>5</v>
      </c>
      <c r="AK247" s="66">
        <f t="shared" si="5"/>
        <v>0</v>
      </c>
      <c r="AL247" s="62">
        <f>IF(AK247*Variables!$E$43*Variables!$C$18&lt;0,0,AK247*Variables!$E$43*Variables!$C$18)</f>
        <v>0</v>
      </c>
      <c r="AM247" s="58">
        <f>AA247*Variables!$E$39*Variables!$C$18</f>
        <v>181996135.05563295</v>
      </c>
      <c r="AN247" s="1"/>
      <c r="AO247" s="76">
        <f t="shared" si="16"/>
        <v>0.67714285714285716</v>
      </c>
      <c r="AP247" s="76">
        <f t="shared" si="6"/>
        <v>111.44117413608102</v>
      </c>
      <c r="AQ247" s="75">
        <f>VLOOKUP(B247,'Household Information'!$B$2:$E$48,4,FALSE)</f>
        <v>65.935833333333335</v>
      </c>
      <c r="AR247" s="79">
        <f>IF(12*(AP247-Variables!$C$45*AQ247*F247)*(G247/5)&lt;0,0,12*(AP247-Variables!$C$45*AQ247*F247)*(G247/5))</f>
        <v>38707408.07764592</v>
      </c>
      <c r="AS247" s="1"/>
      <c r="AT247" s="62">
        <v>0</v>
      </c>
      <c r="AU247" s="1"/>
    </row>
    <row r="248" spans="1:47" ht="14.25" customHeight="1">
      <c r="A248" s="1">
        <v>10</v>
      </c>
      <c r="B248" s="3" t="s">
        <v>110</v>
      </c>
      <c r="C248" s="1">
        <v>2024</v>
      </c>
      <c r="D248" s="13">
        <f>VLOOKUP(B248,Population!$B$1:$O$48,8,FALSE)</f>
        <v>547471.73405038449</v>
      </c>
      <c r="E248" s="13" t="str">
        <f t="shared" si="19"/>
        <v>Medium</v>
      </c>
      <c r="F248" s="54">
        <f>VLOOKUP(B248,'Household Information'!$B$1:$E$48,2,FALSE)</f>
        <v>2.5116430728482135</v>
      </c>
      <c r="G248" s="54">
        <f t="shared" si="0"/>
        <v>217973.54089390946</v>
      </c>
      <c r="H248" s="55">
        <f>IF(D248&gt;Variables!$C$6,H201,H201*(1+Variables!$C$9))</f>
        <v>27.319750999999997</v>
      </c>
      <c r="I248" s="1"/>
      <c r="J248" s="13">
        <f>H248*Variables!$C$21</f>
        <v>491.75551799999994</v>
      </c>
      <c r="K248" s="13">
        <f t="shared" si="12"/>
        <v>491.75551799999994</v>
      </c>
      <c r="L248" s="54">
        <f t="shared" si="1"/>
        <v>0</v>
      </c>
      <c r="M248" s="56"/>
      <c r="N248" s="57"/>
      <c r="O248" s="57"/>
      <c r="P248" s="57"/>
      <c r="Q248" s="57"/>
      <c r="R248" s="57"/>
      <c r="S248" s="58">
        <v>0</v>
      </c>
      <c r="T248" s="59">
        <f>$L248*Variables!$C$22/100</f>
        <v>0</v>
      </c>
      <c r="U248" s="59">
        <f>$L248*Variables!$C$23/100</f>
        <v>0</v>
      </c>
      <c r="V248" s="59">
        <f>$L248*Variables!$C$24/100</f>
        <v>0</v>
      </c>
      <c r="W248" s="59">
        <f>$L248*Variables!$C$25/100</f>
        <v>0</v>
      </c>
      <c r="X248" s="62">
        <f>T248*Variables!$E$26*Variables!$C$18+'Cost Calculations'!U248*Variables!$E$27*Variables!$C$18+'Cost Calculations'!V248*Variables!$E$28*Variables!$C$18+W248*Variables!$E$29*Variables!$C$18</f>
        <v>0</v>
      </c>
      <c r="Y248" s="58">
        <f>J248*Variables!$E$30</f>
        <v>322099.86428999994</v>
      </c>
      <c r="Z248" s="1"/>
      <c r="AA248" s="245">
        <f>D248*(IF(D248&lt;Variables!$C$7,Variables!$C$38,IF(D248&gt;Variables!$C$6,Variables!$C$36,Variables!$C$37)))</f>
        <v>656.96608086046137</v>
      </c>
      <c r="AB248" s="64">
        <f t="shared" si="13"/>
        <v>647</v>
      </c>
      <c r="AC248" s="66">
        <f t="shared" si="2"/>
        <v>10</v>
      </c>
      <c r="AD248" s="62">
        <f>AC248*Variables!$E$41</f>
        <v>5376000</v>
      </c>
      <c r="AE248" s="71">
        <f>ROUND((H248/(3.14*Variables!$C$35^2)),0)</f>
        <v>35</v>
      </c>
      <c r="AF248" s="57">
        <f t="shared" si="14"/>
        <v>35</v>
      </c>
      <c r="AG248" s="57">
        <f t="shared" si="3"/>
        <v>0</v>
      </c>
      <c r="AH248" s="58">
        <f>AG248*Variables!$E$42*Variables!$C$18</f>
        <v>0</v>
      </c>
      <c r="AI248" s="73">
        <f t="shared" si="4"/>
        <v>5</v>
      </c>
      <c r="AJ248" s="66">
        <f t="shared" si="15"/>
        <v>5</v>
      </c>
      <c r="AK248" s="66">
        <f t="shared" si="5"/>
        <v>0</v>
      </c>
      <c r="AL248" s="62">
        <f>IF(AK248*Variables!$E$43*Variables!$C$18&lt;0,0,AK248*Variables!$E$43*Variables!$C$18)</f>
        <v>0</v>
      </c>
      <c r="AM248" s="58">
        <f>AA248*Variables!$E$39*Variables!$C$18</f>
        <v>189897566.28897732</v>
      </c>
      <c r="AN248" s="1"/>
      <c r="AO248" s="76">
        <f t="shared" si="16"/>
        <v>0.67714285714285716</v>
      </c>
      <c r="AP248" s="76">
        <f t="shared" si="6"/>
        <v>102.04446998829027</v>
      </c>
      <c r="AQ248" s="75">
        <f>VLOOKUP(B248,'Household Information'!$B$2:$E$48,4,FALSE)</f>
        <v>62.81</v>
      </c>
      <c r="AR248" s="79">
        <f>IF(12*(AP248-Variables!$C$45*AQ248*F248)*(G248/5)&lt;0,0,12*(AP248-Variables!$C$45*AQ248*F248)*(G248/5))</f>
        <v>41003974.823122106</v>
      </c>
      <c r="AS248" s="1"/>
      <c r="AT248" s="62">
        <v>0</v>
      </c>
      <c r="AU248" s="1"/>
    </row>
    <row r="249" spans="1:47" ht="14.25" customHeight="1">
      <c r="A249" s="1">
        <v>11</v>
      </c>
      <c r="B249" s="3" t="s">
        <v>125</v>
      </c>
      <c r="C249" s="1">
        <v>2024</v>
      </c>
      <c r="D249" s="13">
        <f>VLOOKUP(B249,Population!$B$1:$O$48,8,FALSE)</f>
        <v>385248.49141185445</v>
      </c>
      <c r="E249" s="13" t="str">
        <f t="shared" si="19"/>
        <v>Medium</v>
      </c>
      <c r="F249" s="54">
        <f>VLOOKUP(B249,'Household Information'!$B$1:$E$48,2,FALSE)</f>
        <v>2.693850400263019</v>
      </c>
      <c r="G249" s="54">
        <f t="shared" si="0"/>
        <v>143010.3510477939</v>
      </c>
      <c r="H249" s="55">
        <f>IF(D249&gt;Variables!$C$6,H202,H202*(1+Variables!$C$9))</f>
        <v>28.674206300180991</v>
      </c>
      <c r="I249" s="1"/>
      <c r="J249" s="13">
        <f>H249*Variables!$C$21</f>
        <v>516.1357134032578</v>
      </c>
      <c r="K249" s="13">
        <f t="shared" si="12"/>
        <v>516.1357134032578</v>
      </c>
      <c r="L249" s="54">
        <f t="shared" si="1"/>
        <v>0</v>
      </c>
      <c r="M249" s="56"/>
      <c r="N249" s="57"/>
      <c r="O249" s="57"/>
      <c r="P249" s="57"/>
      <c r="Q249" s="57"/>
      <c r="R249" s="57"/>
      <c r="S249" s="58">
        <v>0</v>
      </c>
      <c r="T249" s="59">
        <f>$L249*Variables!$C$22/100</f>
        <v>0</v>
      </c>
      <c r="U249" s="59">
        <f>$L249*Variables!$C$23/100</f>
        <v>0</v>
      </c>
      <c r="V249" s="59">
        <f>$L249*Variables!$C$24/100</f>
        <v>0</v>
      </c>
      <c r="W249" s="59">
        <f>$L249*Variables!$C$25/100</f>
        <v>0</v>
      </c>
      <c r="X249" s="62">
        <f>T249*Variables!$E$26*Variables!$C$18+'Cost Calculations'!U249*Variables!$E$27*Variables!$C$18+'Cost Calculations'!V249*Variables!$E$28*Variables!$C$18+W249*Variables!$E$29*Variables!$C$18</f>
        <v>0</v>
      </c>
      <c r="Y249" s="58">
        <f>J249*Variables!$E$30</f>
        <v>338068.89227913384</v>
      </c>
      <c r="Z249" s="1"/>
      <c r="AA249" s="245">
        <f>D249*(IF(D249&lt;Variables!$C$7,Variables!$C$38,IF(D249&gt;Variables!$C$6,Variables!$C$36,Variables!$C$37)))</f>
        <v>462.2981896942253</v>
      </c>
      <c r="AB249" s="64">
        <f t="shared" si="13"/>
        <v>455</v>
      </c>
      <c r="AC249" s="66">
        <f t="shared" si="2"/>
        <v>7</v>
      </c>
      <c r="AD249" s="62">
        <f>AC249*Variables!$E$41</f>
        <v>3763200</v>
      </c>
      <c r="AE249" s="71">
        <f>ROUND((H249/(3.14*Variables!$C$35^2)),0)</f>
        <v>37</v>
      </c>
      <c r="AF249" s="57">
        <f t="shared" si="14"/>
        <v>37</v>
      </c>
      <c r="AG249" s="57">
        <f t="shared" si="3"/>
        <v>0</v>
      </c>
      <c r="AH249" s="58">
        <f>AG249*Variables!$E$42*Variables!$C$18</f>
        <v>0</v>
      </c>
      <c r="AI249" s="73">
        <f t="shared" si="4"/>
        <v>4</v>
      </c>
      <c r="AJ249" s="66">
        <f t="shared" si="15"/>
        <v>4</v>
      </c>
      <c r="AK249" s="66">
        <f t="shared" si="5"/>
        <v>0</v>
      </c>
      <c r="AL249" s="62">
        <f>IF(AK249*Variables!$E$43*Variables!$C$18&lt;0,0,AK249*Variables!$E$43*Variables!$C$18)</f>
        <v>0</v>
      </c>
      <c r="AM249" s="58">
        <f>AA249*Variables!$E$39*Variables!$C$18</f>
        <v>133628361.7683143</v>
      </c>
      <c r="AN249" s="1"/>
      <c r="AO249" s="76">
        <f t="shared" si="16"/>
        <v>0.67714285714285716</v>
      </c>
      <c r="AP249" s="76">
        <f t="shared" si="6"/>
        <v>109.4472934049718</v>
      </c>
      <c r="AQ249" s="75">
        <f>VLOOKUP(B249,'Household Information'!$B$2:$E$48,4,FALSE)</f>
        <v>65.935833333333335</v>
      </c>
      <c r="AR249" s="79">
        <f>IF(12*(AP249-Variables!$C$45*AQ249*F249)*(G249/5)&lt;0,0,12*(AP249-Variables!$C$45*AQ249*F249)*(G249/5))</f>
        <v>28420425.126788147</v>
      </c>
      <c r="AS249" s="1"/>
      <c r="AT249" s="62">
        <v>0</v>
      </c>
      <c r="AU249" s="1"/>
    </row>
    <row r="250" spans="1:47" ht="14.25" customHeight="1">
      <c r="A250" s="1">
        <v>12</v>
      </c>
      <c r="B250" s="3" t="s">
        <v>152</v>
      </c>
      <c r="C250" s="1">
        <v>2024</v>
      </c>
      <c r="D250" s="13">
        <f>VLOOKUP(B250,Population!$B$1:$O$48,8,FALSE)</f>
        <v>437854.04684013489</v>
      </c>
      <c r="E250" s="13" t="str">
        <f t="shared" si="19"/>
        <v>Medium</v>
      </c>
      <c r="F250" s="54">
        <f>VLOOKUP(B250,'Household Information'!$B$1:$E$48,2,FALSE)</f>
        <v>2.5280688906285511</v>
      </c>
      <c r="G250" s="54">
        <f t="shared" si="0"/>
        <v>173197.03923545836</v>
      </c>
      <c r="H250" s="55">
        <f>IF(D250&gt;Variables!$C$6,H203,H203*(1+Variables!$C$9))</f>
        <v>17.374026999999998</v>
      </c>
      <c r="I250" s="1"/>
      <c r="J250" s="13">
        <f>H250*Variables!$C$21</f>
        <v>312.73248599999999</v>
      </c>
      <c r="K250" s="13">
        <f t="shared" si="12"/>
        <v>639</v>
      </c>
      <c r="L250" s="54">
        <f t="shared" si="1"/>
        <v>0</v>
      </c>
      <c r="M250" s="56"/>
      <c r="N250" s="57"/>
      <c r="O250" s="57"/>
      <c r="P250" s="57"/>
      <c r="Q250" s="57"/>
      <c r="R250" s="57"/>
      <c r="S250" s="58">
        <v>0</v>
      </c>
      <c r="T250" s="59">
        <f>$L250*Variables!$C$22/100</f>
        <v>0</v>
      </c>
      <c r="U250" s="59">
        <f>$L250*Variables!$C$23/100</f>
        <v>0</v>
      </c>
      <c r="V250" s="59">
        <f>$L250*Variables!$C$24/100</f>
        <v>0</v>
      </c>
      <c r="W250" s="59">
        <f>$L250*Variables!$C$25/100</f>
        <v>0</v>
      </c>
      <c r="X250" s="62">
        <f>T250*Variables!$E$26*Variables!$C$18+'Cost Calculations'!U250*Variables!$E$27*Variables!$C$18+'Cost Calculations'!V250*Variables!$E$28*Variables!$C$18+W250*Variables!$E$29*Variables!$C$18</f>
        <v>0</v>
      </c>
      <c r="Y250" s="58">
        <f>J250*Variables!$E$30</f>
        <v>204839.77833</v>
      </c>
      <c r="Z250" s="1"/>
      <c r="AA250" s="245">
        <f>D250*(IF(D250&lt;Variables!$C$7,Variables!$C$38,IF(D250&gt;Variables!$C$6,Variables!$C$36,Variables!$C$37)))</f>
        <v>525.42485620816183</v>
      </c>
      <c r="AB250" s="64">
        <f t="shared" si="13"/>
        <v>518</v>
      </c>
      <c r="AC250" s="66">
        <f t="shared" si="2"/>
        <v>7</v>
      </c>
      <c r="AD250" s="62">
        <f>AC250*Variables!$E$41</f>
        <v>3763200</v>
      </c>
      <c r="AE250" s="71">
        <f>ROUND((H250/(3.14*Variables!$C$35^2)),0)</f>
        <v>22</v>
      </c>
      <c r="AF250" s="57">
        <f t="shared" si="14"/>
        <v>22</v>
      </c>
      <c r="AG250" s="57">
        <f t="shared" si="3"/>
        <v>0</v>
      </c>
      <c r="AH250" s="58">
        <f>AG250*Variables!$E$42*Variables!$C$18</f>
        <v>0</v>
      </c>
      <c r="AI250" s="73">
        <f t="shared" si="4"/>
        <v>4</v>
      </c>
      <c r="AJ250" s="66">
        <f t="shared" si="15"/>
        <v>4</v>
      </c>
      <c r="AK250" s="66">
        <f t="shared" si="5"/>
        <v>0</v>
      </c>
      <c r="AL250" s="62">
        <f>IF(AK250*Variables!$E$43*Variables!$C$18&lt;0,0,AK250*Variables!$E$43*Variables!$C$18)</f>
        <v>0</v>
      </c>
      <c r="AM250" s="58">
        <f>AA250*Variables!$E$39*Variables!$C$18</f>
        <v>151875270.83739695</v>
      </c>
      <c r="AN250" s="1"/>
      <c r="AO250" s="76">
        <f t="shared" si="16"/>
        <v>0.67714285714285716</v>
      </c>
      <c r="AP250" s="76">
        <f t="shared" si="6"/>
        <v>102.71182749925141</v>
      </c>
      <c r="AQ250" s="75">
        <f>VLOOKUP(B250,'Household Information'!$B$2:$E$48,4,FALSE)</f>
        <v>89.08</v>
      </c>
      <c r="AR250" s="79">
        <f>IF(12*(AP250-Variables!$C$45*AQ250*F250)*(G250/5)&lt;0,0,12*(AP250-Variables!$C$45*AQ250*F250)*(G250/5))</f>
        <v>28653068.744293425</v>
      </c>
      <c r="AS250" s="1"/>
      <c r="AT250" s="62">
        <v>0</v>
      </c>
      <c r="AU250" s="1"/>
    </row>
    <row r="251" spans="1:47" ht="14.25" customHeight="1">
      <c r="A251" s="1">
        <v>13</v>
      </c>
      <c r="B251" s="3" t="s">
        <v>181</v>
      </c>
      <c r="C251" s="1">
        <v>2024</v>
      </c>
      <c r="D251" s="13">
        <f>VLOOKUP(B251,Population!$B$1:$O$48,8,FALSE)</f>
        <v>493374.72201008635</v>
      </c>
      <c r="E251" s="13" t="str">
        <f t="shared" si="19"/>
        <v>Medium</v>
      </c>
      <c r="F251" s="54">
        <f>VLOOKUP(B251,'Household Information'!$B$1:$E$48,2,FALSE)</f>
        <v>2.4075040417460345</v>
      </c>
      <c r="G251" s="54">
        <f t="shared" si="0"/>
        <v>204932.04308486558</v>
      </c>
      <c r="H251" s="55">
        <f>IF(D251&gt;Variables!$C$6,H204,H204*(1+Variables!$C$9))</f>
        <v>82.9</v>
      </c>
      <c r="I251" s="1"/>
      <c r="J251" s="13">
        <f>H251*Variables!$C$21</f>
        <v>1492.2</v>
      </c>
      <c r="K251" s="13">
        <f t="shared" si="12"/>
        <v>1492.2</v>
      </c>
      <c r="L251" s="54">
        <f t="shared" si="1"/>
        <v>0</v>
      </c>
      <c r="M251" s="56"/>
      <c r="N251" s="57"/>
      <c r="O251" s="57"/>
      <c r="P251" s="57"/>
      <c r="Q251" s="57"/>
      <c r="R251" s="57"/>
      <c r="S251" s="58">
        <v>0</v>
      </c>
      <c r="T251" s="59">
        <f>$L251*Variables!$C$22/100</f>
        <v>0</v>
      </c>
      <c r="U251" s="59">
        <f>$L251*Variables!$C$23/100</f>
        <v>0</v>
      </c>
      <c r="V251" s="59">
        <f>$L251*Variables!$C$24/100</f>
        <v>0</v>
      </c>
      <c r="W251" s="59">
        <f>$L251*Variables!$C$25/100</f>
        <v>0</v>
      </c>
      <c r="X251" s="62">
        <f>T251*Variables!$E$26*Variables!$C$18+'Cost Calculations'!U251*Variables!$E$27*Variables!$C$18+'Cost Calculations'!V251*Variables!$E$28*Variables!$C$18+W251*Variables!$E$29*Variables!$C$18</f>
        <v>0</v>
      </c>
      <c r="Y251" s="58">
        <f>J251*Variables!$E$30</f>
        <v>977391</v>
      </c>
      <c r="Z251" s="1"/>
      <c r="AA251" s="245">
        <f>D251*(IF(D251&lt;Variables!$C$7,Variables!$C$38,IF(D251&gt;Variables!$C$6,Variables!$C$36,Variables!$C$37)))</f>
        <v>592.04966641210353</v>
      </c>
      <c r="AB251" s="64">
        <f t="shared" si="13"/>
        <v>583</v>
      </c>
      <c r="AC251" s="66">
        <f t="shared" si="2"/>
        <v>9</v>
      </c>
      <c r="AD251" s="62">
        <f>AC251*Variables!$E$41</f>
        <v>4838400</v>
      </c>
      <c r="AE251" s="71">
        <f>ROUND((H251/(3.14*Variables!$C$35^2)),0)</f>
        <v>106</v>
      </c>
      <c r="AF251" s="57">
        <f t="shared" si="14"/>
        <v>106</v>
      </c>
      <c r="AG251" s="57">
        <f t="shared" si="3"/>
        <v>0</v>
      </c>
      <c r="AH251" s="58">
        <f>AG251*Variables!$E$42*Variables!$C$18</f>
        <v>0</v>
      </c>
      <c r="AI251" s="73">
        <f t="shared" si="4"/>
        <v>5</v>
      </c>
      <c r="AJ251" s="66">
        <f t="shared" si="15"/>
        <v>5</v>
      </c>
      <c r="AK251" s="66">
        <f t="shared" si="5"/>
        <v>0</v>
      </c>
      <c r="AL251" s="62">
        <f>IF(AK251*Variables!$E$43*Variables!$C$18&lt;0,0,AK251*Variables!$E$43*Variables!$C$18)</f>
        <v>0</v>
      </c>
      <c r="AM251" s="58">
        <f>AA251*Variables!$E$39*Variables!$C$18</f>
        <v>171133326.43689266</v>
      </c>
      <c r="AN251" s="1"/>
      <c r="AO251" s="76">
        <f t="shared" si="16"/>
        <v>0.67714285714285716</v>
      </c>
      <c r="AP251" s="76">
        <f t="shared" si="6"/>
        <v>97.81344992465317</v>
      </c>
      <c r="AQ251" s="75">
        <f>VLOOKUP(B251,'Household Information'!$B$2:$E$48,4,FALSE)</f>
        <v>71.48</v>
      </c>
      <c r="AR251" s="79">
        <f>IF(12*(AP251-Variables!$C$45*AQ251*F251)*(G251/5)&lt;0,0,12*(AP251-Variables!$C$45*AQ251*F251)*(G251/5))</f>
        <v>35412351.275630929</v>
      </c>
      <c r="AS251" s="1"/>
      <c r="AT251" s="62">
        <v>0</v>
      </c>
      <c r="AU251" s="1"/>
    </row>
    <row r="252" spans="1:47" ht="14.25" customHeight="1">
      <c r="A252" s="1">
        <v>14</v>
      </c>
      <c r="B252" s="3" t="s">
        <v>206</v>
      </c>
      <c r="C252" s="1">
        <v>2024</v>
      </c>
      <c r="D252" s="13">
        <f>VLOOKUP(B252,Population!$B$1:$O$48,8,FALSE)</f>
        <v>343916.33603482269</v>
      </c>
      <c r="E252" s="13" t="str">
        <f t="shared" si="19"/>
        <v>Medium</v>
      </c>
      <c r="F252" s="54">
        <f>VLOOKUP(B252,'Household Information'!$B$1:$E$48,2,FALSE)</f>
        <v>2.4590017825311943</v>
      </c>
      <c r="G252" s="54">
        <f t="shared" si="0"/>
        <v>139860.14100437515</v>
      </c>
      <c r="H252" s="55">
        <f>IF(D252&gt;Variables!$C$6,H205,H205*(1+Variables!$C$9))</f>
        <v>25.496505999999997</v>
      </c>
      <c r="I252" s="1"/>
      <c r="J252" s="13">
        <f>H252*Variables!$C$21</f>
        <v>458.93710799999997</v>
      </c>
      <c r="K252" s="13">
        <f t="shared" si="12"/>
        <v>458.93710799999997</v>
      </c>
      <c r="L252" s="54">
        <f t="shared" si="1"/>
        <v>0</v>
      </c>
      <c r="M252" s="56"/>
      <c r="N252" s="57"/>
      <c r="O252" s="57"/>
      <c r="P252" s="57"/>
      <c r="Q252" s="57"/>
      <c r="R252" s="57"/>
      <c r="S252" s="58">
        <v>0</v>
      </c>
      <c r="T252" s="59">
        <f>$L252*Variables!$C$22/100</f>
        <v>0</v>
      </c>
      <c r="U252" s="59">
        <f>$L252*Variables!$C$23/100</f>
        <v>0</v>
      </c>
      <c r="V252" s="59">
        <f>$L252*Variables!$C$24/100</f>
        <v>0</v>
      </c>
      <c r="W252" s="59">
        <f>$L252*Variables!$C$25/100</f>
        <v>0</v>
      </c>
      <c r="X252" s="62">
        <f>T252*Variables!$E$26*Variables!$C$18+'Cost Calculations'!U252*Variables!$E$27*Variables!$C$18+'Cost Calculations'!V252*Variables!$E$28*Variables!$C$18+W252*Variables!$E$29*Variables!$C$18</f>
        <v>0</v>
      </c>
      <c r="Y252" s="58">
        <f>J252*Variables!$E$30</f>
        <v>300603.80573999998</v>
      </c>
      <c r="Z252" s="1"/>
      <c r="AA252" s="245">
        <f>D252*(IF(D252&lt;Variables!$C$7,Variables!$C$38,IF(D252&gt;Variables!$C$6,Variables!$C$36,Variables!$C$37)))</f>
        <v>412.6996032417872</v>
      </c>
      <c r="AB252" s="64">
        <f t="shared" si="13"/>
        <v>407</v>
      </c>
      <c r="AC252" s="66">
        <f t="shared" si="2"/>
        <v>6</v>
      </c>
      <c r="AD252" s="62">
        <f>AC252*Variables!$E$41</f>
        <v>3225600</v>
      </c>
      <c r="AE252" s="71">
        <f>ROUND((H252/(3.14*Variables!$C$35^2)),0)</f>
        <v>32</v>
      </c>
      <c r="AF252" s="57">
        <f t="shared" si="14"/>
        <v>32</v>
      </c>
      <c r="AG252" s="57">
        <f t="shared" si="3"/>
        <v>0</v>
      </c>
      <c r="AH252" s="58">
        <f>AG252*Variables!$E$42*Variables!$C$18</f>
        <v>0</v>
      </c>
      <c r="AI252" s="73">
        <f t="shared" si="4"/>
        <v>3</v>
      </c>
      <c r="AJ252" s="66">
        <f t="shared" si="15"/>
        <v>3</v>
      </c>
      <c r="AK252" s="66">
        <f t="shared" si="5"/>
        <v>0</v>
      </c>
      <c r="AL252" s="62">
        <f>IF(AK252*Variables!$E$43*Variables!$C$18&lt;0,0,AK252*Variables!$E$43*Variables!$C$18)</f>
        <v>0</v>
      </c>
      <c r="AM252" s="58">
        <f>AA252*Variables!$E$39*Variables!$C$18</f>
        <v>119291775.55315484</v>
      </c>
      <c r="AN252" s="1"/>
      <c r="AO252" s="76">
        <f t="shared" si="16"/>
        <v>0.67714285714285716</v>
      </c>
      <c r="AP252" s="76">
        <f t="shared" si="6"/>
        <v>99.905729564553084</v>
      </c>
      <c r="AQ252" s="75">
        <f>VLOOKUP(B252,'Household Information'!$B$2:$E$48,4,FALSE)</f>
        <v>65.935833333333335</v>
      </c>
      <c r="AR252" s="79">
        <f>IF(12*(AP252-Variables!$C$45*AQ252*F252)*(G252/5)&lt;0,0,12*(AP252-Variables!$C$45*AQ252*F252)*(G252/5))</f>
        <v>25371282.940879095</v>
      </c>
      <c r="AS252" s="1"/>
      <c r="AT252" s="62">
        <v>0</v>
      </c>
      <c r="AU252" s="1"/>
    </row>
    <row r="253" spans="1:47" ht="14.25" customHeight="1">
      <c r="A253" s="1">
        <v>15</v>
      </c>
      <c r="B253" s="3" t="s">
        <v>207</v>
      </c>
      <c r="C253" s="1">
        <v>2024</v>
      </c>
      <c r="D253" s="13">
        <f>VLOOKUP(B253,Population!$B$1:$O$48,8,FALSE)</f>
        <v>301397.79471641313</v>
      </c>
      <c r="E253" s="13" t="str">
        <f t="shared" si="19"/>
        <v>Medium</v>
      </c>
      <c r="F253" s="54">
        <f>VLOOKUP(B253,'Household Information'!$B$1:$E$48,2,FALSE)</f>
        <v>2.4536973570595619</v>
      </c>
      <c r="G253" s="54">
        <f t="shared" si="0"/>
        <v>122834.13594152431</v>
      </c>
      <c r="H253" s="55">
        <f>IF(D253&gt;Variables!$C$6,H206,H206*(1+Variables!$C$9))</f>
        <v>19.38</v>
      </c>
      <c r="I253" s="1"/>
      <c r="J253" s="13">
        <f>H253*Variables!$C$21</f>
        <v>348.84</v>
      </c>
      <c r="K253" s="13">
        <f t="shared" si="12"/>
        <v>348.84</v>
      </c>
      <c r="L253" s="54">
        <f t="shared" si="1"/>
        <v>0</v>
      </c>
      <c r="M253" s="56"/>
      <c r="N253" s="57"/>
      <c r="O253" s="57"/>
      <c r="P253" s="57"/>
      <c r="Q253" s="57"/>
      <c r="R253" s="57"/>
      <c r="S253" s="58">
        <v>0</v>
      </c>
      <c r="T253" s="59">
        <f>$L253*Variables!$C$22/100</f>
        <v>0</v>
      </c>
      <c r="U253" s="59">
        <f>$L253*Variables!$C$23/100</f>
        <v>0</v>
      </c>
      <c r="V253" s="59">
        <f>$L253*Variables!$C$24/100</f>
        <v>0</v>
      </c>
      <c r="W253" s="59">
        <f>$L253*Variables!$C$25/100</f>
        <v>0</v>
      </c>
      <c r="X253" s="62">
        <f>T253*Variables!$E$26*Variables!$C$18+'Cost Calculations'!U253*Variables!$E$27*Variables!$C$18+'Cost Calculations'!V253*Variables!$E$28*Variables!$C$18+W253*Variables!$E$29*Variables!$C$18</f>
        <v>0</v>
      </c>
      <c r="Y253" s="58">
        <f>J253*Variables!$E$30</f>
        <v>228490.19999999998</v>
      </c>
      <c r="Z253" s="1"/>
      <c r="AA253" s="245">
        <f>D253*(IF(D253&lt;Variables!$C$7,Variables!$C$38,IF(D253&gt;Variables!$C$6,Variables!$C$36,Variables!$C$37)))</f>
        <v>361.67735365969571</v>
      </c>
      <c r="AB253" s="64">
        <f t="shared" si="13"/>
        <v>356</v>
      </c>
      <c r="AC253" s="66">
        <f t="shared" si="2"/>
        <v>6</v>
      </c>
      <c r="AD253" s="62">
        <f>AC253*Variables!$E$41</f>
        <v>3225600</v>
      </c>
      <c r="AE253" s="71">
        <f>ROUND((H253/(3.14*Variables!$C$35^2)),0)</f>
        <v>25</v>
      </c>
      <c r="AF253" s="57">
        <f t="shared" si="14"/>
        <v>25</v>
      </c>
      <c r="AG253" s="57">
        <f t="shared" si="3"/>
        <v>0</v>
      </c>
      <c r="AH253" s="58">
        <f>AG253*Variables!$E$42*Variables!$C$18</f>
        <v>0</v>
      </c>
      <c r="AI253" s="73">
        <f t="shared" si="4"/>
        <v>3</v>
      </c>
      <c r="AJ253" s="66">
        <f t="shared" si="15"/>
        <v>3</v>
      </c>
      <c r="AK253" s="66">
        <f t="shared" si="5"/>
        <v>0</v>
      </c>
      <c r="AL253" s="62">
        <f>IF(AK253*Variables!$E$43*Variables!$C$18&lt;0,0,AK253*Variables!$E$43*Variables!$C$18)</f>
        <v>0</v>
      </c>
      <c r="AM253" s="58">
        <f>AA253*Variables!$E$39*Variables!$C$18</f>
        <v>104543676.2151528</v>
      </c>
      <c r="AN253" s="1"/>
      <c r="AO253" s="76">
        <f t="shared" si="16"/>
        <v>0.67714285714285716</v>
      </c>
      <c r="AP253" s="76">
        <f t="shared" si="6"/>
        <v>99.690218335391336</v>
      </c>
      <c r="AQ253" s="75">
        <f>VLOOKUP(B253,'Household Information'!$B$2:$E$48,4,FALSE)</f>
        <v>65.935833333333335</v>
      </c>
      <c r="AR253" s="79">
        <f>IF(12*(AP253-Variables!$C$45*AQ253*F253)*(G253/5)&lt;0,0,12*(AP253-Variables!$C$45*AQ253*F253)*(G253/5))</f>
        <v>22234619.08111525</v>
      </c>
      <c r="AS253" s="1"/>
      <c r="AT253" s="62">
        <v>0</v>
      </c>
      <c r="AU253" s="1"/>
    </row>
    <row r="254" spans="1:47" ht="14.25" customHeight="1">
      <c r="A254" s="1">
        <v>16</v>
      </c>
      <c r="B254" s="3" t="s">
        <v>208</v>
      </c>
      <c r="C254" s="1">
        <v>2024</v>
      </c>
      <c r="D254" s="13">
        <f>VLOOKUP(B254,Population!$B$1:$O$48,8,FALSE)</f>
        <v>502272.06984878762</v>
      </c>
      <c r="E254" s="13" t="str">
        <f t="shared" si="19"/>
        <v>Medium</v>
      </c>
      <c r="F254" s="54">
        <f>VLOOKUP(B254,'Household Information'!$B$1:$E$48,2,FALSE)</f>
        <v>3.2379076029492619</v>
      </c>
      <c r="G254" s="54">
        <f t="shared" si="0"/>
        <v>155122.42208248653</v>
      </c>
      <c r="H254" s="55">
        <f>IF(D254&gt;Variables!$C$6,H207,H207*(1+Variables!$C$9))</f>
        <v>31.656284999999997</v>
      </c>
      <c r="I254" s="1"/>
      <c r="J254" s="13">
        <f>H254*Variables!$C$21</f>
        <v>569.81313</v>
      </c>
      <c r="K254" s="13">
        <f t="shared" si="12"/>
        <v>582</v>
      </c>
      <c r="L254" s="54">
        <f t="shared" si="1"/>
        <v>0</v>
      </c>
      <c r="M254" s="56"/>
      <c r="N254" s="57"/>
      <c r="O254" s="57"/>
      <c r="P254" s="57"/>
      <c r="Q254" s="57"/>
      <c r="R254" s="57"/>
      <c r="S254" s="58">
        <v>0</v>
      </c>
      <c r="T254" s="59">
        <f>$L254*Variables!$C$22/100</f>
        <v>0</v>
      </c>
      <c r="U254" s="59">
        <f>$L254*Variables!$C$23/100</f>
        <v>0</v>
      </c>
      <c r="V254" s="59">
        <f>$L254*Variables!$C$24/100</f>
        <v>0</v>
      </c>
      <c r="W254" s="59">
        <f>$L254*Variables!$C$25/100</f>
        <v>0</v>
      </c>
      <c r="X254" s="62">
        <f>T254*Variables!$E$26*Variables!$C$18+'Cost Calculations'!U254*Variables!$E$27*Variables!$C$18+'Cost Calculations'!V254*Variables!$E$28*Variables!$C$18+W254*Variables!$E$29*Variables!$C$18</f>
        <v>0</v>
      </c>
      <c r="Y254" s="58">
        <f>J254*Variables!$E$30</f>
        <v>373227.60015000001</v>
      </c>
      <c r="Z254" s="1"/>
      <c r="AA254" s="245">
        <f>D254*(IF(D254&lt;Variables!$C$7,Variables!$C$38,IF(D254&gt;Variables!$C$6,Variables!$C$36,Variables!$C$37)))</f>
        <v>602.72648381854515</v>
      </c>
      <c r="AB254" s="64">
        <f t="shared" si="13"/>
        <v>594</v>
      </c>
      <c r="AC254" s="66">
        <f t="shared" si="2"/>
        <v>9</v>
      </c>
      <c r="AD254" s="62">
        <f>AC254*Variables!$E$41</f>
        <v>4838400</v>
      </c>
      <c r="AE254" s="71">
        <f>ROUND((H254/(3.14*Variables!$C$35^2)),0)</f>
        <v>40</v>
      </c>
      <c r="AF254" s="57">
        <f t="shared" si="14"/>
        <v>40</v>
      </c>
      <c r="AG254" s="57">
        <f t="shared" si="3"/>
        <v>0</v>
      </c>
      <c r="AH254" s="58">
        <f>AG254*Variables!$E$42*Variables!$C$18</f>
        <v>0</v>
      </c>
      <c r="AI254" s="73">
        <f t="shared" si="4"/>
        <v>5</v>
      </c>
      <c r="AJ254" s="66">
        <f t="shared" si="15"/>
        <v>5</v>
      </c>
      <c r="AK254" s="66">
        <f t="shared" si="5"/>
        <v>0</v>
      </c>
      <c r="AL254" s="62">
        <f>IF(AK254*Variables!$E$43*Variables!$C$18&lt;0,0,AK254*Variables!$E$43*Variables!$C$18)</f>
        <v>0</v>
      </c>
      <c r="AM254" s="58">
        <f>AA254*Variables!$E$39*Variables!$C$18</f>
        <v>174219485.22082794</v>
      </c>
      <c r="AN254" s="1"/>
      <c r="AO254" s="76">
        <f t="shared" si="16"/>
        <v>0.67714285714285716</v>
      </c>
      <c r="AP254" s="76">
        <f t="shared" si="6"/>
        <v>131.55156032553859</v>
      </c>
      <c r="AQ254" s="75">
        <f>VLOOKUP(B254,'Household Information'!$B$2:$E$48,4,FALSE)</f>
        <v>65.935833333333335</v>
      </c>
      <c r="AR254" s="79">
        <f>IF(12*(AP254-Variables!$C$45*AQ254*F254)*(G254/5)&lt;0,0,12*(AP254-Variables!$C$45*AQ254*F254)*(G254/5))</f>
        <v>37053450.104633242</v>
      </c>
      <c r="AS254" s="1"/>
      <c r="AT254" s="62">
        <v>0</v>
      </c>
      <c r="AU254" s="1"/>
    </row>
    <row r="255" spans="1:47" ht="14.25" customHeight="1">
      <c r="A255" s="1">
        <v>17</v>
      </c>
      <c r="B255" s="3" t="s">
        <v>209</v>
      </c>
      <c r="C255" s="1">
        <v>2024</v>
      </c>
      <c r="D255" s="13">
        <f>VLOOKUP(B255,Population!$B$1:$O$48,8,FALSE)</f>
        <v>474251.49276699353</v>
      </c>
      <c r="E255" s="13" t="str">
        <f t="shared" si="19"/>
        <v>Medium</v>
      </c>
      <c r="F255" s="54">
        <f>VLOOKUP(B255,'Household Information'!$B$1:$E$48,2,FALSE)</f>
        <v>3.2463324451363733</v>
      </c>
      <c r="G255" s="54">
        <f t="shared" si="0"/>
        <v>146088.39383579243</v>
      </c>
      <c r="H255" s="55">
        <f>IF(D255&gt;Variables!$C$6,H208,H208*(1+Variables!$C$9))</f>
        <v>25.896000000000001</v>
      </c>
      <c r="I255" s="1"/>
      <c r="J255" s="13">
        <f>H255*Variables!$C$21</f>
        <v>466.12800000000004</v>
      </c>
      <c r="K255" s="13">
        <f t="shared" si="12"/>
        <v>961.78647000000012</v>
      </c>
      <c r="L255" s="54">
        <f t="shared" si="1"/>
        <v>0</v>
      </c>
      <c r="M255" s="56"/>
      <c r="N255" s="57"/>
      <c r="O255" s="57"/>
      <c r="P255" s="57"/>
      <c r="Q255" s="57"/>
      <c r="R255" s="57"/>
      <c r="S255" s="58">
        <v>0</v>
      </c>
      <c r="T255" s="59">
        <f>$L255*Variables!$C$22/100</f>
        <v>0</v>
      </c>
      <c r="U255" s="59">
        <f>$L255*Variables!$C$23/100</f>
        <v>0</v>
      </c>
      <c r="V255" s="59">
        <f>$L255*Variables!$C$24/100</f>
        <v>0</v>
      </c>
      <c r="W255" s="59">
        <f>$L255*Variables!$C$25/100</f>
        <v>0</v>
      </c>
      <c r="X255" s="62">
        <f>T255*Variables!$E$26*Variables!$C$18+'Cost Calculations'!U255*Variables!$E$27*Variables!$C$18+'Cost Calculations'!V255*Variables!$E$28*Variables!$C$18+W255*Variables!$E$29*Variables!$C$18</f>
        <v>0</v>
      </c>
      <c r="Y255" s="58">
        <f>J255*Variables!$E$30</f>
        <v>305313.84000000003</v>
      </c>
      <c r="Z255" s="1"/>
      <c r="AA255" s="245">
        <f>D255*(IF(D255&lt;Variables!$C$7,Variables!$C$38,IF(D255&gt;Variables!$C$6,Variables!$C$36,Variables!$C$37)))</f>
        <v>569.10179132039218</v>
      </c>
      <c r="AB255" s="64">
        <f t="shared" si="13"/>
        <v>561</v>
      </c>
      <c r="AC255" s="66">
        <f t="shared" si="2"/>
        <v>8</v>
      </c>
      <c r="AD255" s="62">
        <f>AC255*Variables!$E$41</f>
        <v>4300800</v>
      </c>
      <c r="AE255" s="71">
        <f>ROUND((H255/(3.14*Variables!$C$35^2)),0)</f>
        <v>33</v>
      </c>
      <c r="AF255" s="57">
        <f t="shared" si="14"/>
        <v>33</v>
      </c>
      <c r="AG255" s="57">
        <f t="shared" si="3"/>
        <v>0</v>
      </c>
      <c r="AH255" s="58">
        <f>AG255*Variables!$E$42*Variables!$C$18</f>
        <v>0</v>
      </c>
      <c r="AI255" s="73">
        <f t="shared" si="4"/>
        <v>5</v>
      </c>
      <c r="AJ255" s="66">
        <f t="shared" si="15"/>
        <v>5</v>
      </c>
      <c r="AK255" s="66">
        <f t="shared" si="5"/>
        <v>0</v>
      </c>
      <c r="AL255" s="62">
        <f>IF(AK255*Variables!$E$43*Variables!$C$18&lt;0,0,AK255*Variables!$E$43*Variables!$C$18)</f>
        <v>0</v>
      </c>
      <c r="AM255" s="58">
        <f>AA255*Variables!$E$39*Variables!$C$18</f>
        <v>164500190.02639201</v>
      </c>
      <c r="AN255" s="1"/>
      <c r="AO255" s="76">
        <f t="shared" si="16"/>
        <v>0.67714285714285716</v>
      </c>
      <c r="AP255" s="76">
        <f t="shared" si="6"/>
        <v>131.89384962811206</v>
      </c>
      <c r="AQ255" s="75">
        <f>VLOOKUP(B255,'Household Information'!$B$2:$E$48,4,FALSE)</f>
        <v>47.15</v>
      </c>
      <c r="AR255" s="79">
        <f>IF(12*(AP255-Variables!$C$45*AQ255*F255)*(G255/5)&lt;0,0,12*(AP255-Variables!$C$45*AQ255*F255)*(G255/5))</f>
        <v>38193640.719350062</v>
      </c>
      <c r="AS255" s="1"/>
      <c r="AT255" s="62">
        <v>0</v>
      </c>
      <c r="AU255" s="1"/>
    </row>
    <row r="256" spans="1:47" ht="14.25" customHeight="1">
      <c r="A256" s="1">
        <v>18</v>
      </c>
      <c r="B256" s="3" t="s">
        <v>210</v>
      </c>
      <c r="C256" s="1">
        <v>2024</v>
      </c>
      <c r="D256" s="13">
        <f>VLOOKUP(B256,Population!$B$1:$O$48,8,FALSE)</f>
        <v>300283.57603045559</v>
      </c>
      <c r="E256" s="13" t="str">
        <f t="shared" si="19"/>
        <v>Medium</v>
      </c>
      <c r="F256" s="54">
        <f>VLOOKUP(B256,'Household Information'!$B$1:$E$48,2,FALSE)</f>
        <v>3.2199371541131225</v>
      </c>
      <c r="G256" s="54">
        <f t="shared" si="0"/>
        <v>93257.589095139847</v>
      </c>
      <c r="H256" s="55">
        <f>IF(D256&gt;Variables!$C$6,H209,H209*(1+Variables!$C$9))</f>
        <v>16.261485999999998</v>
      </c>
      <c r="I256" s="1"/>
      <c r="J256" s="13">
        <f>H256*Variables!$C$21</f>
        <v>292.70674799999995</v>
      </c>
      <c r="K256" s="13">
        <f t="shared" si="12"/>
        <v>512</v>
      </c>
      <c r="L256" s="54">
        <f t="shared" si="1"/>
        <v>0</v>
      </c>
      <c r="M256" s="56"/>
      <c r="N256" s="57"/>
      <c r="O256" s="57"/>
      <c r="P256" s="57"/>
      <c r="Q256" s="57"/>
      <c r="R256" s="57"/>
      <c r="S256" s="58">
        <v>0</v>
      </c>
      <c r="T256" s="59">
        <f>$L256*Variables!$C$22/100</f>
        <v>0</v>
      </c>
      <c r="U256" s="59">
        <f>$L256*Variables!$C$23/100</f>
        <v>0</v>
      </c>
      <c r="V256" s="59">
        <f>$L256*Variables!$C$24/100</f>
        <v>0</v>
      </c>
      <c r="W256" s="59">
        <f>$L256*Variables!$C$25/100</f>
        <v>0</v>
      </c>
      <c r="X256" s="62">
        <f>T256*Variables!$E$26*Variables!$C$18+'Cost Calculations'!U256*Variables!$E$27*Variables!$C$18+'Cost Calculations'!V256*Variables!$E$28*Variables!$C$18+W256*Variables!$E$29*Variables!$C$18</f>
        <v>0</v>
      </c>
      <c r="Y256" s="58">
        <f>J256*Variables!$E$30</f>
        <v>191722.91993999996</v>
      </c>
      <c r="Z256" s="1"/>
      <c r="AA256" s="245">
        <f>D256*(IF(D256&lt;Variables!$C$7,Variables!$C$38,IF(D256&gt;Variables!$C$6,Variables!$C$36,Variables!$C$37)))</f>
        <v>360.34029123654665</v>
      </c>
      <c r="AB256" s="64">
        <f t="shared" si="13"/>
        <v>355</v>
      </c>
      <c r="AC256" s="66">
        <f t="shared" si="2"/>
        <v>5</v>
      </c>
      <c r="AD256" s="62">
        <f>AC256*Variables!$E$41</f>
        <v>2688000</v>
      </c>
      <c r="AE256" s="71">
        <f>ROUND((H256/(3.14*Variables!$C$35^2)),0)</f>
        <v>21</v>
      </c>
      <c r="AF256" s="57">
        <f t="shared" si="14"/>
        <v>21</v>
      </c>
      <c r="AG256" s="57">
        <f t="shared" si="3"/>
        <v>0</v>
      </c>
      <c r="AH256" s="58">
        <f>AG256*Variables!$E$42*Variables!$C$18</f>
        <v>0</v>
      </c>
      <c r="AI256" s="73">
        <f t="shared" si="4"/>
        <v>3</v>
      </c>
      <c r="AJ256" s="66">
        <f t="shared" si="15"/>
        <v>3</v>
      </c>
      <c r="AK256" s="66">
        <f t="shared" si="5"/>
        <v>0</v>
      </c>
      <c r="AL256" s="62">
        <f>IF(AK256*Variables!$E$43*Variables!$C$18&lt;0,0,AK256*Variables!$E$43*Variables!$C$18)</f>
        <v>0</v>
      </c>
      <c r="AM256" s="58">
        <f>AA256*Variables!$E$39*Variables!$C$18</f>
        <v>104157195.22697164</v>
      </c>
      <c r="AN256" s="1"/>
      <c r="AO256" s="76">
        <f t="shared" si="16"/>
        <v>0.67714285714285716</v>
      </c>
      <c r="AP256" s="76">
        <f t="shared" si="6"/>
        <v>130.82144666139601</v>
      </c>
      <c r="AQ256" s="75">
        <f>VLOOKUP(B256,'Household Information'!$B$2:$E$48,4,FALSE)</f>
        <v>65.935833333333335</v>
      </c>
      <c r="AR256" s="79">
        <f>IF(12*(AP256-Variables!$C$45*AQ256*F256)*(G256/5)&lt;0,0,12*(AP256-Variables!$C$45*AQ256*F256)*(G256/5))</f>
        <v>22152421.306315217</v>
      </c>
      <c r="AS256" s="1"/>
      <c r="AT256" s="62">
        <v>0</v>
      </c>
      <c r="AU256" s="1"/>
    </row>
    <row r="257" spans="1:47" ht="14.25" customHeight="1">
      <c r="A257" s="1">
        <v>19</v>
      </c>
      <c r="B257" s="3" t="s">
        <v>211</v>
      </c>
      <c r="C257" s="1">
        <v>2024</v>
      </c>
      <c r="D257" s="13">
        <f>VLOOKUP(B257,Population!$B$1:$O$48,8,FALSE)</f>
        <v>303179.01379337569</v>
      </c>
      <c r="E257" s="13" t="str">
        <f t="shared" si="19"/>
        <v>Medium</v>
      </c>
      <c r="F257" s="54">
        <f>VLOOKUP(B257,'Household Information'!$B$1:$E$48,2,FALSE)</f>
        <v>2.5344143617118515</v>
      </c>
      <c r="G257" s="54">
        <f t="shared" si="0"/>
        <v>119624.87996185267</v>
      </c>
      <c r="H257" s="55">
        <f>IF(D257&gt;Variables!$C$6,H210,H210*(1+Variables!$C$9))</f>
        <v>33.110705594037988</v>
      </c>
      <c r="I257" s="1"/>
      <c r="J257" s="13">
        <f>H257*Variables!$C$21</f>
        <v>595.9927006926838</v>
      </c>
      <c r="K257" s="13">
        <f t="shared" si="12"/>
        <v>595.9927006926838</v>
      </c>
      <c r="L257" s="54">
        <f t="shared" si="1"/>
        <v>0</v>
      </c>
      <c r="M257" s="56"/>
      <c r="N257" s="57"/>
      <c r="O257" s="57"/>
      <c r="P257" s="57"/>
      <c r="Q257" s="57"/>
      <c r="R257" s="57"/>
      <c r="S257" s="58">
        <v>0</v>
      </c>
      <c r="T257" s="59">
        <f>$L257*Variables!$C$22/100</f>
        <v>0</v>
      </c>
      <c r="U257" s="59">
        <f>$L257*Variables!$C$23/100</f>
        <v>0</v>
      </c>
      <c r="V257" s="59">
        <f>$L257*Variables!$C$24/100</f>
        <v>0</v>
      </c>
      <c r="W257" s="59">
        <f>$L257*Variables!$C$25/100</f>
        <v>0</v>
      </c>
      <c r="X257" s="62">
        <f>T257*Variables!$E$26*Variables!$C$18+'Cost Calculations'!U257*Variables!$E$27*Variables!$C$18+'Cost Calculations'!V257*Variables!$E$28*Variables!$C$18+W257*Variables!$E$29*Variables!$C$18</f>
        <v>0</v>
      </c>
      <c r="Y257" s="58">
        <f>J257*Variables!$E$30</f>
        <v>390375.2189537079</v>
      </c>
      <c r="Z257" s="1"/>
      <c r="AA257" s="245">
        <f>D257*(IF(D257&lt;Variables!$C$7,Variables!$C$38,IF(D257&gt;Variables!$C$6,Variables!$C$36,Variables!$C$37)))</f>
        <v>363.81481655205079</v>
      </c>
      <c r="AB257" s="64">
        <f t="shared" si="13"/>
        <v>358</v>
      </c>
      <c r="AC257" s="66">
        <f t="shared" si="2"/>
        <v>6</v>
      </c>
      <c r="AD257" s="62">
        <f>AC257*Variables!$E$41</f>
        <v>3225600</v>
      </c>
      <c r="AE257" s="71">
        <f>ROUND((H257/(3.14*Variables!$C$35^2)),0)</f>
        <v>42</v>
      </c>
      <c r="AF257" s="57">
        <f t="shared" si="14"/>
        <v>42</v>
      </c>
      <c r="AG257" s="57">
        <f t="shared" si="3"/>
        <v>0</v>
      </c>
      <c r="AH257" s="58">
        <f>AG257*Variables!$E$42*Variables!$C$18</f>
        <v>0</v>
      </c>
      <c r="AI257" s="73">
        <f t="shared" si="4"/>
        <v>3</v>
      </c>
      <c r="AJ257" s="66">
        <f t="shared" si="15"/>
        <v>3</v>
      </c>
      <c r="AK257" s="66">
        <f t="shared" si="5"/>
        <v>0</v>
      </c>
      <c r="AL257" s="62">
        <f>IF(AK257*Variables!$E$43*Variables!$C$18&lt;0,0,AK257*Variables!$E$43*Variables!$C$18)</f>
        <v>0</v>
      </c>
      <c r="AM257" s="58">
        <f>AA257*Variables!$E$39*Variables!$C$18</f>
        <v>105161514.81156801</v>
      </c>
      <c r="AN257" s="1"/>
      <c r="AO257" s="76">
        <f t="shared" si="16"/>
        <v>0.67714285714285716</v>
      </c>
      <c r="AP257" s="76">
        <f t="shared" si="6"/>
        <v>102.96963492440722</v>
      </c>
      <c r="AQ257" s="75">
        <f>VLOOKUP(B257,'Household Information'!$B$2:$E$48,4,FALSE)</f>
        <v>65.935833333333335</v>
      </c>
      <c r="AR257" s="79">
        <f>IF(12*(AP257-Variables!$C$45*AQ257*F257)*(G257/5)&lt;0,0,12*(AP257-Variables!$C$45*AQ257*F257)*(G257/5))</f>
        <v>22366022.589603238</v>
      </c>
      <c r="AS257" s="1"/>
      <c r="AT257" s="62">
        <v>0</v>
      </c>
      <c r="AU257" s="1"/>
    </row>
    <row r="258" spans="1:47" ht="14.25" customHeight="1">
      <c r="A258" s="1">
        <v>20</v>
      </c>
      <c r="B258" s="3" t="s">
        <v>212</v>
      </c>
      <c r="C258" s="1">
        <v>2024</v>
      </c>
      <c r="D258" s="13">
        <f>VLOOKUP(B258,Population!$B$1:$O$48,8,FALSE)</f>
        <v>183688.627352988</v>
      </c>
      <c r="E258" s="13" t="str">
        <f t="shared" si="19"/>
        <v>Medium</v>
      </c>
      <c r="F258" s="54">
        <f>VLOOKUP(B258,'Household Information'!$B$1:$E$48,2,FALSE)</f>
        <v>2.6024941905499612</v>
      </c>
      <c r="G258" s="54">
        <f t="shared" si="0"/>
        <v>70581.762687497394</v>
      </c>
      <c r="H258" s="55">
        <f>IF(D258&gt;Variables!$C$6,H211,H211*(1+Variables!$C$9))</f>
        <v>15</v>
      </c>
      <c r="I258" s="1"/>
      <c r="J258" s="13">
        <f>H258*Variables!$C$21</f>
        <v>270</v>
      </c>
      <c r="K258" s="13">
        <f t="shared" si="12"/>
        <v>270</v>
      </c>
      <c r="L258" s="54">
        <f t="shared" si="1"/>
        <v>0</v>
      </c>
      <c r="M258" s="56"/>
      <c r="N258" s="57"/>
      <c r="O258" s="57"/>
      <c r="P258" s="57"/>
      <c r="Q258" s="57"/>
      <c r="R258" s="57"/>
      <c r="S258" s="58">
        <v>0</v>
      </c>
      <c r="T258" s="59">
        <f>$L258*Variables!$C$22/100</f>
        <v>0</v>
      </c>
      <c r="U258" s="59">
        <f>$L258*Variables!$C$23/100</f>
        <v>0</v>
      </c>
      <c r="V258" s="59">
        <f>$L258*Variables!$C$24/100</f>
        <v>0</v>
      </c>
      <c r="W258" s="59">
        <f>$L258*Variables!$C$25/100</f>
        <v>0</v>
      </c>
      <c r="X258" s="62">
        <f>T258*Variables!$E$26*Variables!$C$18+'Cost Calculations'!U258*Variables!$E$27*Variables!$C$18+'Cost Calculations'!V258*Variables!$E$28*Variables!$C$18+W258*Variables!$E$29*Variables!$C$18</f>
        <v>0</v>
      </c>
      <c r="Y258" s="58">
        <f>J258*Variables!$E$30</f>
        <v>176850</v>
      </c>
      <c r="Z258" s="1"/>
      <c r="AA258" s="245">
        <f>D258*(IF(D258&lt;Variables!$C$7,Variables!$C$38,IF(D258&gt;Variables!$C$6,Variables!$C$36,Variables!$C$37)))</f>
        <v>220.42635282358557</v>
      </c>
      <c r="AB258" s="64">
        <f t="shared" si="13"/>
        <v>217</v>
      </c>
      <c r="AC258" s="66">
        <f t="shared" si="2"/>
        <v>3</v>
      </c>
      <c r="AD258" s="62">
        <f>AC258*Variables!$E$41</f>
        <v>1612800</v>
      </c>
      <c r="AE258" s="71">
        <f>ROUND((H258/(3.14*Variables!$C$35^2)),0)</f>
        <v>19</v>
      </c>
      <c r="AF258" s="57">
        <f t="shared" si="14"/>
        <v>19</v>
      </c>
      <c r="AG258" s="57">
        <f t="shared" si="3"/>
        <v>0</v>
      </c>
      <c r="AH258" s="58">
        <f>AG258*Variables!$E$42*Variables!$C$18</f>
        <v>0</v>
      </c>
      <c r="AI258" s="73">
        <f t="shared" si="4"/>
        <v>2</v>
      </c>
      <c r="AJ258" s="66">
        <f t="shared" si="15"/>
        <v>2</v>
      </c>
      <c r="AK258" s="66">
        <f t="shared" si="5"/>
        <v>0</v>
      </c>
      <c r="AL258" s="62">
        <f>IF(AK258*Variables!$E$43*Variables!$C$18&lt;0,0,AK258*Variables!$E$43*Variables!$C$18)</f>
        <v>0</v>
      </c>
      <c r="AM258" s="58">
        <f>AA258*Variables!$E$39*Variables!$C$18</f>
        <v>63714747.483356014</v>
      </c>
      <c r="AN258" s="1"/>
      <c r="AO258" s="76">
        <f t="shared" si="16"/>
        <v>0.67714285714285716</v>
      </c>
      <c r="AP258" s="76">
        <f t="shared" si="6"/>
        <v>105.73562111320128</v>
      </c>
      <c r="AQ258" s="75">
        <f>VLOOKUP(B258,'Household Information'!$B$2:$E$48,4,FALSE)</f>
        <v>65.935833333333335</v>
      </c>
      <c r="AR258" s="79">
        <f>IF(12*(AP258-Variables!$C$45*AQ258*F258)*(G258/5)&lt;0,0,12*(AP258-Variables!$C$45*AQ258*F258)*(G258/5))</f>
        <v>13551017.062249925</v>
      </c>
      <c r="AS258" s="1"/>
      <c r="AT258" s="62">
        <v>0</v>
      </c>
      <c r="AU258" s="1"/>
    </row>
    <row r="259" spans="1:47" ht="14.25" customHeight="1">
      <c r="A259" s="1">
        <v>21</v>
      </c>
      <c r="B259" s="3" t="s">
        <v>213</v>
      </c>
      <c r="C259" s="1">
        <v>2024</v>
      </c>
      <c r="D259" s="13">
        <f>VLOOKUP(B259,Population!$B$1:$O$48,8,FALSE)</f>
        <v>194166.00070808636</v>
      </c>
      <c r="E259" s="13" t="str">
        <f t="shared" si="19"/>
        <v>Medium</v>
      </c>
      <c r="F259" s="54">
        <f>VLOOKUP(B259,'Household Information'!$B$1:$E$48,2,FALSE)</f>
        <v>3.3084232295567606</v>
      </c>
      <c r="G259" s="54">
        <f t="shared" si="0"/>
        <v>58688.380305593295</v>
      </c>
      <c r="H259" s="55">
        <f>IF(D259&gt;Variables!$C$6,H212,H212*(1+Variables!$C$9))</f>
        <v>35.084811999999992</v>
      </c>
      <c r="I259" s="1"/>
      <c r="J259" s="13">
        <f>H259*Variables!$C$21</f>
        <v>631.52661599999988</v>
      </c>
      <c r="K259" s="13">
        <f t="shared" si="12"/>
        <v>631.52661599999988</v>
      </c>
      <c r="L259" s="54">
        <f t="shared" si="1"/>
        <v>0</v>
      </c>
      <c r="M259" s="56"/>
      <c r="N259" s="57"/>
      <c r="O259" s="57"/>
      <c r="P259" s="57"/>
      <c r="Q259" s="57"/>
      <c r="R259" s="57"/>
      <c r="S259" s="58">
        <v>0</v>
      </c>
      <c r="T259" s="59">
        <f>$L259*Variables!$C$22/100</f>
        <v>0</v>
      </c>
      <c r="U259" s="59">
        <f>$L259*Variables!$C$23/100</f>
        <v>0</v>
      </c>
      <c r="V259" s="59">
        <f>$L259*Variables!$C$24/100</f>
        <v>0</v>
      </c>
      <c r="W259" s="59">
        <f>$L259*Variables!$C$25/100</f>
        <v>0</v>
      </c>
      <c r="X259" s="62">
        <f>T259*Variables!$E$26*Variables!$C$18+'Cost Calculations'!U259*Variables!$E$27*Variables!$C$18+'Cost Calculations'!V259*Variables!$E$28*Variables!$C$18+W259*Variables!$E$29*Variables!$C$18</f>
        <v>0</v>
      </c>
      <c r="Y259" s="58">
        <f>J259*Variables!$E$30</f>
        <v>413649.93347999989</v>
      </c>
      <c r="Z259" s="1"/>
      <c r="AA259" s="245">
        <f>D259*(IF(D259&lt;Variables!$C$7,Variables!$C$38,IF(D259&gt;Variables!$C$6,Variables!$C$36,Variables!$C$37)))</f>
        <v>232.99920084970361</v>
      </c>
      <c r="AB259" s="64">
        <f t="shared" si="13"/>
        <v>230</v>
      </c>
      <c r="AC259" s="66">
        <f t="shared" si="2"/>
        <v>3</v>
      </c>
      <c r="AD259" s="62">
        <f>AC259*Variables!$E$41</f>
        <v>1612800</v>
      </c>
      <c r="AE259" s="71">
        <f>ROUND((H259/(3.14*Variables!$C$35^2)),0)</f>
        <v>45</v>
      </c>
      <c r="AF259" s="57">
        <f t="shared" si="14"/>
        <v>45</v>
      </c>
      <c r="AG259" s="57">
        <f t="shared" si="3"/>
        <v>0</v>
      </c>
      <c r="AH259" s="58">
        <f>AG259*Variables!$E$42*Variables!$C$18</f>
        <v>0</v>
      </c>
      <c r="AI259" s="73">
        <f t="shared" si="4"/>
        <v>2</v>
      </c>
      <c r="AJ259" s="66">
        <f t="shared" si="15"/>
        <v>2</v>
      </c>
      <c r="AK259" s="66">
        <f t="shared" si="5"/>
        <v>0</v>
      </c>
      <c r="AL259" s="62">
        <f>IF(AK259*Variables!$E$43*Variables!$C$18&lt;0,0,AK259*Variables!$E$43*Variables!$C$18)</f>
        <v>0</v>
      </c>
      <c r="AM259" s="58">
        <f>AA259*Variables!$E$39*Variables!$C$18</f>
        <v>67348958.306468666</v>
      </c>
      <c r="AN259" s="1"/>
      <c r="AO259" s="76">
        <f t="shared" si="16"/>
        <v>0.67714285714285716</v>
      </c>
      <c r="AP259" s="76">
        <f t="shared" si="6"/>
        <v>134.4165094979918</v>
      </c>
      <c r="AQ259" s="75">
        <f>VLOOKUP(B259,'Household Information'!$B$2:$E$48,4,FALSE)</f>
        <v>65.935833333333335</v>
      </c>
      <c r="AR259" s="79">
        <f>IF(12*(AP259-Variables!$C$45*AQ259*F259)*(G259/5)&lt;0,0,12*(AP259-Variables!$C$45*AQ259*F259)*(G259/5))</f>
        <v>14323950.406836709</v>
      </c>
      <c r="AS259" s="1"/>
      <c r="AT259" s="62">
        <v>0</v>
      </c>
      <c r="AU259" s="1"/>
    </row>
    <row r="260" spans="1:47" ht="14.25" customHeight="1">
      <c r="A260" s="1">
        <v>22</v>
      </c>
      <c r="B260" s="3" t="s">
        <v>214</v>
      </c>
      <c r="C260" s="1">
        <v>2024</v>
      </c>
      <c r="D260" s="13">
        <f>VLOOKUP(B260,Population!$B$1:$O$48,8,FALSE)</f>
        <v>171439.87591030254</v>
      </c>
      <c r="E260" s="13" t="str">
        <f t="shared" si="19"/>
        <v>Medium</v>
      </c>
      <c r="F260" s="54">
        <f>VLOOKUP(B260,'Household Information'!$B$1:$E$48,2,FALSE)</f>
        <v>2.4748082204754236</v>
      </c>
      <c r="G260" s="54">
        <f t="shared" si="0"/>
        <v>69274.004543821997</v>
      </c>
      <c r="H260" s="55">
        <f>IF(D260&gt;Variables!$C$6,H213,H213*(1+Variables!$C$9))</f>
        <v>31.3</v>
      </c>
      <c r="I260" s="1"/>
      <c r="J260" s="13">
        <f>H260*Variables!$C$21</f>
        <v>563.4</v>
      </c>
      <c r="K260" s="13">
        <f t="shared" si="12"/>
        <v>563.4</v>
      </c>
      <c r="L260" s="54">
        <f t="shared" si="1"/>
        <v>0</v>
      </c>
      <c r="M260" s="56"/>
      <c r="N260" s="57"/>
      <c r="O260" s="57"/>
      <c r="P260" s="57"/>
      <c r="Q260" s="57"/>
      <c r="R260" s="57"/>
      <c r="S260" s="58">
        <v>0</v>
      </c>
      <c r="T260" s="59">
        <f>$L260*Variables!$C$22/100</f>
        <v>0</v>
      </c>
      <c r="U260" s="59">
        <f>$L260*Variables!$C$23/100</f>
        <v>0</v>
      </c>
      <c r="V260" s="59">
        <f>$L260*Variables!$C$24/100</f>
        <v>0</v>
      </c>
      <c r="W260" s="59">
        <f>$L260*Variables!$C$25/100</f>
        <v>0</v>
      </c>
      <c r="X260" s="62">
        <f>T260*Variables!$E$26*Variables!$C$18+'Cost Calculations'!U260*Variables!$E$27*Variables!$C$18+'Cost Calculations'!V260*Variables!$E$28*Variables!$C$18+W260*Variables!$E$29*Variables!$C$18</f>
        <v>0</v>
      </c>
      <c r="Y260" s="58">
        <f>J260*Variables!$E$30</f>
        <v>369027</v>
      </c>
      <c r="Z260" s="1"/>
      <c r="AA260" s="245">
        <f>D260*(IF(D260&lt;Variables!$C$7,Variables!$C$38,IF(D260&gt;Variables!$C$6,Variables!$C$36,Variables!$C$37)))</f>
        <v>205.72785109236304</v>
      </c>
      <c r="AB260" s="64">
        <f t="shared" si="13"/>
        <v>203</v>
      </c>
      <c r="AC260" s="66">
        <f t="shared" si="2"/>
        <v>3</v>
      </c>
      <c r="AD260" s="62">
        <f>AC260*Variables!$E$41</f>
        <v>1612800</v>
      </c>
      <c r="AE260" s="71">
        <f>ROUND((H260/(3.14*Variables!$C$35^2)),0)</f>
        <v>40</v>
      </c>
      <c r="AF260" s="57">
        <f t="shared" si="14"/>
        <v>40</v>
      </c>
      <c r="AG260" s="57">
        <f t="shared" si="3"/>
        <v>0</v>
      </c>
      <c r="AH260" s="58">
        <f>AG260*Variables!$E$42*Variables!$C$18</f>
        <v>0</v>
      </c>
      <c r="AI260" s="73">
        <f t="shared" si="4"/>
        <v>2</v>
      </c>
      <c r="AJ260" s="66">
        <f t="shared" si="15"/>
        <v>2</v>
      </c>
      <c r="AK260" s="66">
        <f t="shared" si="5"/>
        <v>0</v>
      </c>
      <c r="AL260" s="62">
        <f>IF(AK260*Variables!$E$43*Variables!$C$18&lt;0,0,AK260*Variables!$E$43*Variables!$C$18)</f>
        <v>0</v>
      </c>
      <c r="AM260" s="58">
        <f>AA260*Variables!$E$39*Variables!$C$18</f>
        <v>59466111.536736533</v>
      </c>
      <c r="AN260" s="1"/>
      <c r="AO260" s="76">
        <f t="shared" si="16"/>
        <v>0.67714285714285716</v>
      </c>
      <c r="AP260" s="76">
        <f t="shared" si="6"/>
        <v>100.5479225576015</v>
      </c>
      <c r="AQ260" s="75">
        <f>VLOOKUP(B260,'Household Information'!$B$2:$E$48,4,FALSE)</f>
        <v>65.935833333333335</v>
      </c>
      <c r="AR260" s="79">
        <f>IF(12*(AP260-Variables!$C$45*AQ260*F260)*(G260/5)&lt;0,0,12*(AP260-Variables!$C$45*AQ260*F260)*(G260/5))</f>
        <v>12647406.195409894</v>
      </c>
      <c r="AS260" s="1"/>
      <c r="AT260" s="62">
        <v>0</v>
      </c>
      <c r="AU260" s="1"/>
    </row>
    <row r="261" spans="1:47" ht="14.25" customHeight="1">
      <c r="A261" s="1">
        <v>23</v>
      </c>
      <c r="B261" s="3" t="s">
        <v>215</v>
      </c>
      <c r="C261" s="1">
        <v>2024</v>
      </c>
      <c r="D261" s="13">
        <f>VLOOKUP(B261,Population!$B$1:$O$48,8,FALSE)</f>
        <v>131955.63964933381</v>
      </c>
      <c r="E261" s="13" t="str">
        <f t="shared" ref="E261:E324" si="20">IF(D261&lt;100000,"Small",IF(D261&lt;1000000,"Medium","Large"))</f>
        <v>Medium</v>
      </c>
      <c r="F261" s="54">
        <f>VLOOKUP(B261,'Household Information'!$B$1:$E$48,2,FALSE)</f>
        <v>2.7568018275271275</v>
      </c>
      <c r="G261" s="54">
        <f t="shared" si="0"/>
        <v>47865.478879089045</v>
      </c>
      <c r="H261" s="55">
        <f>IF(D261&gt;Variables!$C$6,H214,H214*(1+Variables!$C$9))</f>
        <v>14.881089649499996</v>
      </c>
      <c r="I261" s="1"/>
      <c r="J261" s="13">
        <f>H261*Variables!$C$21</f>
        <v>267.85961369099994</v>
      </c>
      <c r="K261" s="13">
        <f t="shared" si="12"/>
        <v>267.85961369099994</v>
      </c>
      <c r="L261" s="54">
        <f t="shared" si="1"/>
        <v>0</v>
      </c>
      <c r="M261" s="56"/>
      <c r="N261" s="57"/>
      <c r="O261" s="57"/>
      <c r="P261" s="57"/>
      <c r="Q261" s="57"/>
      <c r="R261" s="57"/>
      <c r="S261" s="58">
        <v>0</v>
      </c>
      <c r="T261" s="59">
        <f>$L261*Variables!$C$22/100</f>
        <v>0</v>
      </c>
      <c r="U261" s="59">
        <f>$L261*Variables!$C$23/100</f>
        <v>0</v>
      </c>
      <c r="V261" s="59">
        <f>$L261*Variables!$C$24/100</f>
        <v>0</v>
      </c>
      <c r="W261" s="59">
        <f>$L261*Variables!$C$25/100</f>
        <v>0</v>
      </c>
      <c r="X261" s="62">
        <f>T261*Variables!$E$26*Variables!$C$18+'Cost Calculations'!U261*Variables!$E$27*Variables!$C$18+'Cost Calculations'!V261*Variables!$E$28*Variables!$C$18+W261*Variables!$E$29*Variables!$C$18</f>
        <v>0</v>
      </c>
      <c r="Y261" s="58">
        <f>J261*Variables!$E$30</f>
        <v>175448.04696760495</v>
      </c>
      <c r="Z261" s="1"/>
      <c r="AA261" s="245">
        <f>D261*(IF(D261&lt;Variables!$C$7,Variables!$C$38,IF(D261&gt;Variables!$C$6,Variables!$C$36,Variables!$C$37)))</f>
        <v>158.34676757920056</v>
      </c>
      <c r="AB261" s="64">
        <f t="shared" si="13"/>
        <v>156</v>
      </c>
      <c r="AC261" s="66">
        <f t="shared" si="2"/>
        <v>2</v>
      </c>
      <c r="AD261" s="62">
        <f>AC261*Variables!$E$41</f>
        <v>1075200</v>
      </c>
      <c r="AE261" s="71">
        <f>ROUND((H261/(3.14*Variables!$C$35^2)),0)</f>
        <v>19</v>
      </c>
      <c r="AF261" s="57">
        <f t="shared" si="14"/>
        <v>19</v>
      </c>
      <c r="AG261" s="57">
        <f t="shared" si="3"/>
        <v>0</v>
      </c>
      <c r="AH261" s="58">
        <f>AG261*Variables!$E$42*Variables!$C$18</f>
        <v>0</v>
      </c>
      <c r="AI261" s="73">
        <f t="shared" si="4"/>
        <v>1</v>
      </c>
      <c r="AJ261" s="66">
        <f t="shared" si="15"/>
        <v>1</v>
      </c>
      <c r="AK261" s="66">
        <f t="shared" si="5"/>
        <v>0</v>
      </c>
      <c r="AL261" s="62">
        <f>IF(AK261*Variables!$E$43*Variables!$C$18&lt;0,0,AK261*Variables!$E$43*Variables!$C$18)</f>
        <v>0</v>
      </c>
      <c r="AM261" s="58">
        <f>AA261*Variables!$E$39*Variables!$C$18</f>
        <v>45770499.678815655</v>
      </c>
      <c r="AN261" s="1"/>
      <c r="AO261" s="76">
        <f t="shared" si="16"/>
        <v>0.67714285714285716</v>
      </c>
      <c r="AP261" s="76">
        <f t="shared" si="6"/>
        <v>112.00491996410214</v>
      </c>
      <c r="AQ261" s="75">
        <f>VLOOKUP(B261,'Household Information'!$B$2:$E$48,4,FALSE)</f>
        <v>65.935833333333335</v>
      </c>
      <c r="AR261" s="79">
        <f>IF(12*(AP261-Variables!$C$45*AQ261*F261)*(G261/5)&lt;0,0,12*(AP261-Variables!$C$45*AQ261*F261)*(G261/5))</f>
        <v>9734588.0913576242</v>
      </c>
      <c r="AS261" s="1"/>
      <c r="AT261" s="62">
        <v>0</v>
      </c>
      <c r="AU261" s="1"/>
    </row>
    <row r="262" spans="1:47" ht="14.25" customHeight="1">
      <c r="A262" s="1">
        <v>24</v>
      </c>
      <c r="B262" s="3" t="s">
        <v>216</v>
      </c>
      <c r="C262" s="1">
        <v>2024</v>
      </c>
      <c r="D262" s="13">
        <f>VLOOKUP(B262,Population!$B$1:$O$48,8,FALSE)</f>
        <v>82811.925594695815</v>
      </c>
      <c r="E262" s="13" t="str">
        <f t="shared" si="20"/>
        <v>Small</v>
      </c>
      <c r="F262" s="54">
        <f>VLOOKUP(B262,'Household Information'!$B$1:$E$48,2,FALSE)</f>
        <v>2.845682723378673</v>
      </c>
      <c r="G262" s="54">
        <f t="shared" si="0"/>
        <v>29100.899026569412</v>
      </c>
      <c r="H262" s="55">
        <f>IF(D262&gt;Variables!$C$6,H215,H215*(1+Variables!$C$9))</f>
        <v>9.9967066992226314</v>
      </c>
      <c r="I262" s="1"/>
      <c r="J262" s="13">
        <f>H262*Variables!$C$21</f>
        <v>179.94072058600736</v>
      </c>
      <c r="K262" s="13">
        <f t="shared" si="12"/>
        <v>174.19237230010395</v>
      </c>
      <c r="L262" s="54">
        <f t="shared" si="1"/>
        <v>5.7483482859034041</v>
      </c>
      <c r="M262" s="56"/>
      <c r="N262" s="57"/>
      <c r="O262" s="57"/>
      <c r="P262" s="57"/>
      <c r="Q262" s="57"/>
      <c r="R262" s="57"/>
      <c r="S262" s="58">
        <v>0</v>
      </c>
      <c r="T262" s="59">
        <f>$L262*Variables!$C$22/100</f>
        <v>0.31212750873683637</v>
      </c>
      <c r="U262" s="59">
        <f>$L262*Variables!$C$23/100</f>
        <v>0.54622314028946373</v>
      </c>
      <c r="V262" s="59">
        <f>$L262*Variables!$C$24/100</f>
        <v>0.5722337660175334</v>
      </c>
      <c r="W262" s="59">
        <f>$L262*Variables!$C$25/100</f>
        <v>4.1617001164911525</v>
      </c>
      <c r="X262" s="62">
        <f>T262*Variables!$E$26*Variables!$C$18+'Cost Calculations'!U262*Variables!$E$27*Variables!$C$18+'Cost Calculations'!V262*Variables!$E$28*Variables!$C$18+W262*Variables!$E$29*Variables!$C$18</f>
        <v>6534308.3202852756</v>
      </c>
      <c r="Y262" s="58">
        <f>J262*Variables!$E$30</f>
        <v>117861.17198383482</v>
      </c>
      <c r="Z262" s="1"/>
      <c r="AA262" s="245">
        <f>D262*(IF(D262&lt;Variables!$C$7,Variables!$C$38,IF(D262&gt;Variables!$C$6,Variables!$C$36,Variables!$C$37)))</f>
        <v>66.24954047575666</v>
      </c>
      <c r="AB262" s="64">
        <f t="shared" si="13"/>
        <v>65</v>
      </c>
      <c r="AC262" s="66">
        <f t="shared" si="2"/>
        <v>1</v>
      </c>
      <c r="AD262" s="62">
        <f>AC262*Variables!$E$41</f>
        <v>537600</v>
      </c>
      <c r="AE262" s="71">
        <f>ROUND((H262/(3.14*Variables!$C$35^2)),0)</f>
        <v>13</v>
      </c>
      <c r="AF262" s="57">
        <f t="shared" si="14"/>
        <v>12</v>
      </c>
      <c r="AG262" s="57">
        <f t="shared" si="3"/>
        <v>1</v>
      </c>
      <c r="AH262" s="58">
        <f>AG262*Variables!$E$42*Variables!$C$18</f>
        <v>1148.2560000000001</v>
      </c>
      <c r="AI262" s="73">
        <f t="shared" si="4"/>
        <v>1</v>
      </c>
      <c r="AJ262" s="66">
        <f t="shared" si="15"/>
        <v>1</v>
      </c>
      <c r="AK262" s="66">
        <f t="shared" si="5"/>
        <v>0</v>
      </c>
      <c r="AL262" s="62">
        <f>IF(AK262*Variables!$E$43*Variables!$C$18&lt;0,0,AK262*Variables!$E$43*Variables!$C$18)</f>
        <v>0</v>
      </c>
      <c r="AM262" s="58">
        <f>AA262*Variables!$E$39*Variables!$C$18</f>
        <v>19149583.015963033</v>
      </c>
      <c r="AN262" s="1"/>
      <c r="AO262" s="76">
        <f t="shared" si="16"/>
        <v>0.67714285714285716</v>
      </c>
      <c r="AP262" s="76">
        <f t="shared" si="6"/>
        <v>115.61602378984207</v>
      </c>
      <c r="AQ262" s="75">
        <f>VLOOKUP(B262,'Household Information'!$B$2:$E$48,4,FALSE)</f>
        <v>65.935833333333335</v>
      </c>
      <c r="AR262" s="79">
        <f>IF(12*(AP262-Variables!$C$45*AQ262*F262)*(G262/5)&lt;0,0,12*(AP262-Variables!$C$45*AQ262*F262)*(G262/5))</f>
        <v>6109174.1653392054</v>
      </c>
      <c r="AS262" s="1"/>
      <c r="AT262" s="62">
        <v>0</v>
      </c>
      <c r="AU262" s="1"/>
    </row>
    <row r="263" spans="1:47" ht="14.25" customHeight="1">
      <c r="A263" s="1">
        <v>25</v>
      </c>
      <c r="B263" s="3" t="s">
        <v>217</v>
      </c>
      <c r="C263" s="1">
        <v>2024</v>
      </c>
      <c r="D263" s="13">
        <f>VLOOKUP(B263,Population!$B$1:$O$48,8,FALSE)</f>
        <v>171607.17272968576</v>
      </c>
      <c r="E263" s="13" t="str">
        <f t="shared" si="20"/>
        <v>Medium</v>
      </c>
      <c r="F263" s="54">
        <f>VLOOKUP(B263,'Household Information'!$B$1:$E$48,2,FALSE)</f>
        <v>2.502264030612245</v>
      </c>
      <c r="G263" s="54">
        <f t="shared" si="0"/>
        <v>68580.761514482365</v>
      </c>
      <c r="H263" s="55">
        <f>IF(D263&gt;Variables!$C$6,H216,H216*(1+Variables!$C$9))</f>
        <v>22.498002944169993</v>
      </c>
      <c r="I263" s="1"/>
      <c r="J263" s="13">
        <f>H263*Variables!$C$21</f>
        <v>404.96405299505989</v>
      </c>
      <c r="K263" s="13">
        <f t="shared" si="12"/>
        <v>404.96405299505989</v>
      </c>
      <c r="L263" s="54">
        <f t="shared" si="1"/>
        <v>0</v>
      </c>
      <c r="M263" s="56"/>
      <c r="N263" s="57"/>
      <c r="O263" s="57"/>
      <c r="P263" s="57"/>
      <c r="Q263" s="57"/>
      <c r="R263" s="57"/>
      <c r="S263" s="58">
        <v>0</v>
      </c>
      <c r="T263" s="59">
        <f>$L263*Variables!$C$22/100</f>
        <v>0</v>
      </c>
      <c r="U263" s="59">
        <f>$L263*Variables!$C$23/100</f>
        <v>0</v>
      </c>
      <c r="V263" s="59">
        <f>$L263*Variables!$C$24/100</f>
        <v>0</v>
      </c>
      <c r="W263" s="59">
        <f>$L263*Variables!$C$25/100</f>
        <v>0</v>
      </c>
      <c r="X263" s="62">
        <f>T263*Variables!$E$26*Variables!$C$18+'Cost Calculations'!U263*Variables!$E$27*Variables!$C$18+'Cost Calculations'!V263*Variables!$E$28*Variables!$C$18+W263*Variables!$E$29*Variables!$C$18</f>
        <v>0</v>
      </c>
      <c r="Y263" s="58">
        <f>J263*Variables!$E$30</f>
        <v>265251.45471176424</v>
      </c>
      <c r="Z263" s="1"/>
      <c r="AA263" s="245">
        <f>D263*(IF(D263&lt;Variables!$C$7,Variables!$C$38,IF(D263&gt;Variables!$C$6,Variables!$C$36,Variables!$C$37)))</f>
        <v>205.92860727562288</v>
      </c>
      <c r="AB263" s="64">
        <f t="shared" si="13"/>
        <v>203</v>
      </c>
      <c r="AC263" s="66">
        <f t="shared" si="2"/>
        <v>3</v>
      </c>
      <c r="AD263" s="62">
        <f>AC263*Variables!$E$41</f>
        <v>1612800</v>
      </c>
      <c r="AE263" s="71">
        <f>ROUND((H263/(3.14*Variables!$C$35^2)),0)</f>
        <v>29</v>
      </c>
      <c r="AF263" s="57">
        <f t="shared" si="14"/>
        <v>29</v>
      </c>
      <c r="AG263" s="57">
        <f t="shared" si="3"/>
        <v>0</v>
      </c>
      <c r="AH263" s="58">
        <f>AG263*Variables!$E$42*Variables!$C$18</f>
        <v>0</v>
      </c>
      <c r="AI263" s="73">
        <f t="shared" si="4"/>
        <v>2</v>
      </c>
      <c r="AJ263" s="66">
        <f t="shared" si="15"/>
        <v>2</v>
      </c>
      <c r="AK263" s="66">
        <f t="shared" si="5"/>
        <v>0</v>
      </c>
      <c r="AL263" s="62">
        <f>IF(AK263*Variables!$E$43*Variables!$C$18&lt;0,0,AK263*Variables!$E$43*Variables!$C$18)</f>
        <v>0</v>
      </c>
      <c r="AM263" s="58">
        <f>AA263*Variables!$E$39*Variables!$C$18</f>
        <v>59524140.576178834</v>
      </c>
      <c r="AN263" s="1"/>
      <c r="AO263" s="76">
        <f t="shared" si="16"/>
        <v>0.67714285714285716</v>
      </c>
      <c r="AP263" s="76">
        <f t="shared" si="6"/>
        <v>101.66341290087463</v>
      </c>
      <c r="AQ263" s="75">
        <f>VLOOKUP(B263,'Household Information'!$B$2:$E$48,4,FALSE)</f>
        <v>65.935833333333335</v>
      </c>
      <c r="AR263" s="79">
        <f>IF(12*(AP263-Variables!$C$45*AQ263*F263)*(G263/5)&lt;0,0,12*(AP263-Variables!$C$45*AQ263*F263)*(G263/5))</f>
        <v>12659747.961400481</v>
      </c>
      <c r="AS263" s="1"/>
      <c r="AT263" s="62">
        <v>0</v>
      </c>
      <c r="AU263" s="1"/>
    </row>
    <row r="264" spans="1:47" ht="14.25" customHeight="1">
      <c r="A264" s="1">
        <v>26</v>
      </c>
      <c r="B264" s="3" t="s">
        <v>219</v>
      </c>
      <c r="C264" s="1">
        <v>2024</v>
      </c>
      <c r="D264" s="13">
        <f>VLOOKUP(B264,Population!$B$1:$O$48,8,FALSE)</f>
        <v>46847.483200358452</v>
      </c>
      <c r="E264" s="13" t="str">
        <f t="shared" si="20"/>
        <v>Small</v>
      </c>
      <c r="F264" s="54">
        <f>VLOOKUP(B264,'Household Information'!$B$1:$E$48,2,FALSE)</f>
        <v>3.6899491861166136</v>
      </c>
      <c r="G264" s="54">
        <f t="shared" si="0"/>
        <v>12695.969737637988</v>
      </c>
      <c r="H264" s="55">
        <f>IF(D264&gt;Variables!$C$6,H217,H217*(1+Variables!$C$9))</f>
        <v>4.3521447533394522</v>
      </c>
      <c r="I264" s="1"/>
      <c r="J264" s="13">
        <f>H264*Variables!$C$21</f>
        <v>78.338605560110139</v>
      </c>
      <c r="K264" s="13">
        <f t="shared" si="12"/>
        <v>75.836016999138579</v>
      </c>
      <c r="L264" s="54">
        <f t="shared" si="1"/>
        <v>2.5025885609715601</v>
      </c>
      <c r="M264" s="56"/>
      <c r="N264" s="57"/>
      <c r="O264" s="57"/>
      <c r="P264" s="57"/>
      <c r="Q264" s="57"/>
      <c r="R264" s="57"/>
      <c r="S264" s="58">
        <v>0</v>
      </c>
      <c r="T264" s="59">
        <f>$L264*Variables!$C$22/100</f>
        <v>0.13588716168171366</v>
      </c>
      <c r="U264" s="59">
        <f>$L264*Variables!$C$23/100</f>
        <v>0.23780253294299894</v>
      </c>
      <c r="V264" s="59">
        <f>$L264*Variables!$C$24/100</f>
        <v>0.24912646308314174</v>
      </c>
      <c r="W264" s="59">
        <f>$L264*Variables!$C$25/100</f>
        <v>1.8118288224228492</v>
      </c>
      <c r="X264" s="62">
        <f>T264*Variables!$E$26*Variables!$C$18+'Cost Calculations'!U264*Variables!$E$27*Variables!$C$18+'Cost Calculations'!V264*Variables!$E$28*Variables!$C$18+W264*Variables!$E$29*Variables!$C$18</f>
        <v>2844762.4331164295</v>
      </c>
      <c r="Y264" s="58">
        <f>J264*Variables!$E$30</f>
        <v>51311.786641872139</v>
      </c>
      <c r="Z264" s="1"/>
      <c r="AA264" s="245">
        <f>D264*(IF(D264&lt;Variables!$C$7,Variables!$C$38,IF(D264&gt;Variables!$C$6,Variables!$C$36,Variables!$C$37)))</f>
        <v>23.423741600179227</v>
      </c>
      <c r="AB264" s="64">
        <f t="shared" si="13"/>
        <v>23</v>
      </c>
      <c r="AC264" s="66">
        <f t="shared" si="2"/>
        <v>0</v>
      </c>
      <c r="AD264" s="62">
        <f>AC264*Variables!$E$41</f>
        <v>0</v>
      </c>
      <c r="AE264" s="71">
        <f>ROUND((H264/(3.14*Variables!$C$35^2)),0)</f>
        <v>6</v>
      </c>
      <c r="AF264" s="57">
        <f t="shared" si="14"/>
        <v>5</v>
      </c>
      <c r="AG264" s="57">
        <f t="shared" si="3"/>
        <v>1</v>
      </c>
      <c r="AH264" s="58">
        <f>AG264*Variables!$E$42*Variables!$C$18</f>
        <v>1148.2560000000001</v>
      </c>
      <c r="AI264" s="73">
        <f t="shared" si="4"/>
        <v>0</v>
      </c>
      <c r="AJ264" s="66">
        <f t="shared" si="15"/>
        <v>0</v>
      </c>
      <c r="AK264" s="66">
        <f t="shared" si="5"/>
        <v>0</v>
      </c>
      <c r="AL264" s="62">
        <f>IF(AK264*Variables!$E$43*Variables!$C$18&lt;0,0,AK264*Variables!$E$43*Variables!$C$18)</f>
        <v>0</v>
      </c>
      <c r="AM264" s="58">
        <f>AA264*Variables!$E$39*Variables!$C$18</f>
        <v>6770686.7262157528</v>
      </c>
      <c r="AN264" s="1"/>
      <c r="AO264" s="76">
        <f t="shared" si="16"/>
        <v>0.67714285714285716</v>
      </c>
      <c r="AP264" s="76">
        <f t="shared" si="6"/>
        <v>149.91736407593783</v>
      </c>
      <c r="AQ264" s="75">
        <f>VLOOKUP(B264,'Household Information'!$B$2:$E$48,4,FALSE)</f>
        <v>65.935833333333335</v>
      </c>
      <c r="AR264" s="79">
        <f>IF(12*(AP264-Variables!$C$45*AQ264*F264)*(G264/5)&lt;0,0,12*(AP264-Variables!$C$45*AQ264*F264)*(G264/5))</f>
        <v>3456017.1379123623</v>
      </c>
      <c r="AS264" s="1"/>
      <c r="AT264" s="62">
        <v>0</v>
      </c>
      <c r="AU264" s="1"/>
    </row>
    <row r="265" spans="1:47" ht="14.25" customHeight="1">
      <c r="A265" s="1">
        <v>27</v>
      </c>
      <c r="B265" s="3" t="s">
        <v>220</v>
      </c>
      <c r="C265" s="1">
        <v>2024</v>
      </c>
      <c r="D265" s="13">
        <f>VLOOKUP(B265,Population!$B$1:$O$48,8,FALSE)</f>
        <v>8785.816625779109</v>
      </c>
      <c r="E265" s="13" t="str">
        <f t="shared" si="20"/>
        <v>Small</v>
      </c>
      <c r="F265" s="54">
        <f>VLOOKUP(B265,'Household Information'!$B$1:$E$48,2,FALSE)</f>
        <v>2.667113684852179</v>
      </c>
      <c r="G265" s="54">
        <f t="shared" si="0"/>
        <v>3294.1290338233371</v>
      </c>
      <c r="H265" s="55">
        <f>IF(D265&gt;Variables!$C$6,H218,H218*(1+Variables!$C$9))</f>
        <v>0.70923457386183897</v>
      </c>
      <c r="I265" s="1"/>
      <c r="J265" s="13">
        <f>H265*Variables!$C$21</f>
        <v>12.766222329513102</v>
      </c>
      <c r="K265" s="13">
        <f t="shared" si="12"/>
        <v>12.358395285104649</v>
      </c>
      <c r="L265" s="54">
        <f t="shared" si="1"/>
        <v>0.40782704440845308</v>
      </c>
      <c r="M265" s="56"/>
      <c r="N265" s="57"/>
      <c r="O265" s="57"/>
      <c r="P265" s="57"/>
      <c r="Q265" s="57"/>
      <c r="R265" s="57"/>
      <c r="S265" s="58">
        <v>0</v>
      </c>
      <c r="T265" s="59">
        <f>$L265*Variables!$C$22/100</f>
        <v>2.2144454900006497E-2</v>
      </c>
      <c r="U265" s="59">
        <f>$L265*Variables!$C$23/100</f>
        <v>3.8752796075011378E-2</v>
      </c>
      <c r="V265" s="59">
        <f>$L265*Variables!$C$24/100</f>
        <v>4.0598167316678584E-2</v>
      </c>
      <c r="W265" s="59">
        <f>$L265*Variables!$C$25/100</f>
        <v>0.29525939866675338</v>
      </c>
      <c r="X265" s="62">
        <f>T265*Variables!$E$26*Variables!$C$18+'Cost Calculations'!U265*Variables!$E$27*Variables!$C$18+'Cost Calculations'!V265*Variables!$E$28*Variables!$C$18+W265*Variables!$E$29*Variables!$C$18</f>
        <v>463588.41130947589</v>
      </c>
      <c r="Y265" s="58">
        <f>J265*Variables!$E$30</f>
        <v>8361.8756258310823</v>
      </c>
      <c r="Z265" s="1"/>
      <c r="AA265" s="245">
        <f>D265*(IF(D265&lt;Variables!$C$7,Variables!$C$38,IF(D265&gt;Variables!$C$6,Variables!$C$36,Variables!$C$37)))</f>
        <v>4.3929083128895545</v>
      </c>
      <c r="AB265" s="64">
        <f t="shared" si="13"/>
        <v>78</v>
      </c>
      <c r="AC265" s="66">
        <f t="shared" si="2"/>
        <v>0</v>
      </c>
      <c r="AD265" s="62">
        <f>AC265*Variables!$E$41</f>
        <v>0</v>
      </c>
      <c r="AE265" s="71">
        <f>ROUND((H265/(3.14*Variables!$C$35^2)),0)</f>
        <v>1</v>
      </c>
      <c r="AF265" s="57">
        <f t="shared" si="14"/>
        <v>1</v>
      </c>
      <c r="AG265" s="57">
        <f t="shared" si="3"/>
        <v>0</v>
      </c>
      <c r="AH265" s="58">
        <f>AG265*Variables!$E$42*Variables!$C$18</f>
        <v>0</v>
      </c>
      <c r="AI265" s="73">
        <f t="shared" si="4"/>
        <v>0</v>
      </c>
      <c r="AJ265" s="66">
        <f t="shared" si="15"/>
        <v>0</v>
      </c>
      <c r="AK265" s="66">
        <f t="shared" si="5"/>
        <v>0</v>
      </c>
      <c r="AL265" s="62">
        <f>IF(AK265*Variables!$E$43*Variables!$C$18&lt;0,0,AK265*Variables!$E$43*Variables!$C$18)</f>
        <v>0</v>
      </c>
      <c r="AM265" s="58">
        <f>AA265*Variables!$E$39*Variables!$C$18</f>
        <v>1269780.3156834929</v>
      </c>
      <c r="AN265" s="1"/>
      <c r="AO265" s="76">
        <f t="shared" si="16"/>
        <v>0.67714285714285716</v>
      </c>
      <c r="AP265" s="76">
        <f t="shared" si="6"/>
        <v>108.3610188531371</v>
      </c>
      <c r="AQ265" s="75">
        <f>VLOOKUP(B265,'Household Information'!$B$2:$E$48,4,FALSE)</f>
        <v>65.935833333333335</v>
      </c>
      <c r="AR265" s="79">
        <f>IF(12*(AP265-Variables!$C$45*AQ265*F265)*(G265/5)&lt;0,0,12*(AP265-Variables!$C$45*AQ265*F265)*(G265/5))</f>
        <v>648144.37734865642</v>
      </c>
      <c r="AS265" s="1"/>
      <c r="AT265" s="62">
        <v>0</v>
      </c>
      <c r="AU265" s="1"/>
    </row>
    <row r="266" spans="1:47" ht="14.25" customHeight="1">
      <c r="A266" s="1">
        <v>28</v>
      </c>
      <c r="B266" s="3" t="s">
        <v>221</v>
      </c>
      <c r="C266" s="1">
        <v>2024</v>
      </c>
      <c r="D266" s="13">
        <f>VLOOKUP(B266,Population!$B$1:$O$48,8,FALSE)</f>
        <v>52579.312789945769</v>
      </c>
      <c r="E266" s="13" t="str">
        <f t="shared" si="20"/>
        <v>Small</v>
      </c>
      <c r="F266" s="54">
        <f>VLOOKUP(B266,'Household Information'!$B$1:$E$48,2,FALSE)</f>
        <v>2.5363152064982328</v>
      </c>
      <c r="G266" s="54">
        <f t="shared" si="0"/>
        <v>20730.590841088506</v>
      </c>
      <c r="H266" s="55">
        <f>IF(D266&gt;Variables!$C$6,H219,H219*(1+Variables!$C$9))</f>
        <v>6.1165277614500413</v>
      </c>
      <c r="I266" s="1"/>
      <c r="J266" s="13">
        <f>H266*Variables!$C$21</f>
        <v>110.09749970610075</v>
      </c>
      <c r="K266" s="13">
        <f t="shared" si="12"/>
        <v>124.62</v>
      </c>
      <c r="L266" s="54">
        <f t="shared" si="1"/>
        <v>0</v>
      </c>
      <c r="M266" s="56"/>
      <c r="N266" s="57"/>
      <c r="O266" s="57"/>
      <c r="P266" s="57"/>
      <c r="Q266" s="57"/>
      <c r="R266" s="57"/>
      <c r="S266" s="58">
        <v>0</v>
      </c>
      <c r="T266" s="59">
        <f>$L266*Variables!$C$22/100</f>
        <v>0</v>
      </c>
      <c r="U266" s="59">
        <f>$L266*Variables!$C$23/100</f>
        <v>0</v>
      </c>
      <c r="V266" s="59">
        <f>$L266*Variables!$C$24/100</f>
        <v>0</v>
      </c>
      <c r="W266" s="59">
        <f>$L266*Variables!$C$25/100</f>
        <v>0</v>
      </c>
      <c r="X266" s="62">
        <f>T266*Variables!$E$26*Variables!$C$18+'Cost Calculations'!U266*Variables!$E$27*Variables!$C$18+'Cost Calculations'!V266*Variables!$E$28*Variables!$C$18+W266*Variables!$E$29*Variables!$C$18</f>
        <v>0</v>
      </c>
      <c r="Y266" s="58">
        <f>J266*Variables!$E$30</f>
        <v>72113.862307495991</v>
      </c>
      <c r="Z266" s="1"/>
      <c r="AA266" s="245">
        <f>D266*(IF(D266&lt;Variables!$C$7,Variables!$C$38,IF(D266&gt;Variables!$C$6,Variables!$C$36,Variables!$C$37)))</f>
        <v>42.063450231956615</v>
      </c>
      <c r="AB266" s="64">
        <f t="shared" si="13"/>
        <v>41</v>
      </c>
      <c r="AC266" s="66">
        <f t="shared" si="2"/>
        <v>1</v>
      </c>
      <c r="AD266" s="62">
        <f>AC266*Variables!$E$41</f>
        <v>537600</v>
      </c>
      <c r="AE266" s="71">
        <f>ROUND((H266/(3.14*Variables!$C$35^2)),0)</f>
        <v>8</v>
      </c>
      <c r="AF266" s="57">
        <f t="shared" si="14"/>
        <v>8</v>
      </c>
      <c r="AG266" s="57">
        <f t="shared" si="3"/>
        <v>0</v>
      </c>
      <c r="AH266" s="58">
        <f>AG266*Variables!$E$42*Variables!$C$18</f>
        <v>0</v>
      </c>
      <c r="AI266" s="73">
        <f t="shared" si="4"/>
        <v>0</v>
      </c>
      <c r="AJ266" s="66">
        <f t="shared" si="15"/>
        <v>0</v>
      </c>
      <c r="AK266" s="66">
        <f t="shared" si="5"/>
        <v>0</v>
      </c>
      <c r="AL266" s="62">
        <f>IF(AK266*Variables!$E$43*Variables!$C$18&lt;0,0,AK266*Variables!$E$43*Variables!$C$18)</f>
        <v>0</v>
      </c>
      <c r="AM266" s="58">
        <f>AA266*Variables!$E$39*Variables!$C$18</f>
        <v>12158537.649773529</v>
      </c>
      <c r="AN266" s="1"/>
      <c r="AO266" s="76">
        <f t="shared" si="16"/>
        <v>0.67714285714285716</v>
      </c>
      <c r="AP266" s="76">
        <f t="shared" si="6"/>
        <v>103.04686353258533</v>
      </c>
      <c r="AQ266" s="75">
        <f>VLOOKUP(B266,'Household Information'!$B$2:$E$48,4,FALSE)</f>
        <v>65.935833333333335</v>
      </c>
      <c r="AR266" s="79">
        <f>IF(12*(AP266-Variables!$C$45*AQ266*F266)*(G266/5)&lt;0,0,12*(AP266-Variables!$C$45*AQ266*F266)*(G266/5))</f>
        <v>3878863.7870799615</v>
      </c>
      <c r="AS266" s="1"/>
      <c r="AT266" s="62">
        <v>0</v>
      </c>
      <c r="AU266" s="1"/>
    </row>
    <row r="267" spans="1:47" ht="14.25" customHeight="1">
      <c r="A267" s="1">
        <v>29</v>
      </c>
      <c r="B267" s="3" t="s">
        <v>222</v>
      </c>
      <c r="C267" s="1">
        <v>2024</v>
      </c>
      <c r="D267" s="13">
        <f>VLOOKUP(B267,Population!$B$1:$O$48,8,FALSE)</f>
        <v>52946.709726630499</v>
      </c>
      <c r="E267" s="13" t="str">
        <f t="shared" si="20"/>
        <v>Small</v>
      </c>
      <c r="F267" s="54">
        <f>VLOOKUP(B267,'Household Information'!$B$1:$E$48,2,FALSE)</f>
        <v>2.6066968130921619</v>
      </c>
      <c r="G267" s="54">
        <f t="shared" si="0"/>
        <v>20311.802070998474</v>
      </c>
      <c r="H267" s="55">
        <f>IF(D267&gt;Variables!$C$6,H220,H220*(1+Variables!$C$9))</f>
        <v>3.8581175110684875</v>
      </c>
      <c r="I267" s="1"/>
      <c r="J267" s="13">
        <f>H267*Variables!$C$21</f>
        <v>69.446115199232779</v>
      </c>
      <c r="K267" s="13">
        <f t="shared" si="12"/>
        <v>69.7</v>
      </c>
      <c r="L267" s="54">
        <f t="shared" si="1"/>
        <v>0</v>
      </c>
      <c r="M267" s="56"/>
      <c r="N267" s="57"/>
      <c r="O267" s="57"/>
      <c r="P267" s="57"/>
      <c r="Q267" s="57"/>
      <c r="R267" s="57"/>
      <c r="S267" s="58">
        <v>0</v>
      </c>
      <c r="T267" s="59">
        <f>$L267*Variables!$C$22/100</f>
        <v>0</v>
      </c>
      <c r="U267" s="59">
        <f>$L267*Variables!$C$23/100</f>
        <v>0</v>
      </c>
      <c r="V267" s="59">
        <f>$L267*Variables!$C$24/100</f>
        <v>0</v>
      </c>
      <c r="W267" s="59">
        <f>$L267*Variables!$C$25/100</f>
        <v>0</v>
      </c>
      <c r="X267" s="62">
        <f>T267*Variables!$E$26*Variables!$C$18+'Cost Calculations'!U267*Variables!$E$27*Variables!$C$18+'Cost Calculations'!V267*Variables!$E$28*Variables!$C$18+W267*Variables!$E$29*Variables!$C$18</f>
        <v>0</v>
      </c>
      <c r="Y267" s="58">
        <f>J267*Variables!$E$30</f>
        <v>45487.205455497467</v>
      </c>
      <c r="Z267" s="1"/>
      <c r="AA267" s="245">
        <f>D267*(IF(D267&lt;Variables!$C$7,Variables!$C$38,IF(D267&gt;Variables!$C$6,Variables!$C$36,Variables!$C$37)))</f>
        <v>42.357367781304404</v>
      </c>
      <c r="AB267" s="64">
        <f t="shared" si="13"/>
        <v>42</v>
      </c>
      <c r="AC267" s="66">
        <f t="shared" si="2"/>
        <v>0</v>
      </c>
      <c r="AD267" s="62">
        <f>AC267*Variables!$E$41</f>
        <v>0</v>
      </c>
      <c r="AE267" s="71">
        <f>ROUND((H267/(3.14*Variables!$C$35^2)),0)</f>
        <v>5</v>
      </c>
      <c r="AF267" s="57">
        <f t="shared" si="14"/>
        <v>5</v>
      </c>
      <c r="AG267" s="57">
        <f t="shared" si="3"/>
        <v>0</v>
      </c>
      <c r="AH267" s="58">
        <f>AG267*Variables!$E$42*Variables!$C$18</f>
        <v>0</v>
      </c>
      <c r="AI267" s="73">
        <f t="shared" si="4"/>
        <v>0</v>
      </c>
      <c r="AJ267" s="66">
        <f t="shared" si="15"/>
        <v>0</v>
      </c>
      <c r="AK267" s="66">
        <f t="shared" si="5"/>
        <v>0</v>
      </c>
      <c r="AL267" s="62">
        <f>IF(AK267*Variables!$E$43*Variables!$C$18&lt;0,0,AK267*Variables!$E$43*Variables!$C$18)</f>
        <v>0</v>
      </c>
      <c r="AM267" s="58">
        <f>AA267*Variables!$E$39*Variables!$C$18</f>
        <v>12243495.197715217</v>
      </c>
      <c r="AN267" s="1"/>
      <c r="AO267" s="76">
        <f t="shared" si="16"/>
        <v>0.67714285714285716</v>
      </c>
      <c r="AP267" s="76">
        <f t="shared" si="6"/>
        <v>105.9063676633444</v>
      </c>
      <c r="AQ267" s="75">
        <f>VLOOKUP(B267,'Household Information'!$B$2:$E$48,4,FALSE)</f>
        <v>65.935833333333335</v>
      </c>
      <c r="AR267" s="79">
        <f>IF(12*(AP267-Variables!$C$45*AQ267*F267)*(G267/5)&lt;0,0,12*(AP267-Variables!$C$45*AQ267*F267)*(G267/5))</f>
        <v>3905967.2731769318</v>
      </c>
      <c r="AS267" s="1"/>
      <c r="AT267" s="62">
        <v>0</v>
      </c>
      <c r="AU267" s="1"/>
    </row>
    <row r="268" spans="1:47" ht="14.25" customHeight="1">
      <c r="A268" s="1">
        <v>30</v>
      </c>
      <c r="B268" s="3" t="s">
        <v>223</v>
      </c>
      <c r="C268" s="1">
        <v>2024</v>
      </c>
      <c r="D268" s="13">
        <f>VLOOKUP(B268,Population!$B$1:$O$48,8,FALSE)</f>
        <v>21637.055306896953</v>
      </c>
      <c r="E268" s="13" t="str">
        <f t="shared" si="20"/>
        <v>Small</v>
      </c>
      <c r="F268" s="54">
        <f>VLOOKUP(B268,'Household Information'!$B$1:$E$48,2,FALSE)</f>
        <v>2.8820273812991553</v>
      </c>
      <c r="G268" s="54">
        <f t="shared" si="0"/>
        <v>7507.5814502301637</v>
      </c>
      <c r="H268" s="55">
        <f>IF(D268&gt;Variables!$C$6,H221,H221*(1+Variables!$C$9))</f>
        <v>3.9992681517173341</v>
      </c>
      <c r="I268" s="1"/>
      <c r="J268" s="13">
        <f>H268*Variables!$C$21</f>
        <v>71.986826730912014</v>
      </c>
      <c r="K268" s="13">
        <f t="shared" si="12"/>
        <v>76.2</v>
      </c>
      <c r="L268" s="54">
        <f t="shared" si="1"/>
        <v>0</v>
      </c>
      <c r="M268" s="56"/>
      <c r="N268" s="57"/>
      <c r="O268" s="57"/>
      <c r="P268" s="57"/>
      <c r="Q268" s="57"/>
      <c r="R268" s="57"/>
      <c r="S268" s="58">
        <v>0</v>
      </c>
      <c r="T268" s="59">
        <f>$L268*Variables!$C$22/100</f>
        <v>0</v>
      </c>
      <c r="U268" s="59">
        <f>$L268*Variables!$C$23/100</f>
        <v>0</v>
      </c>
      <c r="V268" s="59">
        <f>$L268*Variables!$C$24/100</f>
        <v>0</v>
      </c>
      <c r="W268" s="59">
        <f>$L268*Variables!$C$25/100</f>
        <v>0</v>
      </c>
      <c r="X268" s="62">
        <f>T268*Variables!$E$26*Variables!$C$18+'Cost Calculations'!U268*Variables!$E$27*Variables!$C$18+'Cost Calculations'!V268*Variables!$E$28*Variables!$C$18+W268*Variables!$E$29*Variables!$C$18</f>
        <v>0</v>
      </c>
      <c r="Y268" s="58">
        <f>J268*Variables!$E$30</f>
        <v>47151.371508747368</v>
      </c>
      <c r="Z268" s="1"/>
      <c r="AA268" s="245">
        <f>D268*(IF(D268&lt;Variables!$C$7,Variables!$C$38,IF(D268&gt;Variables!$C$6,Variables!$C$36,Variables!$C$37)))</f>
        <v>10.818527653448477</v>
      </c>
      <c r="AB268" s="64">
        <f t="shared" si="13"/>
        <v>11</v>
      </c>
      <c r="AC268" s="66">
        <f t="shared" si="2"/>
        <v>0</v>
      </c>
      <c r="AD268" s="62">
        <f>AC268*Variables!$E$41</f>
        <v>0</v>
      </c>
      <c r="AE268" s="71">
        <f>ROUND((H268/(3.14*Variables!$C$35^2)),0)</f>
        <v>5</v>
      </c>
      <c r="AF268" s="57">
        <f t="shared" si="14"/>
        <v>5</v>
      </c>
      <c r="AG268" s="57">
        <f t="shared" si="3"/>
        <v>0</v>
      </c>
      <c r="AH268" s="58">
        <f>AG268*Variables!$E$42*Variables!$C$18</f>
        <v>0</v>
      </c>
      <c r="AI268" s="73">
        <f t="shared" si="4"/>
        <v>0</v>
      </c>
      <c r="AJ268" s="66">
        <f t="shared" si="15"/>
        <v>0</v>
      </c>
      <c r="AK268" s="66">
        <f t="shared" si="5"/>
        <v>0</v>
      </c>
      <c r="AL268" s="62">
        <f>IF(AK268*Variables!$E$43*Variables!$C$18&lt;0,0,AK268*Variables!$E$43*Variables!$C$18)</f>
        <v>0</v>
      </c>
      <c r="AM268" s="58">
        <f>AA268*Variables!$E$39*Variables!$C$18</f>
        <v>3127120.4588357136</v>
      </c>
      <c r="AN268" s="1"/>
      <c r="AO268" s="76">
        <f t="shared" si="16"/>
        <v>0.67714285714285716</v>
      </c>
      <c r="AP268" s="76">
        <f t="shared" si="6"/>
        <v>117.09265532021139</v>
      </c>
      <c r="AQ268" s="75">
        <f>VLOOKUP(B268,'Household Information'!$B$2:$E$48,4,FALSE)</f>
        <v>65.935833333333335</v>
      </c>
      <c r="AR268" s="79">
        <f>IF(12*(AP268-Variables!$C$45*AQ268*F268)*(G268/5)&lt;0,0,12*(AP268-Variables!$C$45*AQ268*F268)*(G268/5))</f>
        <v>1596201.7347822296</v>
      </c>
      <c r="AS268" s="1"/>
      <c r="AT268" s="62">
        <v>0</v>
      </c>
      <c r="AU268" s="1"/>
    </row>
    <row r="269" spans="1:47" ht="14.25" customHeight="1">
      <c r="A269" s="1">
        <v>31</v>
      </c>
      <c r="B269" s="3" t="s">
        <v>224</v>
      </c>
      <c r="C269" s="1">
        <v>2024</v>
      </c>
      <c r="D269" s="13">
        <f>VLOOKUP(B269,Population!$B$1:$O$48,8,FALSE)</f>
        <v>32917.016017729227</v>
      </c>
      <c r="E269" s="13" t="str">
        <f t="shared" si="20"/>
        <v>Small</v>
      </c>
      <c r="F269" s="54">
        <f>VLOOKUP(B269,'Household Information'!$B$1:$E$48,2,FALSE)</f>
        <v>3.407</v>
      </c>
      <c r="G269" s="54">
        <f t="shared" si="0"/>
        <v>9661.5838032665761</v>
      </c>
      <c r="H269" s="55">
        <f>IF(D269&gt;Variables!$C$6,H222,H222*(1+Variables!$C$9))</f>
        <v>4.269806879627625</v>
      </c>
      <c r="I269" s="1"/>
      <c r="J269" s="13">
        <f>H269*Variables!$C$21</f>
        <v>76.856523833297246</v>
      </c>
      <c r="K269" s="13">
        <f t="shared" si="12"/>
        <v>83</v>
      </c>
      <c r="L269" s="54">
        <f t="shared" si="1"/>
        <v>0</v>
      </c>
      <c r="M269" s="56"/>
      <c r="N269" s="57"/>
      <c r="O269" s="57"/>
      <c r="P269" s="57"/>
      <c r="Q269" s="57"/>
      <c r="R269" s="57"/>
      <c r="S269" s="58">
        <v>0</v>
      </c>
      <c r="T269" s="59">
        <f>$L269*Variables!$C$22/100</f>
        <v>0</v>
      </c>
      <c r="U269" s="59">
        <f>$L269*Variables!$C$23/100</f>
        <v>0</v>
      </c>
      <c r="V269" s="59">
        <f>$L269*Variables!$C$24/100</f>
        <v>0</v>
      </c>
      <c r="W269" s="59">
        <f>$L269*Variables!$C$25/100</f>
        <v>0</v>
      </c>
      <c r="X269" s="62">
        <f>T269*Variables!$E$26*Variables!$C$18+'Cost Calculations'!U269*Variables!$E$27*Variables!$C$18+'Cost Calculations'!V269*Variables!$E$28*Variables!$C$18+W269*Variables!$E$29*Variables!$C$18</f>
        <v>0</v>
      </c>
      <c r="Y269" s="58">
        <f>J269*Variables!$E$30</f>
        <v>50341.023110809692</v>
      </c>
      <c r="Z269" s="1"/>
      <c r="AA269" s="245">
        <f>D269*(IF(D269&lt;Variables!$C$7,Variables!$C$38,IF(D269&gt;Variables!$C$6,Variables!$C$36,Variables!$C$37)))</f>
        <v>16.458508008864612</v>
      </c>
      <c r="AB269" s="64">
        <f t="shared" si="13"/>
        <v>16</v>
      </c>
      <c r="AC269" s="66">
        <f t="shared" si="2"/>
        <v>0</v>
      </c>
      <c r="AD269" s="62">
        <f>AC269*Variables!$E$41</f>
        <v>0</v>
      </c>
      <c r="AE269" s="71">
        <f>ROUND((H269/(3.14*Variables!$C$35^2)),0)</f>
        <v>5</v>
      </c>
      <c r="AF269" s="57">
        <f t="shared" si="14"/>
        <v>5</v>
      </c>
      <c r="AG269" s="57">
        <f t="shared" si="3"/>
        <v>0</v>
      </c>
      <c r="AH269" s="58">
        <f>AG269*Variables!$E$42*Variables!$C$18</f>
        <v>0</v>
      </c>
      <c r="AI269" s="73">
        <f t="shared" si="4"/>
        <v>0</v>
      </c>
      <c r="AJ269" s="66">
        <f t="shared" si="15"/>
        <v>0</v>
      </c>
      <c r="AK269" s="66">
        <f t="shared" si="5"/>
        <v>0</v>
      </c>
      <c r="AL269" s="62">
        <f>IF(AK269*Variables!$E$43*Variables!$C$18&lt;0,0,AK269*Variables!$E$43*Variables!$C$18)</f>
        <v>0</v>
      </c>
      <c r="AM269" s="58">
        <f>AA269*Variables!$E$39*Variables!$C$18</f>
        <v>4757369.834889343</v>
      </c>
      <c r="AN269" s="1"/>
      <c r="AO269" s="76">
        <f t="shared" si="16"/>
        <v>0.67714285714285716</v>
      </c>
      <c r="AP269" s="76">
        <f t="shared" si="6"/>
        <v>138.42154285714284</v>
      </c>
      <c r="AQ269" s="75">
        <f>VLOOKUP(B269,'Household Information'!$B$2:$E$48,4,FALSE)</f>
        <v>65.935833333333335</v>
      </c>
      <c r="AR269" s="79">
        <f>IF(12*(AP269-Variables!$C$45*AQ269*F269)*(G269/5)&lt;0,0,12*(AP269-Variables!$C$45*AQ269*F269)*(G269/5))</f>
        <v>2428343.2900689426</v>
      </c>
      <c r="AS269" s="1"/>
      <c r="AT269" s="62">
        <v>0</v>
      </c>
      <c r="AU269" s="1"/>
    </row>
    <row r="270" spans="1:47" ht="14.25" customHeight="1">
      <c r="A270" s="1">
        <v>32</v>
      </c>
      <c r="B270" s="3" t="s">
        <v>225</v>
      </c>
      <c r="C270" s="1">
        <v>2024</v>
      </c>
      <c r="D270" s="13">
        <f>VLOOKUP(B270,Population!$B$1:$O$48,8,FALSE)</f>
        <v>30298.219400586604</v>
      </c>
      <c r="E270" s="13" t="str">
        <f t="shared" si="20"/>
        <v>Small</v>
      </c>
      <c r="F270" s="54">
        <f>VLOOKUP(B270,'Household Information'!$B$1:$E$48,2,FALSE)</f>
        <v>4.9791554357592096</v>
      </c>
      <c r="G270" s="54">
        <f t="shared" si="0"/>
        <v>6085.0117638407901</v>
      </c>
      <c r="H270" s="55">
        <f>IF(D270&gt;Variables!$C$6,H223,H223*(1+Variables!$C$9))</f>
        <v>3.6463915500952164</v>
      </c>
      <c r="I270" s="1"/>
      <c r="J270" s="13">
        <f>H270*Variables!$C$21</f>
        <v>65.635047901713889</v>
      </c>
      <c r="K270" s="13">
        <f t="shared" si="12"/>
        <v>63.538284512791776</v>
      </c>
      <c r="L270" s="54">
        <f t="shared" si="1"/>
        <v>2.0967633889221133</v>
      </c>
      <c r="M270" s="56"/>
      <c r="N270" s="57"/>
      <c r="O270" s="57"/>
      <c r="P270" s="57"/>
      <c r="Q270" s="57"/>
      <c r="R270" s="57"/>
      <c r="S270" s="58">
        <v>0</v>
      </c>
      <c r="T270" s="59">
        <f>$L270*Variables!$C$22/100</f>
        <v>0.11385140573332742</v>
      </c>
      <c r="U270" s="59">
        <f>$L270*Variables!$C$23/100</f>
        <v>0.19923996003332298</v>
      </c>
      <c r="V270" s="59">
        <f>$L270*Variables!$C$24/100</f>
        <v>0.20872757717776694</v>
      </c>
      <c r="W270" s="59">
        <f>$L270*Variables!$C$25/100</f>
        <v>1.5180187431110324</v>
      </c>
      <c r="X270" s="62">
        <f>T270*Variables!$E$26*Variables!$C$18+'Cost Calculations'!U270*Variables!$E$27*Variables!$C$18+'Cost Calculations'!V270*Variables!$E$28*Variables!$C$18+W270*Variables!$E$29*Variables!$C$18</f>
        <v>2383449.6061245706</v>
      </c>
      <c r="Y270" s="58">
        <f>J270*Variables!$E$30</f>
        <v>42990.956375622598</v>
      </c>
      <c r="Z270" s="1"/>
      <c r="AA270" s="245">
        <f>D270*(IF(D270&lt;Variables!$C$7,Variables!$C$38,IF(D270&gt;Variables!$C$6,Variables!$C$36,Variables!$C$37)))</f>
        <v>15.149109700293302</v>
      </c>
      <c r="AB270" s="64">
        <f t="shared" si="13"/>
        <v>15</v>
      </c>
      <c r="AC270" s="66">
        <f t="shared" si="2"/>
        <v>0</v>
      </c>
      <c r="AD270" s="62">
        <f>AC270*Variables!$E$41</f>
        <v>0</v>
      </c>
      <c r="AE270" s="71">
        <f>ROUND((H270/(3.14*Variables!$C$35^2)),0)</f>
        <v>5</v>
      </c>
      <c r="AF270" s="57">
        <f t="shared" si="14"/>
        <v>4</v>
      </c>
      <c r="AG270" s="57">
        <f t="shared" si="3"/>
        <v>1</v>
      </c>
      <c r="AH270" s="58">
        <f>AG270*Variables!$E$42*Variables!$C$18</f>
        <v>1148.2560000000001</v>
      </c>
      <c r="AI270" s="73">
        <f t="shared" si="4"/>
        <v>0</v>
      </c>
      <c r="AJ270" s="66">
        <f t="shared" si="15"/>
        <v>1</v>
      </c>
      <c r="AK270" s="66">
        <f t="shared" si="5"/>
        <v>0</v>
      </c>
      <c r="AL270" s="62">
        <f>IF(AK270*Variables!$E$43*Variables!$C$18&lt;0,0,AK270*Variables!$E$43*Variables!$C$18)</f>
        <v>0</v>
      </c>
      <c r="AM270" s="58">
        <f>AA270*Variables!$E$39*Variables!$C$18</f>
        <v>4378885.2230583578</v>
      </c>
      <c r="AN270" s="1"/>
      <c r="AO270" s="76">
        <f t="shared" si="16"/>
        <v>0.67714285714285716</v>
      </c>
      <c r="AP270" s="76">
        <f t="shared" si="6"/>
        <v>202.29597227570272</v>
      </c>
      <c r="AQ270" s="75">
        <f>VLOOKUP(B270,'Household Information'!$B$2:$E$48,4,FALSE)</f>
        <v>65.935833333333335</v>
      </c>
      <c r="AR270" s="79">
        <f>IF(12*(AP270-Variables!$C$45*AQ270*F270)*(G270/5)&lt;0,0,12*(AP270-Variables!$C$45*AQ270*F270)*(G270/5))</f>
        <v>2235150.2864908432</v>
      </c>
      <c r="AS270" s="1"/>
      <c r="AT270" s="62">
        <v>0</v>
      </c>
      <c r="AU270" s="1"/>
    </row>
    <row r="271" spans="1:47" ht="14.25" customHeight="1">
      <c r="A271" s="1">
        <v>33</v>
      </c>
      <c r="B271" s="3" t="s">
        <v>226</v>
      </c>
      <c r="C271" s="1">
        <v>2024</v>
      </c>
      <c r="D271" s="13">
        <f>VLOOKUP(B271,Population!$B$1:$O$48,8,FALSE)</f>
        <v>129904.34008617743</v>
      </c>
      <c r="E271" s="13" t="str">
        <f t="shared" si="20"/>
        <v>Medium</v>
      </c>
      <c r="F271" s="54">
        <f>VLOOKUP(B271,'Household Information'!$B$1:$E$48,2,FALSE)</f>
        <v>2.6362587373793409</v>
      </c>
      <c r="G271" s="54">
        <f t="shared" si="0"/>
        <v>49276.02068957506</v>
      </c>
      <c r="H271" s="55">
        <f>IF(D271&gt;Variables!$C$6,H224,H224*(1+Variables!$C$9))</f>
        <v>12.015102013299996</v>
      </c>
      <c r="I271" s="1"/>
      <c r="J271" s="13">
        <f>H271*Variables!$C$21</f>
        <v>216.27183623939993</v>
      </c>
      <c r="K271" s="13">
        <f t="shared" si="12"/>
        <v>216.27183623939993</v>
      </c>
      <c r="L271" s="54">
        <f t="shared" si="1"/>
        <v>0</v>
      </c>
      <c r="M271" s="56"/>
      <c r="N271" s="57"/>
      <c r="O271" s="57"/>
      <c r="P271" s="57"/>
      <c r="Q271" s="57"/>
      <c r="R271" s="57"/>
      <c r="S271" s="58">
        <v>0</v>
      </c>
      <c r="T271" s="59">
        <f>$L271*Variables!$C$22/100</f>
        <v>0</v>
      </c>
      <c r="U271" s="59">
        <f>$L271*Variables!$C$23/100</f>
        <v>0</v>
      </c>
      <c r="V271" s="59">
        <f>$L271*Variables!$C$24/100</f>
        <v>0</v>
      </c>
      <c r="W271" s="59">
        <f>$L271*Variables!$C$25/100</f>
        <v>0</v>
      </c>
      <c r="X271" s="62">
        <f>T271*Variables!$E$26*Variables!$C$18+'Cost Calculations'!U271*Variables!$E$27*Variables!$C$18+'Cost Calculations'!V271*Variables!$E$28*Variables!$C$18+W271*Variables!$E$29*Variables!$C$18</f>
        <v>0</v>
      </c>
      <c r="Y271" s="58">
        <f>J271*Variables!$E$30</f>
        <v>141658.05273680695</v>
      </c>
      <c r="Z271" s="1"/>
      <c r="AA271" s="245">
        <f>D271*(IF(D271&lt;Variables!$C$7,Variables!$C$38,IF(D271&gt;Variables!$C$6,Variables!$C$36,Variables!$C$37)))</f>
        <v>155.88520810341291</v>
      </c>
      <c r="AB271" s="64">
        <f t="shared" si="13"/>
        <v>154</v>
      </c>
      <c r="AC271" s="66">
        <f t="shared" si="2"/>
        <v>2</v>
      </c>
      <c r="AD271" s="62">
        <f>AC271*Variables!$E$41</f>
        <v>1075200</v>
      </c>
      <c r="AE271" s="71">
        <f>ROUND((H271/(3.14*Variables!$C$35^2)),0)</f>
        <v>15</v>
      </c>
      <c r="AF271" s="57">
        <f t="shared" si="14"/>
        <v>15</v>
      </c>
      <c r="AG271" s="57">
        <f t="shared" si="3"/>
        <v>0</v>
      </c>
      <c r="AH271" s="58">
        <f>AG271*Variables!$E$42*Variables!$C$18</f>
        <v>0</v>
      </c>
      <c r="AI271" s="73">
        <f t="shared" si="4"/>
        <v>1</v>
      </c>
      <c r="AJ271" s="66">
        <f t="shared" si="15"/>
        <v>1</v>
      </c>
      <c r="AK271" s="66">
        <f t="shared" si="5"/>
        <v>0</v>
      </c>
      <c r="AL271" s="62">
        <f>IF(AK271*Variables!$E$43*Variables!$C$18&lt;0,0,AK271*Variables!$E$43*Variables!$C$18)</f>
        <v>0</v>
      </c>
      <c r="AM271" s="58">
        <f>AA271*Variables!$E$39*Variables!$C$18</f>
        <v>45058980.214804038</v>
      </c>
      <c r="AN271" s="1"/>
      <c r="AO271" s="76">
        <f t="shared" si="16"/>
        <v>0.67714285714285716</v>
      </c>
      <c r="AP271" s="76">
        <f t="shared" si="6"/>
        <v>107.10742641581207</v>
      </c>
      <c r="AQ271" s="75">
        <f>VLOOKUP(B271,'Household Information'!$B$2:$E$48,4,FALSE)</f>
        <v>40.760000000000005</v>
      </c>
      <c r="AR271" s="79">
        <f>IF(12*(AP271-Variables!$C$45*AQ271*F271)*(G271/5)&lt;0,0,12*(AP271-Variables!$C$45*AQ271*F271)*(G271/5))</f>
        <v>10760622.299485933</v>
      </c>
      <c r="AS271" s="1"/>
      <c r="AT271" s="62">
        <v>0</v>
      </c>
      <c r="AU271" s="1"/>
    </row>
    <row r="272" spans="1:47" ht="14.25" customHeight="1">
      <c r="A272" s="1">
        <v>34</v>
      </c>
      <c r="B272" s="3" t="s">
        <v>227</v>
      </c>
      <c r="C272" s="1">
        <v>2024</v>
      </c>
      <c r="D272" s="13">
        <f>VLOOKUP(B272,Population!$B$1:$O$48,8,FALSE)</f>
        <v>115376.85288143551</v>
      </c>
      <c r="E272" s="13" t="str">
        <f t="shared" si="20"/>
        <v>Medium</v>
      </c>
      <c r="F272" s="54">
        <f>VLOOKUP(B272,'Household Information'!$B$1:$E$48,2,FALSE)</f>
        <v>2.8808529227072923</v>
      </c>
      <c r="G272" s="54">
        <f t="shared" si="0"/>
        <v>40049.546428427064</v>
      </c>
      <c r="H272" s="55">
        <f>IF(D272&gt;Variables!$C$6,H225,H225*(1+Variables!$C$9))</f>
        <v>8.2342029393899967</v>
      </c>
      <c r="I272" s="1"/>
      <c r="J272" s="13">
        <f>H272*Variables!$C$21</f>
        <v>148.21565290901995</v>
      </c>
      <c r="K272" s="13">
        <f t="shared" si="12"/>
        <v>148.21565290901995</v>
      </c>
      <c r="L272" s="54">
        <f t="shared" si="1"/>
        <v>0</v>
      </c>
      <c r="M272" s="56"/>
      <c r="N272" s="57"/>
      <c r="O272" s="57"/>
      <c r="P272" s="57"/>
      <c r="Q272" s="57"/>
      <c r="R272" s="57"/>
      <c r="S272" s="58">
        <v>0</v>
      </c>
      <c r="T272" s="59">
        <f>$L272*Variables!$C$22/100</f>
        <v>0</v>
      </c>
      <c r="U272" s="59">
        <f>$L272*Variables!$C$23/100</f>
        <v>0</v>
      </c>
      <c r="V272" s="59">
        <f>$L272*Variables!$C$24/100</f>
        <v>0</v>
      </c>
      <c r="W272" s="59">
        <f>$L272*Variables!$C$25/100</f>
        <v>0</v>
      </c>
      <c r="X272" s="62">
        <f>T272*Variables!$E$26*Variables!$C$18+'Cost Calculations'!U272*Variables!$E$27*Variables!$C$18+'Cost Calculations'!V272*Variables!$E$28*Variables!$C$18+W272*Variables!$E$29*Variables!$C$18</f>
        <v>0</v>
      </c>
      <c r="Y272" s="58">
        <f>J272*Variables!$E$30</f>
        <v>97081.252655408069</v>
      </c>
      <c r="Z272" s="1"/>
      <c r="AA272" s="245">
        <f>D272*(IF(D272&lt;Variables!$C$7,Variables!$C$38,IF(D272&gt;Variables!$C$6,Variables!$C$36,Variables!$C$37)))</f>
        <v>138.4522234577226</v>
      </c>
      <c r="AB272" s="64">
        <f t="shared" si="13"/>
        <v>136</v>
      </c>
      <c r="AC272" s="66">
        <f t="shared" si="2"/>
        <v>2</v>
      </c>
      <c r="AD272" s="62">
        <f>AC272*Variables!$E$41</f>
        <v>1075200</v>
      </c>
      <c r="AE272" s="71">
        <f>ROUND((H272/(3.14*Variables!$C$35^2)),0)</f>
        <v>10</v>
      </c>
      <c r="AF272" s="57">
        <f t="shared" si="14"/>
        <v>10</v>
      </c>
      <c r="AG272" s="57">
        <f t="shared" si="3"/>
        <v>0</v>
      </c>
      <c r="AH272" s="58">
        <f>AG272*Variables!$E$42*Variables!$C$18</f>
        <v>0</v>
      </c>
      <c r="AI272" s="73">
        <f t="shared" si="4"/>
        <v>1</v>
      </c>
      <c r="AJ272" s="66">
        <f t="shared" si="15"/>
        <v>1</v>
      </c>
      <c r="AK272" s="66">
        <f t="shared" si="5"/>
        <v>0</v>
      </c>
      <c r="AL272" s="62">
        <f>IF(AK272*Variables!$E$43*Variables!$C$18&lt;0,0,AK272*Variables!$E$43*Variables!$C$18)</f>
        <v>0</v>
      </c>
      <c r="AM272" s="58">
        <f>AA272*Variables!$E$39*Variables!$C$18</f>
        <v>40019935.652512789</v>
      </c>
      <c r="AN272" s="1"/>
      <c r="AO272" s="76">
        <f t="shared" si="16"/>
        <v>0.67714285714285716</v>
      </c>
      <c r="AP272" s="76">
        <f t="shared" si="6"/>
        <v>117.04493874542199</v>
      </c>
      <c r="AQ272" s="75">
        <f>VLOOKUP(B272,'Household Information'!$B$2:$E$48,4,FALSE)</f>
        <v>40.760000000000005</v>
      </c>
      <c r="AR272" s="79">
        <f>IF(12*(AP272-Variables!$C$45*AQ272*F272)*(G272/5)&lt;0,0,12*(AP272-Variables!$C$45*AQ272*F272)*(G272/5))</f>
        <v>9557238.3119521979</v>
      </c>
      <c r="AS272" s="1"/>
      <c r="AT272" s="62">
        <v>0</v>
      </c>
      <c r="AU272" s="1"/>
    </row>
    <row r="273" spans="1:47" ht="14.25" customHeight="1">
      <c r="A273" s="1">
        <v>35</v>
      </c>
      <c r="B273" s="3" t="s">
        <v>228</v>
      </c>
      <c r="C273" s="1">
        <v>2024</v>
      </c>
      <c r="D273" s="13">
        <f>VLOOKUP(B273,Population!$B$1:$O$48,8,FALSE)</f>
        <v>526931.40233722201</v>
      </c>
      <c r="E273" s="13" t="str">
        <f t="shared" si="20"/>
        <v>Medium</v>
      </c>
      <c r="F273" s="54">
        <f>VLOOKUP(B273,'Household Information'!$B$1:$E$48,2,FALSE)</f>
        <v>2.7382605632202197</v>
      </c>
      <c r="G273" s="54">
        <f t="shared" si="0"/>
        <v>192432.89313473727</v>
      </c>
      <c r="H273" s="55">
        <f>IF(D273&gt;Variables!$C$6,H226,H226*(1+Variables!$C$9))</f>
        <v>24.726831923274581</v>
      </c>
      <c r="I273" s="1"/>
      <c r="J273" s="13">
        <f>H273*Variables!$C$21</f>
        <v>445.08297461894244</v>
      </c>
      <c r="K273" s="13">
        <f t="shared" si="12"/>
        <v>445.08297461894244</v>
      </c>
      <c r="L273" s="54">
        <f t="shared" si="1"/>
        <v>0</v>
      </c>
      <c r="M273" s="56"/>
      <c r="N273" s="57"/>
      <c r="O273" s="57"/>
      <c r="P273" s="57"/>
      <c r="Q273" s="57"/>
      <c r="R273" s="57"/>
      <c r="S273" s="58">
        <v>0</v>
      </c>
      <c r="T273" s="59">
        <f>$L273*Variables!$C$22/100</f>
        <v>0</v>
      </c>
      <c r="U273" s="59">
        <f>$L273*Variables!$C$23/100</f>
        <v>0</v>
      </c>
      <c r="V273" s="59">
        <f>$L273*Variables!$C$24/100</f>
        <v>0</v>
      </c>
      <c r="W273" s="59">
        <f>$L273*Variables!$C$25/100</f>
        <v>0</v>
      </c>
      <c r="X273" s="62">
        <f>T273*Variables!$E$26*Variables!$C$18+'Cost Calculations'!U273*Variables!$E$27*Variables!$C$18+'Cost Calculations'!V273*Variables!$E$28*Variables!$C$18+W273*Variables!$E$29*Variables!$C$18</f>
        <v>0</v>
      </c>
      <c r="Y273" s="58">
        <f>J273*Variables!$E$30</f>
        <v>291529.34837540728</v>
      </c>
      <c r="Z273" s="1"/>
      <c r="AA273" s="245">
        <f>D273*(IF(D273&lt;Variables!$C$7,Variables!$C$38,IF(D273&gt;Variables!$C$6,Variables!$C$36,Variables!$C$37)))</f>
        <v>632.31768280466633</v>
      </c>
      <c r="AB273" s="64">
        <f t="shared" si="13"/>
        <v>623</v>
      </c>
      <c r="AC273" s="66">
        <f t="shared" si="2"/>
        <v>9</v>
      </c>
      <c r="AD273" s="62">
        <f>AC273*Variables!$E$41</f>
        <v>4838400</v>
      </c>
      <c r="AE273" s="71">
        <f>ROUND((H273/(3.14*Variables!$C$35^2)),0)</f>
        <v>31</v>
      </c>
      <c r="AF273" s="57">
        <f t="shared" si="14"/>
        <v>31</v>
      </c>
      <c r="AG273" s="57">
        <f t="shared" si="3"/>
        <v>0</v>
      </c>
      <c r="AH273" s="58">
        <f>AG273*Variables!$E$42*Variables!$C$18</f>
        <v>0</v>
      </c>
      <c r="AI273" s="73">
        <f t="shared" si="4"/>
        <v>5</v>
      </c>
      <c r="AJ273" s="66">
        <f t="shared" si="15"/>
        <v>5</v>
      </c>
      <c r="AK273" s="66">
        <f t="shared" si="5"/>
        <v>0</v>
      </c>
      <c r="AL273" s="62">
        <f>IF(AK273*Variables!$E$43*Variables!$C$18&lt;0,0,AK273*Variables!$E$43*Variables!$C$18)</f>
        <v>0</v>
      </c>
      <c r="AM273" s="58">
        <f>AA273*Variables!$E$39*Variables!$C$18</f>
        <v>182772889.77967119</v>
      </c>
      <c r="AN273" s="1"/>
      <c r="AO273" s="76">
        <f t="shared" si="16"/>
        <v>0.67714285714285716</v>
      </c>
      <c r="AP273" s="76">
        <f t="shared" si="6"/>
        <v>111.25161488283292</v>
      </c>
      <c r="AQ273" s="75">
        <f>VLOOKUP(B273,'Household Information'!$B$2:$E$48,4,FALSE)</f>
        <v>40.760000000000005</v>
      </c>
      <c r="AR273" s="79">
        <f>IF(12*(AP273-Variables!$C$45*AQ273*F273)*(G273/5)&lt;0,0,12*(AP273-Variables!$C$45*AQ273*F273)*(G273/5))</f>
        <v>43648347.657420859</v>
      </c>
      <c r="AS273" s="1"/>
      <c r="AT273" s="62">
        <v>0</v>
      </c>
      <c r="AU273" s="1"/>
    </row>
    <row r="274" spans="1:47" ht="14.25" customHeight="1">
      <c r="A274" s="1">
        <v>36</v>
      </c>
      <c r="B274" s="3" t="s">
        <v>229</v>
      </c>
      <c r="C274" s="1">
        <v>2024</v>
      </c>
      <c r="D274" s="13">
        <f>VLOOKUP(B274,Population!$B$1:$O$48,8,FALSE)</f>
        <v>282594.94434965553</v>
      </c>
      <c r="E274" s="13" t="str">
        <f t="shared" si="20"/>
        <v>Medium</v>
      </c>
      <c r="F274" s="54">
        <f>VLOOKUP(B274,'Household Information'!$B$1:$E$48,2,FALSE)</f>
        <v>2.7303604631507774</v>
      </c>
      <c r="G274" s="54">
        <f t="shared" si="0"/>
        <v>103500.96559175452</v>
      </c>
      <c r="H274" s="55">
        <f>IF(D274&gt;Variables!$C$6,H227,H227*(1+Variables!$C$9))</f>
        <v>25.407115316792478</v>
      </c>
      <c r="I274" s="1"/>
      <c r="J274" s="13">
        <f>H274*Variables!$C$21</f>
        <v>457.32807570226458</v>
      </c>
      <c r="K274" s="13">
        <f t="shared" si="12"/>
        <v>457.32807570226458</v>
      </c>
      <c r="L274" s="54">
        <f t="shared" si="1"/>
        <v>0</v>
      </c>
      <c r="M274" s="56"/>
      <c r="N274" s="57"/>
      <c r="O274" s="57"/>
      <c r="P274" s="57"/>
      <c r="Q274" s="57"/>
      <c r="R274" s="57"/>
      <c r="S274" s="58">
        <v>0</v>
      </c>
      <c r="T274" s="59">
        <f>$L274*Variables!$C$22/100</f>
        <v>0</v>
      </c>
      <c r="U274" s="59">
        <f>$L274*Variables!$C$23/100</f>
        <v>0</v>
      </c>
      <c r="V274" s="59">
        <f>$L274*Variables!$C$24/100</f>
        <v>0</v>
      </c>
      <c r="W274" s="59">
        <f>$L274*Variables!$C$25/100</f>
        <v>0</v>
      </c>
      <c r="X274" s="62">
        <f>T274*Variables!$E$26*Variables!$C$18+'Cost Calculations'!U274*Variables!$E$27*Variables!$C$18+'Cost Calculations'!V274*Variables!$E$28*Variables!$C$18+W274*Variables!$E$29*Variables!$C$18</f>
        <v>0</v>
      </c>
      <c r="Y274" s="58">
        <f>J274*Variables!$E$30</f>
        <v>299549.88958498329</v>
      </c>
      <c r="Z274" s="1"/>
      <c r="AA274" s="245">
        <f>D274*(IF(D274&lt;Variables!$C$7,Variables!$C$38,IF(D274&gt;Variables!$C$6,Variables!$C$36,Variables!$C$37)))</f>
        <v>339.11393321958661</v>
      </c>
      <c r="AB274" s="64">
        <f t="shared" si="13"/>
        <v>334</v>
      </c>
      <c r="AC274" s="66">
        <f t="shared" si="2"/>
        <v>5</v>
      </c>
      <c r="AD274" s="62">
        <f>AC274*Variables!$E$41</f>
        <v>2688000</v>
      </c>
      <c r="AE274" s="71">
        <f>ROUND((H274/(3.14*Variables!$C$35^2)),0)</f>
        <v>32</v>
      </c>
      <c r="AF274" s="57">
        <f t="shared" si="14"/>
        <v>32</v>
      </c>
      <c r="AG274" s="57">
        <f t="shared" si="3"/>
        <v>0</v>
      </c>
      <c r="AH274" s="58">
        <f>AG274*Variables!$E$42*Variables!$C$18</f>
        <v>0</v>
      </c>
      <c r="AI274" s="73">
        <f t="shared" si="4"/>
        <v>3</v>
      </c>
      <c r="AJ274" s="66">
        <f t="shared" si="15"/>
        <v>3</v>
      </c>
      <c r="AK274" s="66">
        <f t="shared" si="5"/>
        <v>0</v>
      </c>
      <c r="AL274" s="62">
        <f>IF(AK274*Variables!$E$43*Variables!$C$18&lt;0,0,AK274*Variables!$E$43*Variables!$C$18)</f>
        <v>0</v>
      </c>
      <c r="AM274" s="58">
        <f>AA274*Variables!$E$39*Variables!$C$18</f>
        <v>98021667.311558038</v>
      </c>
      <c r="AN274" s="1"/>
      <c r="AO274" s="76">
        <f t="shared" si="16"/>
        <v>0.67714285714285716</v>
      </c>
      <c r="AP274" s="76">
        <f t="shared" si="6"/>
        <v>110.93064510286872</v>
      </c>
      <c r="AQ274" s="75">
        <f>VLOOKUP(B274,'Household Information'!$B$2:$E$48,4,FALSE)</f>
        <v>27.28</v>
      </c>
      <c r="AR274" s="79">
        <f>IF(12*(AP274-Variables!$C$45*AQ274*F274)*(G274/5)&lt;0,0,12*(AP274-Variables!$C$45*AQ274*F274)*(G274/5))</f>
        <v>24780120.887002461</v>
      </c>
      <c r="AS274" s="1"/>
      <c r="AT274" s="62">
        <v>0</v>
      </c>
      <c r="AU274" s="1"/>
    </row>
    <row r="275" spans="1:47" ht="14.25" customHeight="1">
      <c r="A275" s="1">
        <v>37</v>
      </c>
      <c r="B275" s="3" t="s">
        <v>230</v>
      </c>
      <c r="C275" s="1">
        <v>2024</v>
      </c>
      <c r="D275" s="13">
        <f>VLOOKUP(B275,Population!$B$1:$O$48,8,FALSE)</f>
        <v>131718.36246105825</v>
      </c>
      <c r="E275" s="13" t="str">
        <f t="shared" si="20"/>
        <v>Medium</v>
      </c>
      <c r="F275" s="54">
        <f>VLOOKUP(B275,'Household Information'!$B$1:$E$48,2,FALSE)</f>
        <v>2.4882673717260184</v>
      </c>
      <c r="G275" s="54">
        <f t="shared" si="0"/>
        <v>52935.775293991064</v>
      </c>
      <c r="H275" s="55">
        <f>IF(D275&gt;Variables!$C$6,H228,H228*(1+Variables!$C$9))</f>
        <v>33.664331695979989</v>
      </c>
      <c r="I275" s="1"/>
      <c r="J275" s="13">
        <f>H275*Variables!$C$21</f>
        <v>605.95797052763976</v>
      </c>
      <c r="K275" s="13">
        <f t="shared" si="12"/>
        <v>605.95797052763976</v>
      </c>
      <c r="L275" s="54">
        <f t="shared" si="1"/>
        <v>0</v>
      </c>
      <c r="M275" s="56"/>
      <c r="N275" s="57"/>
      <c r="O275" s="57"/>
      <c r="P275" s="57"/>
      <c r="Q275" s="57"/>
      <c r="R275" s="57"/>
      <c r="S275" s="58">
        <v>0</v>
      </c>
      <c r="T275" s="59">
        <f>$L275*Variables!$C$22/100</f>
        <v>0</v>
      </c>
      <c r="U275" s="59">
        <f>$L275*Variables!$C$23/100</f>
        <v>0</v>
      </c>
      <c r="V275" s="59">
        <f>$L275*Variables!$C$24/100</f>
        <v>0</v>
      </c>
      <c r="W275" s="59">
        <f>$L275*Variables!$C$25/100</f>
        <v>0</v>
      </c>
      <c r="X275" s="62">
        <f>T275*Variables!$E$26*Variables!$C$18+'Cost Calculations'!U275*Variables!$E$27*Variables!$C$18+'Cost Calculations'!V275*Variables!$E$28*Variables!$C$18+W275*Variables!$E$29*Variables!$C$18</f>
        <v>0</v>
      </c>
      <c r="Y275" s="58">
        <f>J275*Variables!$E$30</f>
        <v>396902.47069560405</v>
      </c>
      <c r="Z275" s="1"/>
      <c r="AA275" s="245">
        <f>D275*(IF(D275&lt;Variables!$C$7,Variables!$C$38,IF(D275&gt;Variables!$C$6,Variables!$C$36,Variables!$C$37)))</f>
        <v>158.06203495326989</v>
      </c>
      <c r="AB275" s="64">
        <f t="shared" si="13"/>
        <v>156</v>
      </c>
      <c r="AC275" s="66">
        <f t="shared" si="2"/>
        <v>2</v>
      </c>
      <c r="AD275" s="62">
        <f>AC275*Variables!$E$41</f>
        <v>1075200</v>
      </c>
      <c r="AE275" s="71">
        <f>ROUND((H275/(3.14*Variables!$C$35^2)),0)</f>
        <v>43</v>
      </c>
      <c r="AF275" s="57">
        <f t="shared" si="14"/>
        <v>43</v>
      </c>
      <c r="AG275" s="57">
        <f t="shared" si="3"/>
        <v>0</v>
      </c>
      <c r="AH275" s="58">
        <f>AG275*Variables!$E$42*Variables!$C$18</f>
        <v>0</v>
      </c>
      <c r="AI275" s="73">
        <f t="shared" si="4"/>
        <v>1</v>
      </c>
      <c r="AJ275" s="66">
        <f t="shared" si="15"/>
        <v>1</v>
      </c>
      <c r="AK275" s="66">
        <f t="shared" si="5"/>
        <v>0</v>
      </c>
      <c r="AL275" s="62">
        <f>IF(AK275*Variables!$E$43*Variables!$C$18&lt;0,0,AK275*Variables!$E$43*Variables!$C$18)</f>
        <v>0</v>
      </c>
      <c r="AM275" s="58">
        <f>AA275*Variables!$E$39*Variables!$C$18</f>
        <v>45688197.054247141</v>
      </c>
      <c r="AN275" s="1"/>
      <c r="AO275" s="76">
        <f t="shared" si="16"/>
        <v>0.67714285714285716</v>
      </c>
      <c r="AP275" s="76">
        <f t="shared" si="6"/>
        <v>101.09474864555423</v>
      </c>
      <c r="AQ275" s="75">
        <f>VLOOKUP(B275,'Household Information'!$B$2:$E$48,4,FALSE)</f>
        <v>40.760000000000005</v>
      </c>
      <c r="AR275" s="79">
        <f>IF(12*(AP275-Variables!$C$45*AQ275*F275)*(G275/5)&lt;0,0,12*(AP275-Variables!$C$45*AQ275*F275)*(G275/5))</f>
        <v>10910886.791079974</v>
      </c>
      <c r="AS275" s="1"/>
      <c r="AT275" s="62">
        <v>0</v>
      </c>
      <c r="AU275" s="1"/>
    </row>
    <row r="276" spans="1:47" ht="14.25" customHeight="1">
      <c r="A276" s="1">
        <v>38</v>
      </c>
      <c r="B276" s="3" t="s">
        <v>231</v>
      </c>
      <c r="C276" s="1">
        <v>2024</v>
      </c>
      <c r="D276" s="13">
        <f>VLOOKUP(B276,Population!$B$1:$O$48,8,FALSE)</f>
        <v>38878.4686927445</v>
      </c>
      <c r="E276" s="13" t="str">
        <f t="shared" si="20"/>
        <v>Small</v>
      </c>
      <c r="F276" s="54">
        <f>VLOOKUP(B276,'Household Information'!$B$1:$E$48,2,FALSE)</f>
        <v>3.5815854318168161</v>
      </c>
      <c r="G276" s="54">
        <f t="shared" si="0"/>
        <v>10855.100187578879</v>
      </c>
      <c r="H276" s="55">
        <f>IF(D276&gt;Variables!$C$6,H229,H229*(1+Variables!$C$9))</f>
        <v>4.2345192194654135</v>
      </c>
      <c r="I276" s="1"/>
      <c r="J276" s="13">
        <f>H276*Variables!$C$21</f>
        <v>76.22134595037744</v>
      </c>
      <c r="K276" s="13">
        <f t="shared" si="12"/>
        <v>73.786394918080774</v>
      </c>
      <c r="L276" s="54">
        <f t="shared" si="1"/>
        <v>2.4349510322966665</v>
      </c>
      <c r="M276" s="56"/>
      <c r="N276" s="57"/>
      <c r="O276" s="57"/>
      <c r="P276" s="57"/>
      <c r="Q276" s="57"/>
      <c r="R276" s="57"/>
      <c r="S276" s="58">
        <v>0</v>
      </c>
      <c r="T276" s="59">
        <f>$L276*Variables!$C$22/100</f>
        <v>0.13221453569031671</v>
      </c>
      <c r="U276" s="59">
        <f>$L276*Variables!$C$23/100</f>
        <v>0.23137543745805428</v>
      </c>
      <c r="V276" s="59">
        <f>$L276*Variables!$C$24/100</f>
        <v>0.24239331543224737</v>
      </c>
      <c r="W276" s="59">
        <f>$L276*Variables!$C$25/100</f>
        <v>1.7628604758708897</v>
      </c>
      <c r="X276" s="62">
        <f>T276*Variables!$E$26*Variables!$C$18+'Cost Calculations'!U276*Variables!$E$27*Variables!$C$18+'Cost Calculations'!V276*Variables!$E$28*Variables!$C$18+W276*Variables!$E$29*Variables!$C$18</f>
        <v>2767876.9619511347</v>
      </c>
      <c r="Y276" s="58">
        <f>J276*Variables!$E$30</f>
        <v>49924.981597497223</v>
      </c>
      <c r="Z276" s="1"/>
      <c r="AA276" s="245">
        <f>D276*(IF(D276&lt;Variables!$C$7,Variables!$C$38,IF(D276&gt;Variables!$C$6,Variables!$C$36,Variables!$C$37)))</f>
        <v>19.439234346372249</v>
      </c>
      <c r="AB276" s="64">
        <f t="shared" si="13"/>
        <v>19</v>
      </c>
      <c r="AC276" s="66">
        <f t="shared" si="2"/>
        <v>0</v>
      </c>
      <c r="AD276" s="62">
        <f>AC276*Variables!$E$41</f>
        <v>0</v>
      </c>
      <c r="AE276" s="71">
        <f>ROUND((H276/(3.14*Variables!$C$35^2)),0)</f>
        <v>5</v>
      </c>
      <c r="AF276" s="57">
        <f t="shared" si="14"/>
        <v>5</v>
      </c>
      <c r="AG276" s="57">
        <f t="shared" si="3"/>
        <v>0</v>
      </c>
      <c r="AH276" s="58">
        <f>AG276*Variables!$E$42*Variables!$C$18</f>
        <v>0</v>
      </c>
      <c r="AI276" s="73">
        <f t="shared" si="4"/>
        <v>0</v>
      </c>
      <c r="AJ276" s="66">
        <f t="shared" si="15"/>
        <v>0</v>
      </c>
      <c r="AK276" s="66">
        <f t="shared" si="5"/>
        <v>0</v>
      </c>
      <c r="AL276" s="62">
        <f>IF(AK276*Variables!$E$43*Variables!$C$18&lt;0,0,AK276*Variables!$E$43*Variables!$C$18)</f>
        <v>0</v>
      </c>
      <c r="AM276" s="58">
        <f>AA276*Variables!$E$39*Variables!$C$18</f>
        <v>5618955.6819467675</v>
      </c>
      <c r="AN276" s="1"/>
      <c r="AO276" s="76">
        <f t="shared" si="16"/>
        <v>0.67714285714285716</v>
      </c>
      <c r="AP276" s="76">
        <f t="shared" si="6"/>
        <v>145.51469954410035</v>
      </c>
      <c r="AQ276" s="75">
        <f>VLOOKUP(B276,'Household Information'!$B$2:$E$48,4,FALSE)</f>
        <v>40.760000000000005</v>
      </c>
      <c r="AR276" s="79">
        <f>IF(12*(AP276-Variables!$C$45*AQ276*F276)*(G276/5)&lt;0,0,12*(AP276-Variables!$C$45*AQ276*F276)*(G276/5))</f>
        <v>3220496.8433500989</v>
      </c>
      <c r="AS276" s="1"/>
      <c r="AT276" s="62">
        <v>0</v>
      </c>
      <c r="AU276" s="1"/>
    </row>
    <row r="277" spans="1:47" ht="14.25" customHeight="1">
      <c r="A277" s="1">
        <v>39</v>
      </c>
      <c r="B277" s="3" t="s">
        <v>232</v>
      </c>
      <c r="C277" s="1">
        <v>2024</v>
      </c>
      <c r="D277" s="13">
        <f>VLOOKUP(B277,Population!$B$1:$O$48,8,FALSE)</f>
        <v>73389.724989302093</v>
      </c>
      <c r="E277" s="13" t="str">
        <f t="shared" si="20"/>
        <v>Small</v>
      </c>
      <c r="F277" s="54">
        <f>VLOOKUP(B277,'Household Information'!$B$1:$E$48,2,FALSE)</f>
        <v>3.4614749871067563</v>
      </c>
      <c r="G277" s="54">
        <f t="shared" si="0"/>
        <v>21201.864887847783</v>
      </c>
      <c r="H277" s="55">
        <f>IF(D277&gt;Variables!$C$6,H230,H230*(1+Variables!$C$9))</f>
        <v>6.9046188384061047</v>
      </c>
      <c r="I277" s="1"/>
      <c r="J277" s="13">
        <f>H277*Variables!$C$21</f>
        <v>124.28313909130989</v>
      </c>
      <c r="K277" s="13">
        <f t="shared" si="12"/>
        <v>120.31281615809283</v>
      </c>
      <c r="L277" s="54">
        <f t="shared" si="1"/>
        <v>3.9703229332170622</v>
      </c>
      <c r="M277" s="56"/>
      <c r="N277" s="57"/>
      <c r="O277" s="57"/>
      <c r="P277" s="57"/>
      <c r="Q277" s="57"/>
      <c r="R277" s="57"/>
      <c r="S277" s="58">
        <v>0</v>
      </c>
      <c r="T277" s="59">
        <f>$L277*Variables!$C$22/100</f>
        <v>0.21558314569504408</v>
      </c>
      <c r="U277" s="59">
        <f>$L277*Variables!$C$23/100</f>
        <v>0.37727050496632719</v>
      </c>
      <c r="V277" s="59">
        <f>$L277*Variables!$C$24/100</f>
        <v>0.39523576710758085</v>
      </c>
      <c r="W277" s="59">
        <f>$L277*Variables!$C$25/100</f>
        <v>2.8744419426005878</v>
      </c>
      <c r="X277" s="62">
        <f>T277*Variables!$E$26*Variables!$C$18+'Cost Calculations'!U277*Variables!$E$27*Variables!$C$18+'Cost Calculations'!V277*Variables!$E$28*Variables!$C$18+W277*Variables!$E$29*Variables!$C$18</f>
        <v>4513177.1574036535</v>
      </c>
      <c r="Y277" s="58">
        <f>J277*Variables!$E$30</f>
        <v>81405.456104807978</v>
      </c>
      <c r="Z277" s="1"/>
      <c r="AA277" s="245">
        <f>D277*(IF(D277&lt;Variables!$C$7,Variables!$C$38,IF(D277&gt;Variables!$C$6,Variables!$C$36,Variables!$C$37)))</f>
        <v>58.711779991441674</v>
      </c>
      <c r="AB277" s="64">
        <f t="shared" si="13"/>
        <v>58</v>
      </c>
      <c r="AC277" s="66">
        <f t="shared" si="2"/>
        <v>1</v>
      </c>
      <c r="AD277" s="62">
        <f>AC277*Variables!$E$41</f>
        <v>537600</v>
      </c>
      <c r="AE277" s="71">
        <f>ROUND((H277/(3.14*Variables!$C$35^2)),0)</f>
        <v>9</v>
      </c>
      <c r="AF277" s="57">
        <f t="shared" si="14"/>
        <v>9</v>
      </c>
      <c r="AG277" s="57">
        <f t="shared" si="3"/>
        <v>0</v>
      </c>
      <c r="AH277" s="58">
        <f>AG277*Variables!$E$42*Variables!$C$18</f>
        <v>0</v>
      </c>
      <c r="AI277" s="73">
        <f t="shared" si="4"/>
        <v>0</v>
      </c>
      <c r="AJ277" s="66">
        <f t="shared" si="15"/>
        <v>3</v>
      </c>
      <c r="AK277" s="66">
        <f t="shared" si="5"/>
        <v>0</v>
      </c>
      <c r="AL277" s="62">
        <f>IF(AK277*Variables!$E$43*Variables!$C$18&lt;0,0,AK277*Variables!$E$43*Variables!$C$18)</f>
        <v>0</v>
      </c>
      <c r="AM277" s="58">
        <f>AA277*Variables!$E$39*Variables!$C$18</f>
        <v>16970775.901041877</v>
      </c>
      <c r="AN277" s="1"/>
      <c r="AO277" s="76">
        <f t="shared" si="16"/>
        <v>0.67714285714285716</v>
      </c>
      <c r="AP277" s="76">
        <f t="shared" si="6"/>
        <v>140.63478376188021</v>
      </c>
      <c r="AQ277" s="75">
        <f>VLOOKUP(B277,'Household Information'!$B$2:$E$48,4,FALSE)</f>
        <v>40.760000000000005</v>
      </c>
      <c r="AR277" s="79">
        <f>IF(12*(AP277-Variables!$C$45*AQ277*F277)*(G277/5)&lt;0,0,12*(AP277-Variables!$C$45*AQ277*F277)*(G277/5))</f>
        <v>6079235.772639554</v>
      </c>
      <c r="AS277" s="1"/>
      <c r="AT277" s="62">
        <v>0</v>
      </c>
      <c r="AU277" s="1"/>
    </row>
    <row r="278" spans="1:47" ht="14.25" customHeight="1">
      <c r="A278" s="1">
        <v>40</v>
      </c>
      <c r="B278" s="3" t="s">
        <v>233</v>
      </c>
      <c r="C278" s="1">
        <v>2024</v>
      </c>
      <c r="D278" s="13">
        <f>VLOOKUP(B278,Population!$B$1:$O$48,8,FALSE)</f>
        <v>3319.6937493298542</v>
      </c>
      <c r="E278" s="13" t="str">
        <f t="shared" si="20"/>
        <v>Small</v>
      </c>
      <c r="F278" s="54">
        <f>VLOOKUP(B278,'Household Information'!$B$1:$E$48,2,FALSE)</f>
        <v>3.9153259949195598</v>
      </c>
      <c r="G278" s="54">
        <f t="shared" si="0"/>
        <v>847.87160855505135</v>
      </c>
      <c r="H278" s="55">
        <f>IF(D278&gt;Variables!$C$6,H231,H231*(1+Variables!$C$9))</f>
        <v>0.23525106774807852</v>
      </c>
      <c r="I278" s="1"/>
      <c r="J278" s="13">
        <f>H278*Variables!$C$21</f>
        <v>4.2345192194654135</v>
      </c>
      <c r="K278" s="13">
        <f t="shared" si="12"/>
        <v>21.97</v>
      </c>
      <c r="L278" s="54">
        <f t="shared" si="1"/>
        <v>0</v>
      </c>
      <c r="M278" s="56"/>
      <c r="N278" s="57"/>
      <c r="O278" s="57"/>
      <c r="P278" s="57"/>
      <c r="Q278" s="57"/>
      <c r="R278" s="57"/>
      <c r="S278" s="58">
        <v>0</v>
      </c>
      <c r="T278" s="59">
        <f>$L278*Variables!$C$22/100</f>
        <v>0</v>
      </c>
      <c r="U278" s="59">
        <f>$L278*Variables!$C$23/100</f>
        <v>0</v>
      </c>
      <c r="V278" s="59">
        <f>$L278*Variables!$C$24/100</f>
        <v>0</v>
      </c>
      <c r="W278" s="59">
        <f>$L278*Variables!$C$25/100</f>
        <v>0</v>
      </c>
      <c r="X278" s="62">
        <f>T278*Variables!$E$26*Variables!$C$18+'Cost Calculations'!U278*Variables!$E$27*Variables!$C$18+'Cost Calculations'!V278*Variables!$E$28*Variables!$C$18+W278*Variables!$E$29*Variables!$C$18</f>
        <v>0</v>
      </c>
      <c r="Y278" s="58">
        <f>J278*Variables!$E$30</f>
        <v>2773.610088749846</v>
      </c>
      <c r="Z278" s="1"/>
      <c r="AA278" s="245">
        <f>D278*(IF(D278&lt;Variables!$C$7,Variables!$C$38,IF(D278&gt;Variables!$C$6,Variables!$C$36,Variables!$C$37)))</f>
        <v>1.6598468746649271</v>
      </c>
      <c r="AB278" s="64">
        <f t="shared" si="13"/>
        <v>2</v>
      </c>
      <c r="AC278" s="66">
        <f t="shared" si="2"/>
        <v>0</v>
      </c>
      <c r="AD278" s="62">
        <f>AC278*Variables!$E$41</f>
        <v>0</v>
      </c>
      <c r="AE278" s="71">
        <f>ROUND((H278/(3.14*Variables!$C$35^2)),0)</f>
        <v>0</v>
      </c>
      <c r="AF278" s="57">
        <f t="shared" si="14"/>
        <v>0</v>
      </c>
      <c r="AG278" s="57">
        <f t="shared" si="3"/>
        <v>0</v>
      </c>
      <c r="AH278" s="58">
        <f>AG278*Variables!$E$42*Variables!$C$18</f>
        <v>0</v>
      </c>
      <c r="AI278" s="73">
        <f t="shared" si="4"/>
        <v>0</v>
      </c>
      <c r="AJ278" s="66">
        <f t="shared" si="15"/>
        <v>0</v>
      </c>
      <c r="AK278" s="66">
        <f t="shared" si="5"/>
        <v>0</v>
      </c>
      <c r="AL278" s="62">
        <f>IF(AK278*Variables!$E$43*Variables!$C$18&lt;0,0,AK278*Variables!$E$43*Variables!$C$18)</f>
        <v>0</v>
      </c>
      <c r="AM278" s="58">
        <f>AA278*Variables!$E$39*Variables!$C$18</f>
        <v>479782.58100996702</v>
      </c>
      <c r="AN278" s="1"/>
      <c r="AO278" s="76">
        <f t="shared" si="16"/>
        <v>0.67714285714285716</v>
      </c>
      <c r="AP278" s="76">
        <f t="shared" si="6"/>
        <v>159.07410185073181</v>
      </c>
      <c r="AQ278" s="75">
        <f>VLOOKUP(B278,'Household Information'!$B$2:$E$48,4,FALSE)</f>
        <v>40.760000000000005</v>
      </c>
      <c r="AR278" s="79">
        <f>IF(12*(AP278-Variables!$C$45*AQ278*F278)*(G278/5)&lt;0,0,12*(AP278-Variables!$C$45*AQ278*F278)*(G278/5))</f>
        <v>274986.7368773456</v>
      </c>
      <c r="AS278" s="1"/>
      <c r="AT278" s="62">
        <v>0</v>
      </c>
      <c r="AU278" s="1"/>
    </row>
    <row r="279" spans="1:47" ht="14.25" customHeight="1">
      <c r="A279" s="1">
        <v>41</v>
      </c>
      <c r="B279" s="3" t="s">
        <v>234</v>
      </c>
      <c r="C279" s="1">
        <v>2024</v>
      </c>
      <c r="D279" s="13">
        <f>VLOOKUP(B279,Population!$B$1:$O$48,8,FALSE)</f>
        <v>57210.045012742848</v>
      </c>
      <c r="E279" s="13" t="str">
        <f t="shared" si="20"/>
        <v>Small</v>
      </c>
      <c r="F279" s="54">
        <f>VLOOKUP(B279,'Household Information'!$B$1:$E$48,2,FALSE)</f>
        <v>2.524</v>
      </c>
      <c r="G279" s="54">
        <f t="shared" si="0"/>
        <v>22666.420369549465</v>
      </c>
      <c r="H279" s="55">
        <f>IF(D279&gt;Variables!$C$6,H232,H232*(1+Variables!$C$9))</f>
        <v>4.7050213549615698</v>
      </c>
      <c r="I279" s="1"/>
      <c r="J279" s="13">
        <f>H279*Variables!$C$21</f>
        <v>84.690384389308264</v>
      </c>
      <c r="K279" s="13">
        <f t="shared" si="12"/>
        <v>105</v>
      </c>
      <c r="L279" s="54">
        <f t="shared" si="1"/>
        <v>0</v>
      </c>
      <c r="M279" s="56"/>
      <c r="N279" s="57"/>
      <c r="O279" s="57"/>
      <c r="P279" s="57"/>
      <c r="Q279" s="57"/>
      <c r="R279" s="57"/>
      <c r="S279" s="58">
        <v>0</v>
      </c>
      <c r="T279" s="59">
        <f>$L279*Variables!$C$22/100</f>
        <v>0</v>
      </c>
      <c r="U279" s="59">
        <f>$L279*Variables!$C$23/100</f>
        <v>0</v>
      </c>
      <c r="V279" s="59">
        <f>$L279*Variables!$C$24/100</f>
        <v>0</v>
      </c>
      <c r="W279" s="59">
        <f>$L279*Variables!$C$25/100</f>
        <v>0</v>
      </c>
      <c r="X279" s="62">
        <f>T279*Variables!$E$26*Variables!$C$18+'Cost Calculations'!U279*Variables!$E$27*Variables!$C$18+'Cost Calculations'!V279*Variables!$E$28*Variables!$C$18+W279*Variables!$E$29*Variables!$C$18</f>
        <v>0</v>
      </c>
      <c r="Y279" s="58">
        <f>J279*Variables!$E$30</f>
        <v>55472.201774996916</v>
      </c>
      <c r="Z279" s="1"/>
      <c r="AA279" s="245">
        <f>D279*(IF(D279&lt;Variables!$C$7,Variables!$C$38,IF(D279&gt;Variables!$C$6,Variables!$C$36,Variables!$C$37)))</f>
        <v>45.76803601019428</v>
      </c>
      <c r="AB279" s="64">
        <f t="shared" si="13"/>
        <v>45</v>
      </c>
      <c r="AC279" s="66">
        <f t="shared" si="2"/>
        <v>1</v>
      </c>
      <c r="AD279" s="62">
        <f>AC279*Variables!$E$41</f>
        <v>537600</v>
      </c>
      <c r="AE279" s="71">
        <f>ROUND((H279/(3.14*Variables!$C$35^2)),0)</f>
        <v>6</v>
      </c>
      <c r="AF279" s="57">
        <f t="shared" si="14"/>
        <v>6</v>
      </c>
      <c r="AG279" s="57">
        <f t="shared" si="3"/>
        <v>0</v>
      </c>
      <c r="AH279" s="58">
        <f>AG279*Variables!$E$42*Variables!$C$18</f>
        <v>0</v>
      </c>
      <c r="AI279" s="73">
        <f t="shared" si="4"/>
        <v>0</v>
      </c>
      <c r="AJ279" s="66">
        <f t="shared" si="15"/>
        <v>2</v>
      </c>
      <c r="AK279" s="66">
        <f t="shared" si="5"/>
        <v>0</v>
      </c>
      <c r="AL279" s="62">
        <f>IF(AK279*Variables!$E$43*Variables!$C$18&lt;0,0,AK279*Variables!$E$43*Variables!$C$18)</f>
        <v>0</v>
      </c>
      <c r="AM279" s="58">
        <f>AA279*Variables!$E$39*Variables!$C$18</f>
        <v>13229356.743621862</v>
      </c>
      <c r="AN279" s="1"/>
      <c r="AO279" s="76">
        <f t="shared" si="16"/>
        <v>0.67714285714285716</v>
      </c>
      <c r="AP279" s="76">
        <f t="shared" si="6"/>
        <v>102.54651428571428</v>
      </c>
      <c r="AQ279" s="75">
        <f>VLOOKUP(B279,'Household Information'!$B$2:$E$48,4,FALSE)</f>
        <v>40.760000000000005</v>
      </c>
      <c r="AR279" s="79">
        <f>IF(12*(AP279-Variables!$C$45*AQ279*F279)*(G279/5)&lt;0,0,12*(AP279-Variables!$C$45*AQ279*F279)*(G279/5))</f>
        <v>4738992.444057839</v>
      </c>
      <c r="AS279" s="1"/>
      <c r="AT279" s="62">
        <v>0</v>
      </c>
      <c r="AU279" s="1"/>
    </row>
    <row r="280" spans="1:47" ht="14.25" customHeight="1">
      <c r="A280" s="1">
        <v>42</v>
      </c>
      <c r="B280" s="3" t="s">
        <v>235</v>
      </c>
      <c r="C280" s="1">
        <v>2024</v>
      </c>
      <c r="D280" s="13">
        <f>VLOOKUP(B280,Population!$B$1:$O$48,8,FALSE)</f>
        <v>49774.630817932899</v>
      </c>
      <c r="E280" s="13" t="str">
        <f t="shared" si="20"/>
        <v>Small</v>
      </c>
      <c r="F280" s="54">
        <f>VLOOKUP(B280,'Household Information'!$B$1:$E$48,2,FALSE)</f>
        <v>2.7236881469514751</v>
      </c>
      <c r="G280" s="54">
        <f t="shared" si="0"/>
        <v>18274.717270273333</v>
      </c>
      <c r="H280" s="55">
        <f>IF(D280&gt;Variables!$C$6,H233,H233*(1+Variables!$C$9))</f>
        <v>5.9989022275760009</v>
      </c>
      <c r="I280" s="1"/>
      <c r="J280" s="13">
        <f>H280*Variables!$C$21</f>
        <v>107.98024009636802</v>
      </c>
      <c r="K280" s="13">
        <f t="shared" si="12"/>
        <v>104.53072613394775</v>
      </c>
      <c r="L280" s="54">
        <f t="shared" si="1"/>
        <v>3.4495139624202693</v>
      </c>
      <c r="M280" s="56"/>
      <c r="N280" s="57"/>
      <c r="O280" s="57"/>
      <c r="P280" s="57"/>
      <c r="Q280" s="57"/>
      <c r="R280" s="57"/>
      <c r="S280" s="58">
        <v>0</v>
      </c>
      <c r="T280" s="59">
        <f>$L280*Variables!$C$22/100</f>
        <v>0.18730392556128156</v>
      </c>
      <c r="U280" s="59">
        <f>$L280*Variables!$C$23/100</f>
        <v>0.32778186973224277</v>
      </c>
      <c r="V280" s="59">
        <f>$L280*Variables!$C$24/100</f>
        <v>0.34339053019568289</v>
      </c>
      <c r="W280" s="59">
        <f>$L280*Variables!$C$25/100</f>
        <v>2.4973856741504212</v>
      </c>
      <c r="X280" s="62">
        <f>T280*Variables!$E$26*Variables!$C$18+'Cost Calculations'!U280*Variables!$E$27*Variables!$C$18+'Cost Calculations'!V280*Variables!$E$28*Variables!$C$18+W280*Variables!$E$29*Variables!$C$18</f>
        <v>3921159.0294307657</v>
      </c>
      <c r="Y280" s="58">
        <f>J280*Variables!$E$30</f>
        <v>70727.057263121053</v>
      </c>
      <c r="Z280" s="1"/>
      <c r="AA280" s="245">
        <f>D280*(IF(D280&lt;Variables!$C$7,Variables!$C$38,IF(D280&gt;Variables!$C$6,Variables!$C$36,Variables!$C$37)))</f>
        <v>24.887315408966451</v>
      </c>
      <c r="AB280" s="64">
        <f t="shared" si="13"/>
        <v>25</v>
      </c>
      <c r="AC280" s="66">
        <f t="shared" si="2"/>
        <v>0</v>
      </c>
      <c r="AD280" s="62">
        <f>AC280*Variables!$E$41</f>
        <v>0</v>
      </c>
      <c r="AE280" s="71">
        <f>ROUND((H280/(3.14*Variables!$C$35^2)),0)</f>
        <v>8</v>
      </c>
      <c r="AF280" s="57">
        <f t="shared" si="14"/>
        <v>7</v>
      </c>
      <c r="AG280" s="57">
        <f t="shared" si="3"/>
        <v>1</v>
      </c>
      <c r="AH280" s="58">
        <f>AG280*Variables!$E$42*Variables!$C$18</f>
        <v>1148.2560000000001</v>
      </c>
      <c r="AI280" s="73">
        <f t="shared" si="4"/>
        <v>0</v>
      </c>
      <c r="AJ280" s="66">
        <f t="shared" si="15"/>
        <v>0</v>
      </c>
      <c r="AK280" s="66">
        <f t="shared" si="5"/>
        <v>0</v>
      </c>
      <c r="AL280" s="62">
        <f>IF(AK280*Variables!$E$43*Variables!$C$18&lt;0,0,AK280*Variables!$E$43*Variables!$C$18)</f>
        <v>0</v>
      </c>
      <c r="AM280" s="58">
        <f>AA280*Variables!$E$39*Variables!$C$18</f>
        <v>7193736.1232393635</v>
      </c>
      <c r="AN280" s="1"/>
      <c r="AO280" s="76">
        <f t="shared" si="16"/>
        <v>0.67714285714285716</v>
      </c>
      <c r="AP280" s="76">
        <f t="shared" si="6"/>
        <v>110.65955842757135</v>
      </c>
      <c r="AQ280" s="75">
        <f>VLOOKUP(B280,'Household Information'!$B$2:$E$48,4,FALSE)</f>
        <v>40.760000000000005</v>
      </c>
      <c r="AR280" s="79">
        <f>IF(12*(AP280-Variables!$C$45*AQ280*F280)*(G280/5)&lt;0,0,12*(AP280-Variables!$C$45*AQ280*F280)*(G280/5))</f>
        <v>4123080.1216711616</v>
      </c>
      <c r="AS280" s="1"/>
      <c r="AT280" s="62">
        <v>0</v>
      </c>
      <c r="AU280" s="1"/>
    </row>
    <row r="281" spans="1:47" ht="14.25" customHeight="1">
      <c r="A281" s="1">
        <v>43</v>
      </c>
      <c r="B281" s="3" t="s">
        <v>236</v>
      </c>
      <c r="C281" s="1">
        <v>2024</v>
      </c>
      <c r="D281" s="13">
        <f>VLOOKUP(B281,Population!$B$1:$O$48,8,FALSE)</f>
        <v>26283.09573538923</v>
      </c>
      <c r="E281" s="13" t="str">
        <f t="shared" si="20"/>
        <v>Small</v>
      </c>
      <c r="F281" s="54">
        <f>VLOOKUP(B281,'Household Information'!$B$1:$E$48,2,FALSE)</f>
        <v>3.4114391143911438</v>
      </c>
      <c r="G281" s="54">
        <f t="shared" si="0"/>
        <v>7704.4012377398394</v>
      </c>
      <c r="H281" s="55">
        <f>IF(D281&gt;Variables!$C$6,H234,H234*(1+Variables!$C$9))</f>
        <v>5.1302818401440993</v>
      </c>
      <c r="I281" s="1"/>
      <c r="J281" s="13">
        <f>H281*Variables!$C$21</f>
        <v>92.345073122593789</v>
      </c>
      <c r="K281" s="13">
        <f t="shared" si="12"/>
        <v>89.395036904737452</v>
      </c>
      <c r="L281" s="54">
        <f t="shared" si="1"/>
        <v>2.9500362178563364</v>
      </c>
      <c r="M281" s="56"/>
      <c r="N281" s="57"/>
      <c r="O281" s="57"/>
      <c r="P281" s="57"/>
      <c r="Q281" s="57"/>
      <c r="R281" s="57"/>
      <c r="S281" s="58">
        <v>0</v>
      </c>
      <c r="T281" s="59">
        <f>$L281*Variables!$C$22/100</f>
        <v>0.16018296205554766</v>
      </c>
      <c r="U281" s="59">
        <f>$L281*Variables!$C$23/100</f>
        <v>0.28032018359720845</v>
      </c>
      <c r="V281" s="59">
        <f>$L281*Variables!$C$24/100</f>
        <v>0.29366876376850404</v>
      </c>
      <c r="W281" s="59">
        <f>$L281*Variables!$C$25/100</f>
        <v>2.1357728274073025</v>
      </c>
      <c r="X281" s="62">
        <f>T281*Variables!$E$26*Variables!$C$18+'Cost Calculations'!U281*Variables!$E$27*Variables!$C$18+'Cost Calculations'!V281*Variables!$E$28*Variables!$C$18+W281*Variables!$E$29*Variables!$C$18</f>
        <v>3353388.703108497</v>
      </c>
      <c r="Y281" s="58">
        <f>J281*Variables!$E$30</f>
        <v>60486.022895298935</v>
      </c>
      <c r="Z281" s="1"/>
      <c r="AA281" s="245">
        <f>D281*(IF(D281&lt;Variables!$C$7,Variables!$C$38,IF(D281&gt;Variables!$C$6,Variables!$C$36,Variables!$C$37)))</f>
        <v>13.141547867694616</v>
      </c>
      <c r="AB281" s="64">
        <f t="shared" si="13"/>
        <v>13</v>
      </c>
      <c r="AC281" s="66">
        <f t="shared" si="2"/>
        <v>0</v>
      </c>
      <c r="AD281" s="62">
        <f>AC281*Variables!$E$41</f>
        <v>0</v>
      </c>
      <c r="AE281" s="71">
        <f>ROUND((H281/(3.14*Variables!$C$35^2)),0)</f>
        <v>7</v>
      </c>
      <c r="AF281" s="57">
        <f t="shared" si="14"/>
        <v>6</v>
      </c>
      <c r="AG281" s="57">
        <f t="shared" si="3"/>
        <v>1</v>
      </c>
      <c r="AH281" s="58">
        <f>AG281*Variables!$E$42*Variables!$C$18</f>
        <v>1148.2560000000001</v>
      </c>
      <c r="AI281" s="73">
        <f t="shared" si="4"/>
        <v>0</v>
      </c>
      <c r="AJ281" s="66">
        <f t="shared" si="15"/>
        <v>0</v>
      </c>
      <c r="AK281" s="66">
        <f t="shared" si="5"/>
        <v>0</v>
      </c>
      <c r="AL281" s="62">
        <f>IF(AK281*Variables!$E$43*Variables!$C$18&lt;0,0,AK281*Variables!$E$43*Variables!$C$18)</f>
        <v>0</v>
      </c>
      <c r="AM281" s="58">
        <f>AA281*Variables!$E$39*Variables!$C$18</f>
        <v>3798594.8286352362</v>
      </c>
      <c r="AN281" s="1"/>
      <c r="AO281" s="76">
        <f t="shared" si="16"/>
        <v>0.67714285714285716</v>
      </c>
      <c r="AP281" s="76">
        <f t="shared" si="6"/>
        <v>138.60189773326303</v>
      </c>
      <c r="AQ281" s="75">
        <f>VLOOKUP(B281,'Household Information'!$B$2:$E$48,4,FALSE)</f>
        <v>40.760000000000005</v>
      </c>
      <c r="AR281" s="79">
        <f>IF(12*(AP281-Variables!$C$45*AQ281*F281)*(G281/5)&lt;0,0,12*(AP281-Variables!$C$45*AQ281*F281)*(G281/5))</f>
        <v>2177159.4842953742</v>
      </c>
      <c r="AS281" s="1"/>
      <c r="AT281" s="62">
        <v>0</v>
      </c>
      <c r="AU281" s="1"/>
    </row>
    <row r="282" spans="1:47" ht="14.25" customHeight="1">
      <c r="A282" s="1">
        <v>44</v>
      </c>
      <c r="B282" s="3" t="s">
        <v>241</v>
      </c>
      <c r="C282" s="1">
        <v>2024</v>
      </c>
      <c r="D282" s="13">
        <f>VLOOKUP(B282,Population!$B$1:$O$48,8,FALSE)</f>
        <v>101656.51593235065</v>
      </c>
      <c r="E282" s="13" t="str">
        <f t="shared" si="20"/>
        <v>Medium</v>
      </c>
      <c r="F282" s="54">
        <f>VLOOKUP(B282,'Household Information'!$B$1:$E$48,2,FALSE)</f>
        <v>2.919</v>
      </c>
      <c r="G282" s="54">
        <f t="shared" si="0"/>
        <v>34825.80196380632</v>
      </c>
      <c r="H282" s="55">
        <f>IF(D282&gt;Variables!$C$6,H235,H235*(1+Variables!$C$9))</f>
        <v>11.723279703725108</v>
      </c>
      <c r="I282" s="1"/>
      <c r="J282" s="13">
        <f>H282*Variables!$C$21</f>
        <v>211.01903466705195</v>
      </c>
      <c r="K282" s="13">
        <f t="shared" si="12"/>
        <v>211.01903466705195</v>
      </c>
      <c r="L282" s="54">
        <f t="shared" si="1"/>
        <v>0</v>
      </c>
      <c r="M282" s="56"/>
      <c r="N282" s="57"/>
      <c r="O282" s="57"/>
      <c r="P282" s="57"/>
      <c r="Q282" s="57"/>
      <c r="R282" s="57"/>
      <c r="S282" s="58">
        <v>0</v>
      </c>
      <c r="T282" s="59">
        <f>$L282*Variables!$C$22/100</f>
        <v>0</v>
      </c>
      <c r="U282" s="59">
        <f>$L282*Variables!$C$23/100</f>
        <v>0</v>
      </c>
      <c r="V282" s="59">
        <f>$L282*Variables!$C$24/100</f>
        <v>0</v>
      </c>
      <c r="W282" s="59">
        <f>$L282*Variables!$C$25/100</f>
        <v>0</v>
      </c>
      <c r="X282" s="62">
        <f>T282*Variables!$E$26*Variables!$C$18+'Cost Calculations'!U282*Variables!$E$27*Variables!$C$18+'Cost Calculations'!V282*Variables!$E$28*Variables!$C$18+W282*Variables!$E$29*Variables!$C$18</f>
        <v>0</v>
      </c>
      <c r="Y282" s="58">
        <f>J282*Variables!$E$30</f>
        <v>138217.46770691904</v>
      </c>
      <c r="Z282" s="1"/>
      <c r="AA282" s="245">
        <f>D282*(IF(D282&lt;Variables!$C$7,Variables!$C$38,IF(D282&gt;Variables!$C$6,Variables!$C$36,Variables!$C$37)))</f>
        <v>121.98781911882077</v>
      </c>
      <c r="AB282" s="64">
        <f t="shared" si="13"/>
        <v>120</v>
      </c>
      <c r="AC282" s="66">
        <f t="shared" si="2"/>
        <v>2</v>
      </c>
      <c r="AD282" s="62">
        <f>AC282*Variables!$E$41</f>
        <v>1075200</v>
      </c>
      <c r="AE282" s="71">
        <f>ROUND((H282/(3.14*Variables!$C$35^2)),0)</f>
        <v>15</v>
      </c>
      <c r="AF282" s="57">
        <f t="shared" si="14"/>
        <v>15</v>
      </c>
      <c r="AG282" s="57">
        <f t="shared" si="3"/>
        <v>0</v>
      </c>
      <c r="AH282" s="58">
        <f>AG282*Variables!$E$42*Variables!$C$18</f>
        <v>0</v>
      </c>
      <c r="AI282" s="73">
        <f t="shared" si="4"/>
        <v>1</v>
      </c>
      <c r="AJ282" s="66">
        <f t="shared" si="15"/>
        <v>1</v>
      </c>
      <c r="AK282" s="66">
        <f t="shared" si="5"/>
        <v>0</v>
      </c>
      <c r="AL282" s="62">
        <f>IF(AK282*Variables!$E$43*Variables!$C$18&lt;0,0,AK282*Variables!$E$43*Variables!$C$18)</f>
        <v>0</v>
      </c>
      <c r="AM282" s="58">
        <f>AA282*Variables!$E$39*Variables!$C$18</f>
        <v>35260861.469778523</v>
      </c>
      <c r="AN282" s="1"/>
      <c r="AO282" s="76">
        <f t="shared" si="16"/>
        <v>0.67714285714285716</v>
      </c>
      <c r="AP282" s="76">
        <f t="shared" si="6"/>
        <v>118.59479999999999</v>
      </c>
      <c r="AQ282" s="75">
        <f>VLOOKUP(B282,'Household Information'!$B$2:$E$48,4,FALSE)</f>
        <v>40.760000000000005</v>
      </c>
      <c r="AR282" s="79">
        <f>IF(12*(AP282-Variables!$C$45*AQ282*F282)*(G282/5)&lt;0,0,12*(AP282-Variables!$C$45*AQ282*F282)*(G282/5))</f>
        <v>8420714.5927843824</v>
      </c>
      <c r="AS282" s="1"/>
      <c r="AT282" s="62">
        <v>0</v>
      </c>
      <c r="AU282" s="1"/>
    </row>
    <row r="283" spans="1:47" ht="14.25" customHeight="1">
      <c r="A283" s="1">
        <v>45</v>
      </c>
      <c r="B283" s="3" t="s">
        <v>242</v>
      </c>
      <c r="C283" s="1">
        <v>2024</v>
      </c>
      <c r="D283" s="13">
        <f>VLOOKUP(B283,Population!$B$1:$O$48,8,FALSE)</f>
        <v>25822.75612126938</v>
      </c>
      <c r="E283" s="13" t="str">
        <f t="shared" si="20"/>
        <v>Small</v>
      </c>
      <c r="F283" s="54">
        <f>VLOOKUP(B283,'Household Information'!$B$1:$E$48,2,FALSE)</f>
        <v>2.377290114757399</v>
      </c>
      <c r="G283" s="54">
        <f t="shared" si="0"/>
        <v>10862.265384006183</v>
      </c>
      <c r="H283" s="55">
        <f>IF(D283&gt;Variables!$C$6,H236,H236*(1+Variables!$C$9))</f>
        <v>4.4697702872134908</v>
      </c>
      <c r="I283" s="1"/>
      <c r="J283" s="13">
        <f>H283*Variables!$C$21</f>
        <v>80.455865169842838</v>
      </c>
      <c r="K283" s="13">
        <f t="shared" si="12"/>
        <v>77.885639080196356</v>
      </c>
      <c r="L283" s="54">
        <f t="shared" si="1"/>
        <v>2.5702260896464821</v>
      </c>
      <c r="M283" s="56"/>
      <c r="N283" s="57"/>
      <c r="O283" s="57"/>
      <c r="P283" s="57"/>
      <c r="Q283" s="57"/>
      <c r="R283" s="57"/>
      <c r="S283" s="58">
        <v>0</v>
      </c>
      <c r="T283" s="59">
        <f>$L283*Variables!$C$22/100</f>
        <v>0.13955978767311214</v>
      </c>
      <c r="U283" s="59">
        <f>$L283*Variables!$C$23/100</f>
        <v>0.24422962842794627</v>
      </c>
      <c r="V283" s="59">
        <f>$L283*Variables!$C$24/100</f>
        <v>0.25585961073403896</v>
      </c>
      <c r="W283" s="59">
        <f>$L283*Variables!$C$25/100</f>
        <v>1.8607971689748286</v>
      </c>
      <c r="X283" s="62">
        <f>T283*Variables!$E$26*Variables!$C$18+'Cost Calculations'!U283*Variables!$E$27*Variables!$C$18+'Cost Calculations'!V283*Variables!$E$28*Variables!$C$18+W283*Variables!$E$29*Variables!$C$18</f>
        <v>2921647.904281755</v>
      </c>
      <c r="Y283" s="58">
        <f>J283*Variables!$E$30</f>
        <v>52698.591686247062</v>
      </c>
      <c r="Z283" s="1"/>
      <c r="AA283" s="245">
        <f>D283*(IF(D283&lt;Variables!$C$7,Variables!$C$38,IF(D283&gt;Variables!$C$6,Variables!$C$36,Variables!$C$37)))</f>
        <v>12.911378060634691</v>
      </c>
      <c r="AB283" s="64">
        <f t="shared" si="13"/>
        <v>13</v>
      </c>
      <c r="AC283" s="66">
        <f t="shared" si="2"/>
        <v>0</v>
      </c>
      <c r="AD283" s="62">
        <f>AC283*Variables!$E$41</f>
        <v>0</v>
      </c>
      <c r="AE283" s="71">
        <f>ROUND((H283/(3.14*Variables!$C$35^2)),0)</f>
        <v>6</v>
      </c>
      <c r="AF283" s="57">
        <f t="shared" si="14"/>
        <v>6</v>
      </c>
      <c r="AG283" s="57">
        <f t="shared" si="3"/>
        <v>0</v>
      </c>
      <c r="AH283" s="58">
        <f>AG283*Variables!$E$42*Variables!$C$18</f>
        <v>0</v>
      </c>
      <c r="AI283" s="73">
        <f t="shared" si="4"/>
        <v>0</v>
      </c>
      <c r="AJ283" s="66">
        <f t="shared" si="15"/>
        <v>0</v>
      </c>
      <c r="AK283" s="66">
        <f t="shared" si="5"/>
        <v>0</v>
      </c>
      <c r="AL283" s="62">
        <f>IF(AK283*Variables!$E$43*Variables!$C$18&lt;0,0,AK283*Variables!$E$43*Variables!$C$18)</f>
        <v>0</v>
      </c>
      <c r="AM283" s="58">
        <f>AA283*Variables!$E$39*Variables!$C$18</f>
        <v>3732063.7131526289</v>
      </c>
      <c r="AN283" s="1"/>
      <c r="AO283" s="76">
        <f t="shared" si="16"/>
        <v>0.67714285714285716</v>
      </c>
      <c r="AP283" s="76">
        <f t="shared" si="6"/>
        <v>96.585901233857754</v>
      </c>
      <c r="AQ283" s="75">
        <f>VLOOKUP(B283,'Household Information'!$B$2:$E$48,4,FALSE)</f>
        <v>40.760000000000005</v>
      </c>
      <c r="AR283" s="79">
        <f>IF(12*(AP283-Variables!$C$45*AQ283*F283)*(G283/5)&lt;0,0,12*(AP283-Variables!$C$45*AQ283*F283)*(G283/5))</f>
        <v>2139027.265512317</v>
      </c>
      <c r="AS283" s="1"/>
      <c r="AT283" s="62">
        <v>0</v>
      </c>
      <c r="AU283" s="1"/>
    </row>
    <row r="284" spans="1:47" ht="14.25" customHeight="1">
      <c r="A284" s="1">
        <v>46</v>
      </c>
      <c r="B284" s="3" t="s">
        <v>243</v>
      </c>
      <c r="C284" s="1">
        <v>2024</v>
      </c>
      <c r="D284" s="13">
        <f>VLOOKUP(B284,Population!$B$1:$O$48,8,FALSE)</f>
        <v>33003.398035580693</v>
      </c>
      <c r="E284" s="13" t="str">
        <f t="shared" si="20"/>
        <v>Small</v>
      </c>
      <c r="F284" s="54">
        <f>VLOOKUP(B284,'Household Information'!$B$1:$E$48,2,FALSE)</f>
        <v>2.6682284299858559</v>
      </c>
      <c r="G284" s="54">
        <f t="shared" si="0"/>
        <v>12369.030201719139</v>
      </c>
      <c r="H284" s="55">
        <f>IF(D284&gt;Variables!$C$6,H237,H237*(1+Variables!$C$9))</f>
        <v>4.3565414409063594</v>
      </c>
      <c r="I284" s="1"/>
      <c r="J284" s="13">
        <f>H284*Variables!$C$21</f>
        <v>78.417745936314475</v>
      </c>
      <c r="K284" s="13">
        <f t="shared" si="12"/>
        <v>75.912629173586126</v>
      </c>
      <c r="L284" s="54">
        <f t="shared" si="1"/>
        <v>2.505116762728349</v>
      </c>
      <c r="M284" s="56"/>
      <c r="N284" s="57"/>
      <c r="O284" s="57"/>
      <c r="P284" s="57"/>
      <c r="Q284" s="57"/>
      <c r="R284" s="57"/>
      <c r="S284" s="58">
        <v>0</v>
      </c>
      <c r="T284" s="59">
        <f>$L284*Variables!$C$22/100</f>
        <v>0.1360244396051592</v>
      </c>
      <c r="U284" s="59">
        <f>$L284*Variables!$C$23/100</f>
        <v>0.23804276930902865</v>
      </c>
      <c r="V284" s="59">
        <f>$L284*Variables!$C$24/100</f>
        <v>0.24937813927612523</v>
      </c>
      <c r="W284" s="59">
        <f>$L284*Variables!$C$25/100</f>
        <v>1.8136591947354563</v>
      </c>
      <c r="X284" s="62">
        <f>T284*Variables!$E$26*Variables!$C$18+'Cost Calculations'!U284*Variables!$E$27*Variables!$C$18+'Cost Calculations'!V284*Variables!$E$28*Variables!$C$18+W284*Variables!$E$29*Variables!$C$18</f>
        <v>2847636.3107858207</v>
      </c>
      <c r="Y284" s="58">
        <f>J284*Variables!$E$30</f>
        <v>51363.623588285984</v>
      </c>
      <c r="Z284" s="1"/>
      <c r="AA284" s="245">
        <f>D284*(IF(D284&lt;Variables!$C$7,Variables!$C$38,IF(D284&gt;Variables!$C$6,Variables!$C$36,Variables!$C$37)))</f>
        <v>16.501699017790347</v>
      </c>
      <c r="AB284" s="64">
        <f t="shared" si="13"/>
        <v>16</v>
      </c>
      <c r="AC284" s="66">
        <f t="shared" si="2"/>
        <v>1</v>
      </c>
      <c r="AD284" s="62">
        <f>AC284*Variables!$E$41</f>
        <v>537600</v>
      </c>
      <c r="AE284" s="71">
        <f>ROUND((H284/(3.14*Variables!$C$35^2)),0)</f>
        <v>6</v>
      </c>
      <c r="AF284" s="57">
        <f t="shared" si="14"/>
        <v>5</v>
      </c>
      <c r="AG284" s="57">
        <f t="shared" si="3"/>
        <v>1</v>
      </c>
      <c r="AH284" s="58">
        <f>AG284*Variables!$E$42*Variables!$C$18</f>
        <v>1148.2560000000001</v>
      </c>
      <c r="AI284" s="73">
        <f t="shared" si="4"/>
        <v>0</v>
      </c>
      <c r="AJ284" s="66">
        <f t="shared" si="15"/>
        <v>0</v>
      </c>
      <c r="AK284" s="66">
        <f t="shared" si="5"/>
        <v>0</v>
      </c>
      <c r="AL284" s="62">
        <f>IF(AK284*Variables!$E$43*Variables!$C$18&lt;0,0,AK284*Variables!$E$43*Variables!$C$18)</f>
        <v>0</v>
      </c>
      <c r="AM284" s="58">
        <f>AA284*Variables!$E$39*Variables!$C$18</f>
        <v>4769854.2959894054</v>
      </c>
      <c r="AN284" s="1"/>
      <c r="AO284" s="76">
        <f t="shared" si="16"/>
        <v>0.67714285714285716</v>
      </c>
      <c r="AP284" s="76">
        <f t="shared" si="6"/>
        <v>108.40630935542534</v>
      </c>
      <c r="AQ284" s="75">
        <f>VLOOKUP(B284,'Household Information'!$B$2:$E$48,4,FALSE)</f>
        <v>40.760000000000005</v>
      </c>
      <c r="AR284" s="79">
        <f>IF(12*(AP284-Variables!$C$45*AQ284*F284)*(G284/5)&lt;0,0,12*(AP284-Variables!$C$45*AQ284*F284)*(G284/5))</f>
        <v>2733835.5333230966</v>
      </c>
      <c r="AS284" s="1"/>
      <c r="AT284" s="62">
        <v>0</v>
      </c>
      <c r="AU284" s="1"/>
    </row>
    <row r="285" spans="1:47" ht="14.25" customHeight="1">
      <c r="A285" s="1">
        <v>47</v>
      </c>
      <c r="B285" s="3" t="s">
        <v>244</v>
      </c>
      <c r="C285" s="1">
        <v>2024</v>
      </c>
      <c r="D285" s="13">
        <f>VLOOKUP(B285,Population!$B$1:$O$48,8,FALSE)</f>
        <v>69941.004934827011</v>
      </c>
      <c r="E285" s="13" t="str">
        <f t="shared" si="20"/>
        <v>Small</v>
      </c>
      <c r="F285" s="54">
        <f>VLOOKUP(B285,'Household Information'!$B$1:$E$48,2,FALSE)</f>
        <v>3.4580000000000002</v>
      </c>
      <c r="G285" s="54">
        <f t="shared" si="0"/>
        <v>20225.854521349625</v>
      </c>
      <c r="H285" s="55">
        <f>IF(D285&gt;Variables!$C$6,H238,H238*(1+Variables!$C$9))</f>
        <v>4.9402724227096488</v>
      </c>
      <c r="I285" s="1"/>
      <c r="J285" s="13">
        <f>H285*Variables!$C$21</f>
        <v>88.924903608773676</v>
      </c>
      <c r="K285" s="13">
        <f t="shared" si="12"/>
        <v>94.147999999999996</v>
      </c>
      <c r="L285" s="54">
        <f t="shared" si="1"/>
        <v>0</v>
      </c>
      <c r="M285" s="56"/>
      <c r="N285" s="57"/>
      <c r="O285" s="57"/>
      <c r="P285" s="57"/>
      <c r="Q285" s="57"/>
      <c r="R285" s="57"/>
      <c r="S285" s="58">
        <v>0</v>
      </c>
      <c r="T285" s="59">
        <f>$L285*Variables!$C$22/100</f>
        <v>0</v>
      </c>
      <c r="U285" s="59">
        <f>$L285*Variables!$C$23/100</f>
        <v>0</v>
      </c>
      <c r="V285" s="59">
        <f>$L285*Variables!$C$24/100</f>
        <v>0</v>
      </c>
      <c r="W285" s="59">
        <f>$L285*Variables!$C$25/100</f>
        <v>0</v>
      </c>
      <c r="X285" s="62">
        <f>T285*Variables!$E$26*Variables!$C$18+'Cost Calculations'!U285*Variables!$E$27*Variables!$C$18+'Cost Calculations'!V285*Variables!$E$28*Variables!$C$18+W285*Variables!$E$29*Variables!$C$18</f>
        <v>0</v>
      </c>
      <c r="Y285" s="58">
        <f>J285*Variables!$E$30</f>
        <v>58245.811863746756</v>
      </c>
      <c r="Z285" s="1"/>
      <c r="AA285" s="245">
        <f>D285*(IF(D285&lt;Variables!$C$7,Variables!$C$38,IF(D285&gt;Variables!$C$6,Variables!$C$36,Variables!$C$37)))</f>
        <v>55.952803947861611</v>
      </c>
      <c r="AB285" s="64">
        <f t="shared" si="13"/>
        <v>55</v>
      </c>
      <c r="AC285" s="66">
        <f t="shared" si="2"/>
        <v>1</v>
      </c>
      <c r="AD285" s="62">
        <f>AC285*Variables!$E$41</f>
        <v>537600</v>
      </c>
      <c r="AE285" s="71">
        <f>ROUND((H285/(3.14*Variables!$C$35^2)),0)</f>
        <v>6</v>
      </c>
      <c r="AF285" s="57">
        <f t="shared" si="14"/>
        <v>6</v>
      </c>
      <c r="AG285" s="57">
        <f t="shared" si="3"/>
        <v>0</v>
      </c>
      <c r="AH285" s="58">
        <f>AG285*Variables!$E$42*Variables!$C$18</f>
        <v>0</v>
      </c>
      <c r="AI285" s="73">
        <f t="shared" si="4"/>
        <v>0</v>
      </c>
      <c r="AJ285" s="66">
        <f t="shared" si="15"/>
        <v>0</v>
      </c>
      <c r="AK285" s="66">
        <f t="shared" si="5"/>
        <v>0</v>
      </c>
      <c r="AL285" s="62">
        <f>IF(AK285*Variables!$E$43*Variables!$C$18&lt;0,0,AK285*Variables!$E$43*Variables!$C$18)</f>
        <v>0</v>
      </c>
      <c r="AM285" s="58">
        <f>AA285*Variables!$E$39*Variables!$C$18</f>
        <v>16173287.489708319</v>
      </c>
      <c r="AN285" s="1"/>
      <c r="AO285" s="76">
        <f t="shared" si="16"/>
        <v>0.67714285714285716</v>
      </c>
      <c r="AP285" s="76">
        <f t="shared" si="6"/>
        <v>140.49359999999999</v>
      </c>
      <c r="AQ285" s="75">
        <f>VLOOKUP(B285,'Household Information'!$B$2:$E$48,4,FALSE)</f>
        <v>40.760000000000005</v>
      </c>
      <c r="AR285" s="79">
        <f>IF(12*(AP285-Variables!$C$45*AQ285*F285)*(G285/5)&lt;0,0,12*(AP285-Variables!$C$45*AQ285*F285)*(G285/5))</f>
        <v>5793561.1454619672</v>
      </c>
      <c r="AS285" s="1"/>
      <c r="AT285" s="62">
        <v>0</v>
      </c>
      <c r="AU285" s="1"/>
    </row>
    <row r="286" spans="1:47" ht="14.25" customHeight="1">
      <c r="A286" s="1">
        <v>1</v>
      </c>
      <c r="B286" s="3" t="s">
        <v>76</v>
      </c>
      <c r="C286" s="1">
        <v>2025</v>
      </c>
      <c r="D286" s="13">
        <f>VLOOKUP(B286,Population!$B$1:$O$48,9,FALSE)</f>
        <v>7970316.8368118266</v>
      </c>
      <c r="E286" s="13" t="str">
        <f t="shared" si="20"/>
        <v>Large</v>
      </c>
      <c r="F286" s="54">
        <f>VLOOKUP(B286,'Household Information'!$B$1:$E$48,2,FALSE)</f>
        <v>2.8458153079093123</v>
      </c>
      <c r="G286" s="54">
        <f t="shared" si="0"/>
        <v>2800714.7247609845</v>
      </c>
      <c r="H286" s="55">
        <f>IF(D286&gt;Variables!$C$6,H239,H239*(1+Variables!$C$9))</f>
        <v>418.2688494446499</v>
      </c>
      <c r="I286" s="1"/>
      <c r="J286" s="13">
        <f>H286*Variables!$C$21</f>
        <v>7528.8392900036979</v>
      </c>
      <c r="K286" s="13">
        <f t="shared" si="12"/>
        <v>13984</v>
      </c>
      <c r="L286" s="54">
        <f t="shared" si="1"/>
        <v>0</v>
      </c>
      <c r="M286" s="56"/>
      <c r="N286" s="57"/>
      <c r="O286" s="57"/>
      <c r="P286" s="57"/>
      <c r="Q286" s="57"/>
      <c r="R286" s="57"/>
      <c r="S286" s="58">
        <v>0</v>
      </c>
      <c r="T286" s="59">
        <f>$L286*Variables!$C$22/100</f>
        <v>0</v>
      </c>
      <c r="U286" s="59">
        <f>$L286*Variables!$C$23/100</f>
        <v>0</v>
      </c>
      <c r="V286" s="59">
        <f>$L286*Variables!$C$24/100</f>
        <v>0</v>
      </c>
      <c r="W286" s="59">
        <f>$L286*Variables!$C$25/100</f>
        <v>0</v>
      </c>
      <c r="X286" s="62">
        <f>T286*Variables!$E$26*Variables!$C$18+'Cost Calculations'!U286*Variables!$E$27*Variables!$C$18+'Cost Calculations'!V286*Variables!$E$28*Variables!$C$18+W286*Variables!$E$29*Variables!$C$18</f>
        <v>0</v>
      </c>
      <c r="Y286" s="58">
        <f>J286*Variables!$E$30</f>
        <v>4931389.7349524219</v>
      </c>
      <c r="Z286" s="1"/>
      <c r="AA286" s="245">
        <f>D286*(IF(D286&lt;Variables!$C$7,Variables!$C$38,IF(D286&gt;Variables!$C$6,Variables!$C$36,Variables!$C$37)))</f>
        <v>9564.380204174191</v>
      </c>
      <c r="AB286" s="64">
        <f t="shared" si="13"/>
        <v>9423</v>
      </c>
      <c r="AC286" s="66">
        <f t="shared" si="2"/>
        <v>141</v>
      </c>
      <c r="AD286" s="62">
        <f>AC286*Variables!$E$41</f>
        <v>75801600</v>
      </c>
      <c r="AE286" s="71">
        <f>ROUND((H286/(3.14*Variables!$C$35^2)),0)</f>
        <v>533</v>
      </c>
      <c r="AF286" s="57">
        <f t="shared" si="14"/>
        <v>853</v>
      </c>
      <c r="AG286" s="57">
        <f t="shared" si="3"/>
        <v>0</v>
      </c>
      <c r="AH286" s="58">
        <f>AG286*Variables!$E$42*Variables!$C$18</f>
        <v>0</v>
      </c>
      <c r="AI286" s="73">
        <f t="shared" si="4"/>
        <v>80</v>
      </c>
      <c r="AJ286" s="66">
        <f t="shared" si="15"/>
        <v>79</v>
      </c>
      <c r="AK286" s="66">
        <f t="shared" si="5"/>
        <v>1</v>
      </c>
      <c r="AL286" s="62">
        <f>IF(AK286*Variables!$E$43*Variables!$C$18&lt;0,0,AK286*Variables!$E$43*Variables!$C$18)</f>
        <v>945381.49199999997</v>
      </c>
      <c r="AM286" s="58">
        <f>AA286*Variables!$E$39*Variables!$C$18</f>
        <v>2764606235.7683887</v>
      </c>
      <c r="AN286" s="1"/>
      <c r="AO286" s="76">
        <f t="shared" si="16"/>
        <v>0.68340000000000001</v>
      </c>
      <c r="AP286" s="76">
        <f t="shared" si="6"/>
        <v>116.68981088551344</v>
      </c>
      <c r="AQ286" s="75">
        <f>VLOOKUP(B286,'Household Information'!$B$2:$E$48,4,FALSE)</f>
        <v>91.36</v>
      </c>
      <c r="AR286" s="79">
        <f>IF(12*(AP286-Variables!$C$45*AQ286*F286)*(G286/5)&lt;0,0,12*(AP286-Variables!$C$45*AQ286*F286)*(G286/5))</f>
        <v>522215159.14791089</v>
      </c>
      <c r="AS286" s="1"/>
      <c r="AT286" s="62">
        <v>0</v>
      </c>
      <c r="AU286" s="1"/>
    </row>
    <row r="287" spans="1:47" ht="14.25" customHeight="1">
      <c r="A287" s="1">
        <v>2</v>
      </c>
      <c r="B287" s="3" t="s">
        <v>87</v>
      </c>
      <c r="C287" s="1">
        <v>2025</v>
      </c>
      <c r="D287" s="13">
        <f>VLOOKUP(B287,Population!$B$1:$O$48,9,FALSE)</f>
        <v>2632918.3822242776</v>
      </c>
      <c r="E287" s="13" t="str">
        <f t="shared" si="20"/>
        <v>Large</v>
      </c>
      <c r="F287" s="54">
        <f>VLOOKUP(B287,'Household Information'!$B$1:$E$48,2,FALSE)</f>
        <v>2.6591126390039355</v>
      </c>
      <c r="G287" s="54">
        <f t="shared" si="0"/>
        <v>990149.24889023509</v>
      </c>
      <c r="H287" s="55">
        <f>IF(D287&gt;Variables!$C$6,H240,H240*(1+Variables!$C$9))</f>
        <v>119.58406164038337</v>
      </c>
      <c r="I287" s="1"/>
      <c r="J287" s="13">
        <f>H287*Variables!$C$21</f>
        <v>2152.5131095269007</v>
      </c>
      <c r="K287" s="13">
        <f t="shared" si="12"/>
        <v>2152.5131095269007</v>
      </c>
      <c r="L287" s="54">
        <f t="shared" si="1"/>
        <v>0</v>
      </c>
      <c r="M287" s="56"/>
      <c r="N287" s="57"/>
      <c r="O287" s="57"/>
      <c r="P287" s="57"/>
      <c r="Q287" s="57"/>
      <c r="R287" s="57"/>
      <c r="S287" s="58">
        <v>0</v>
      </c>
      <c r="T287" s="59">
        <f>$L287*Variables!$C$22/100</f>
        <v>0</v>
      </c>
      <c r="U287" s="59">
        <f>$L287*Variables!$C$23/100</f>
        <v>0</v>
      </c>
      <c r="V287" s="59">
        <f>$L287*Variables!$C$24/100</f>
        <v>0</v>
      </c>
      <c r="W287" s="59">
        <f>$L287*Variables!$C$25/100</f>
        <v>0</v>
      </c>
      <c r="X287" s="62">
        <f>T287*Variables!$E$26*Variables!$C$18+'Cost Calculations'!U287*Variables!$E$27*Variables!$C$18+'Cost Calculations'!V287*Variables!$E$28*Variables!$C$18+W287*Variables!$E$29*Variables!$C$18</f>
        <v>0</v>
      </c>
      <c r="Y287" s="58">
        <f>J287*Variables!$E$30</f>
        <v>1409896.0867401201</v>
      </c>
      <c r="Z287" s="1"/>
      <c r="AA287" s="245">
        <f>D287*(IF(D287&lt;Variables!$C$7,Variables!$C$38,IF(D287&gt;Variables!$C$6,Variables!$C$36,Variables!$C$37)))</f>
        <v>3159.502058669133</v>
      </c>
      <c r="AB287" s="64">
        <f t="shared" si="13"/>
        <v>4664</v>
      </c>
      <c r="AC287" s="66">
        <f t="shared" si="2"/>
        <v>0</v>
      </c>
      <c r="AD287" s="62">
        <f>AC287*Variables!$E$41</f>
        <v>0</v>
      </c>
      <c r="AE287" s="71">
        <f>ROUND((H287/(3.14*Variables!$C$35^2)),0)</f>
        <v>152</v>
      </c>
      <c r="AF287" s="57">
        <f t="shared" si="14"/>
        <v>152</v>
      </c>
      <c r="AG287" s="57">
        <f t="shared" si="3"/>
        <v>0</v>
      </c>
      <c r="AH287" s="58">
        <f>AG287*Variables!$E$42*Variables!$C$18</f>
        <v>0</v>
      </c>
      <c r="AI287" s="73">
        <f t="shared" si="4"/>
        <v>26</v>
      </c>
      <c r="AJ287" s="66">
        <f t="shared" si="15"/>
        <v>26</v>
      </c>
      <c r="AK287" s="66">
        <f t="shared" si="5"/>
        <v>0</v>
      </c>
      <c r="AL287" s="62">
        <f>IF(AK287*Variables!$E$43*Variables!$C$18&lt;0,0,AK287*Variables!$E$43*Variables!$C$18)</f>
        <v>0</v>
      </c>
      <c r="AM287" s="58">
        <f>AA287*Variables!$E$39*Variables!$C$18</f>
        <v>913261383.05413866</v>
      </c>
      <c r="AN287" s="1"/>
      <c r="AO287" s="76">
        <f t="shared" si="16"/>
        <v>0.75480000000000003</v>
      </c>
      <c r="AP287" s="76">
        <f t="shared" si="6"/>
        <v>120.42589319521024</v>
      </c>
      <c r="AQ287" s="75">
        <f>VLOOKUP(B287,'Household Information'!$B$2:$E$48,4,FALSE)</f>
        <v>73.64</v>
      </c>
      <c r="AR287" s="79">
        <f>IF(12*(AP287-Variables!$C$45*AQ287*F287)*(G287/5)&lt;0,0,12*(AP287-Variables!$C$45*AQ287*F287)*(G287/5))</f>
        <v>216375338.98589692</v>
      </c>
      <c r="AS287" s="1"/>
      <c r="AT287" s="62">
        <v>0</v>
      </c>
      <c r="AU287" s="1"/>
    </row>
    <row r="288" spans="1:47" ht="14.25" customHeight="1">
      <c r="A288" s="1">
        <v>3</v>
      </c>
      <c r="B288" s="3" t="s">
        <v>103</v>
      </c>
      <c r="C288" s="1">
        <v>2025</v>
      </c>
      <c r="D288" s="13">
        <f>VLOOKUP(B288,Population!$B$1:$O$48,9,FALSE)</f>
        <v>2023101.8865363533</v>
      </c>
      <c r="E288" s="13" t="str">
        <f t="shared" si="20"/>
        <v>Large</v>
      </c>
      <c r="F288" s="54">
        <f>VLOOKUP(B288,'Household Information'!$B$1:$E$48,2,FALSE)</f>
        <v>2.6407866430045996</v>
      </c>
      <c r="G288" s="54">
        <f t="shared" si="0"/>
        <v>766098.19725327555</v>
      </c>
      <c r="H288" s="55">
        <f>IF(D288&gt;Variables!$C$6,H241,H241*(1+Variables!$C$9))</f>
        <v>224.70642399999997</v>
      </c>
      <c r="I288" s="1"/>
      <c r="J288" s="13">
        <f>H288*Variables!$C$21</f>
        <v>4044.7156319999995</v>
      </c>
      <c r="K288" s="13">
        <f t="shared" si="12"/>
        <v>4044.7156319999995</v>
      </c>
      <c r="L288" s="54">
        <f t="shared" si="1"/>
        <v>0</v>
      </c>
      <c r="M288" s="56"/>
      <c r="N288" s="57"/>
      <c r="O288" s="57"/>
      <c r="P288" s="57"/>
      <c r="Q288" s="57"/>
      <c r="R288" s="57"/>
      <c r="S288" s="58">
        <v>0</v>
      </c>
      <c r="T288" s="59">
        <f>$L288*Variables!$C$22/100</f>
        <v>0</v>
      </c>
      <c r="U288" s="59">
        <f>$L288*Variables!$C$23/100</f>
        <v>0</v>
      </c>
      <c r="V288" s="59">
        <f>$L288*Variables!$C$24/100</f>
        <v>0</v>
      </c>
      <c r="W288" s="59">
        <f>$L288*Variables!$C$25/100</f>
        <v>0</v>
      </c>
      <c r="X288" s="62">
        <f>T288*Variables!$E$26*Variables!$C$18+'Cost Calculations'!U288*Variables!$E$27*Variables!$C$18+'Cost Calculations'!V288*Variables!$E$28*Variables!$C$18+W288*Variables!$E$29*Variables!$C$18</f>
        <v>0</v>
      </c>
      <c r="Y288" s="58">
        <f>J288*Variables!$E$30</f>
        <v>2649288.7389599998</v>
      </c>
      <c r="Z288" s="1"/>
      <c r="AA288" s="245">
        <f>D288*(IF(D288&lt;Variables!$C$7,Variables!$C$38,IF(D288&gt;Variables!$C$6,Variables!$C$36,Variables!$C$37)))</f>
        <v>2427.7222638436238</v>
      </c>
      <c r="AB288" s="64">
        <f t="shared" si="13"/>
        <v>2392</v>
      </c>
      <c r="AC288" s="66">
        <f t="shared" si="2"/>
        <v>36</v>
      </c>
      <c r="AD288" s="62">
        <f>AC288*Variables!$E$41</f>
        <v>19353600</v>
      </c>
      <c r="AE288" s="71">
        <f>ROUND((H288/(3.14*Variables!$C$35^2)),0)</f>
        <v>286</v>
      </c>
      <c r="AF288" s="57">
        <f t="shared" si="14"/>
        <v>286</v>
      </c>
      <c r="AG288" s="57">
        <f t="shared" si="3"/>
        <v>0</v>
      </c>
      <c r="AH288" s="58">
        <f>AG288*Variables!$E$42*Variables!$C$18</f>
        <v>0</v>
      </c>
      <c r="AI288" s="73">
        <f t="shared" si="4"/>
        <v>20</v>
      </c>
      <c r="AJ288" s="66">
        <f t="shared" si="15"/>
        <v>20</v>
      </c>
      <c r="AK288" s="66">
        <f t="shared" si="5"/>
        <v>0</v>
      </c>
      <c r="AL288" s="62">
        <f>IF(AK288*Variables!$E$43*Variables!$C$18&lt;0,0,AK288*Variables!$E$43*Variables!$C$18)</f>
        <v>0</v>
      </c>
      <c r="AM288" s="58">
        <f>AA288*Variables!$E$39*Variables!$C$18</f>
        <v>701738739.57944918</v>
      </c>
      <c r="AN288" s="1"/>
      <c r="AO288" s="76">
        <f t="shared" si="16"/>
        <v>0.61199999999999999</v>
      </c>
      <c r="AP288" s="76">
        <f t="shared" si="6"/>
        <v>96.969685531128903</v>
      </c>
      <c r="AQ288" s="75">
        <f>VLOOKUP(B288,'Household Information'!$B$2:$E$48,4,FALSE)</f>
        <v>61.12</v>
      </c>
      <c r="AR288" s="79">
        <f>IF(12*(AP288-Variables!$C$45*AQ288*F288)*(G288/5)&lt;0,0,12*(AP288-Variables!$C$45*AQ288*F288)*(G288/5))</f>
        <v>133777207.62683906</v>
      </c>
      <c r="AS288" s="1"/>
      <c r="AT288" s="62">
        <v>0</v>
      </c>
      <c r="AU288" s="1"/>
    </row>
    <row r="289" spans="1:47" ht="14.25" customHeight="1">
      <c r="A289" s="1">
        <v>4</v>
      </c>
      <c r="B289" s="3" t="s">
        <v>104</v>
      </c>
      <c r="C289" s="1">
        <v>2025</v>
      </c>
      <c r="D289" s="13">
        <f>VLOOKUP(B289,Population!$B$1:$O$48,9,FALSE)</f>
        <v>1243140.6164760215</v>
      </c>
      <c r="E289" s="13" t="str">
        <f t="shared" si="20"/>
        <v>Large</v>
      </c>
      <c r="F289" s="54">
        <f>VLOOKUP(B289,'Household Information'!$B$1:$E$48,2,FALSE)</f>
        <v>3.2280741697119208</v>
      </c>
      <c r="G289" s="54">
        <f t="shared" si="0"/>
        <v>385102.86663796252</v>
      </c>
      <c r="H289" s="55">
        <f>IF(D289&gt;Variables!$C$6,H242,H242*(1+Variables!$C$9))</f>
        <v>154</v>
      </c>
      <c r="I289" s="1"/>
      <c r="J289" s="13">
        <f>H289*Variables!$C$21</f>
        <v>2772</v>
      </c>
      <c r="K289" s="13">
        <f t="shared" si="12"/>
        <v>3916</v>
      </c>
      <c r="L289" s="54">
        <f t="shared" si="1"/>
        <v>0</v>
      </c>
      <c r="M289" s="56"/>
      <c r="N289" s="57"/>
      <c r="O289" s="57"/>
      <c r="P289" s="57"/>
      <c r="Q289" s="57"/>
      <c r="R289" s="57"/>
      <c r="S289" s="58">
        <v>0</v>
      </c>
      <c r="T289" s="59">
        <f>$L289*Variables!$C$22/100</f>
        <v>0</v>
      </c>
      <c r="U289" s="59">
        <f>$L289*Variables!$C$23/100</f>
        <v>0</v>
      </c>
      <c r="V289" s="59">
        <f>$L289*Variables!$C$24/100</f>
        <v>0</v>
      </c>
      <c r="W289" s="59">
        <f>$L289*Variables!$C$25/100</f>
        <v>0</v>
      </c>
      <c r="X289" s="62">
        <f>T289*Variables!$E$26*Variables!$C$18+'Cost Calculations'!U289*Variables!$E$27*Variables!$C$18+'Cost Calculations'!V289*Variables!$E$28*Variables!$C$18+W289*Variables!$E$29*Variables!$C$18</f>
        <v>0</v>
      </c>
      <c r="Y289" s="58">
        <f>J289*Variables!$E$30</f>
        <v>1815660</v>
      </c>
      <c r="Z289" s="1"/>
      <c r="AA289" s="245">
        <f>D289*(IF(D289&lt;Variables!$C$7,Variables!$C$38,IF(D289&gt;Variables!$C$6,Variables!$C$36,Variables!$C$37)))</f>
        <v>1491.7687397712257</v>
      </c>
      <c r="AB289" s="64">
        <f t="shared" si="13"/>
        <v>2043</v>
      </c>
      <c r="AC289" s="66">
        <f t="shared" si="2"/>
        <v>0</v>
      </c>
      <c r="AD289" s="62">
        <f>AC289*Variables!$E$41</f>
        <v>0</v>
      </c>
      <c r="AE289" s="71">
        <f>ROUND((H289/(3.14*Variables!$C$35^2)),0)</f>
        <v>196</v>
      </c>
      <c r="AF289" s="57">
        <f t="shared" si="14"/>
        <v>196</v>
      </c>
      <c r="AG289" s="57">
        <f t="shared" si="3"/>
        <v>0</v>
      </c>
      <c r="AH289" s="58">
        <f>AG289*Variables!$E$42*Variables!$C$18</f>
        <v>0</v>
      </c>
      <c r="AI289" s="73">
        <f t="shared" si="4"/>
        <v>12</v>
      </c>
      <c r="AJ289" s="66">
        <f t="shared" si="15"/>
        <v>12</v>
      </c>
      <c r="AK289" s="66">
        <f t="shared" si="5"/>
        <v>0</v>
      </c>
      <c r="AL289" s="62">
        <f>IF(AK289*Variables!$E$43*Variables!$C$18&lt;0,0,AK289*Variables!$E$43*Variables!$C$18)</f>
        <v>0</v>
      </c>
      <c r="AM289" s="58">
        <f>AA289*Variables!$E$39*Variables!$C$18</f>
        <v>431199207.08463401</v>
      </c>
      <c r="AN289" s="1"/>
      <c r="AO289" s="76">
        <f t="shared" si="16"/>
        <v>0.6804</v>
      </c>
      <c r="AP289" s="76">
        <f t="shared" si="6"/>
        <v>131.78289990431946</v>
      </c>
      <c r="AQ289" s="75">
        <f>VLOOKUP(B289,'Household Information'!$B$2:$E$48,4,FALSE)</f>
        <v>42.71</v>
      </c>
      <c r="AR289" s="79">
        <f>IF(12*(AP289-Variables!$C$45*AQ289*F289)*(G289/5)&lt;0,0,12*(AP289-Variables!$C$45*AQ289*F289)*(G289/5))</f>
        <v>102685901.20215234</v>
      </c>
      <c r="AS289" s="1"/>
      <c r="AT289" s="62">
        <v>0</v>
      </c>
      <c r="AU289" s="1"/>
    </row>
    <row r="290" spans="1:47" ht="14.25" customHeight="1">
      <c r="A290" s="1">
        <v>5</v>
      </c>
      <c r="B290" s="3" t="s">
        <v>105</v>
      </c>
      <c r="C290" s="1">
        <v>2025</v>
      </c>
      <c r="D290" s="13">
        <f>VLOOKUP(B290,Population!$B$1:$O$48,9,FALSE)</f>
        <v>586947.03141267039</v>
      </c>
      <c r="E290" s="13" t="str">
        <f t="shared" si="20"/>
        <v>Medium</v>
      </c>
      <c r="F290" s="54">
        <f>VLOOKUP(B290,'Household Information'!$B$1:$E$48,2,FALSE)</f>
        <v>2.791645991913092</v>
      </c>
      <c r="G290" s="54">
        <f t="shared" si="0"/>
        <v>210251.23998993885</v>
      </c>
      <c r="H290" s="55">
        <f>IF(D290&gt;Variables!$C$6,H243,H243*(1+Variables!$C$9))</f>
        <v>76.806648999999993</v>
      </c>
      <c r="I290" s="1"/>
      <c r="J290" s="13">
        <f>H290*Variables!$C$21</f>
        <v>1382.5196819999999</v>
      </c>
      <c r="K290" s="13">
        <f t="shared" si="12"/>
        <v>1382.5196819999999</v>
      </c>
      <c r="L290" s="54">
        <f t="shared" si="1"/>
        <v>0</v>
      </c>
      <c r="M290" s="56"/>
      <c r="N290" s="57"/>
      <c r="O290" s="57"/>
      <c r="P290" s="57"/>
      <c r="Q290" s="57"/>
      <c r="R290" s="57"/>
      <c r="S290" s="58">
        <v>0</v>
      </c>
      <c r="T290" s="59">
        <f>$L290*Variables!$C$22/100</f>
        <v>0</v>
      </c>
      <c r="U290" s="59">
        <f>$L290*Variables!$C$23/100</f>
        <v>0</v>
      </c>
      <c r="V290" s="59">
        <f>$L290*Variables!$C$24/100</f>
        <v>0</v>
      </c>
      <c r="W290" s="59">
        <f>$L290*Variables!$C$25/100</f>
        <v>0</v>
      </c>
      <c r="X290" s="62">
        <f>T290*Variables!$E$26*Variables!$C$18+'Cost Calculations'!U290*Variables!$E$27*Variables!$C$18+'Cost Calculations'!V290*Variables!$E$28*Variables!$C$18+W290*Variables!$E$29*Variables!$C$18</f>
        <v>0</v>
      </c>
      <c r="Y290" s="58">
        <f>J290*Variables!$E$30</f>
        <v>905550.39170999988</v>
      </c>
      <c r="Z290" s="1"/>
      <c r="AA290" s="245">
        <f>D290*(IF(D290&lt;Variables!$C$7,Variables!$C$38,IF(D290&gt;Variables!$C$6,Variables!$C$36,Variables!$C$37)))</f>
        <v>704.33643769520438</v>
      </c>
      <c r="AB290" s="64">
        <f t="shared" si="13"/>
        <v>694</v>
      </c>
      <c r="AC290" s="66">
        <f t="shared" si="2"/>
        <v>10</v>
      </c>
      <c r="AD290" s="62">
        <f>AC290*Variables!$E$41</f>
        <v>5376000</v>
      </c>
      <c r="AE290" s="71">
        <f>ROUND((H290/(3.14*Variables!$C$35^2)),0)</f>
        <v>98</v>
      </c>
      <c r="AF290" s="57">
        <f t="shared" si="14"/>
        <v>98</v>
      </c>
      <c r="AG290" s="57">
        <f t="shared" si="3"/>
        <v>0</v>
      </c>
      <c r="AH290" s="58">
        <f>AG290*Variables!$E$42*Variables!$C$18</f>
        <v>0</v>
      </c>
      <c r="AI290" s="73">
        <f t="shared" si="4"/>
        <v>6</v>
      </c>
      <c r="AJ290" s="66">
        <f t="shared" si="15"/>
        <v>6</v>
      </c>
      <c r="AK290" s="66">
        <f t="shared" si="5"/>
        <v>0</v>
      </c>
      <c r="AL290" s="62">
        <f>IF(AK290*Variables!$E$43*Variables!$C$18&lt;0,0,AK290*Variables!$E$43*Variables!$C$18)</f>
        <v>0</v>
      </c>
      <c r="AM290" s="58">
        <f>AA290*Variables!$E$39*Variables!$C$18</f>
        <v>203590077.57567304</v>
      </c>
      <c r="AN290" s="1"/>
      <c r="AO290" s="76">
        <f t="shared" si="16"/>
        <v>0.71399999999999997</v>
      </c>
      <c r="AP290" s="76">
        <f t="shared" si="6"/>
        <v>119.59411429355686</v>
      </c>
      <c r="AQ290" s="75">
        <f>VLOOKUP(B290,'Household Information'!$B$2:$E$48,4,FALSE)</f>
        <v>61.2</v>
      </c>
      <c r="AR290" s="79">
        <f>IF(12*(AP290-Variables!$C$45*AQ290*F290)*(G290/5)&lt;0,0,12*(AP290-Variables!$C$45*AQ290*F290)*(G290/5))</f>
        <v>47415928.985641159</v>
      </c>
      <c r="AS290" s="1"/>
      <c r="AT290" s="62">
        <v>0</v>
      </c>
      <c r="AU290" s="1"/>
    </row>
    <row r="291" spans="1:47" ht="14.25" customHeight="1">
      <c r="A291" s="1">
        <v>6</v>
      </c>
      <c r="B291" s="3" t="s">
        <v>106</v>
      </c>
      <c r="C291" s="1">
        <v>2025</v>
      </c>
      <c r="D291" s="13">
        <f>VLOOKUP(B291,Population!$B$1:$O$48,9,FALSE)</f>
        <v>985482.35103148315</v>
      </c>
      <c r="E291" s="13" t="str">
        <f t="shared" si="20"/>
        <v>Medium</v>
      </c>
      <c r="F291" s="54">
        <f>VLOOKUP(B291,'Household Information'!$B$1:$E$48,2,FALSE)</f>
        <v>3.0151582035627214</v>
      </c>
      <c r="G291" s="54">
        <f t="shared" si="0"/>
        <v>326842.66778009653</v>
      </c>
      <c r="H291" s="55">
        <f>IF(D291&gt;Variables!$C$6,H244,H244*(1+Variables!$C$9))</f>
        <v>116.91803899999999</v>
      </c>
      <c r="I291" s="1"/>
      <c r="J291" s="13">
        <f>H291*Variables!$C$21</f>
        <v>2104.5247019999997</v>
      </c>
      <c r="K291" s="13">
        <f t="shared" si="12"/>
        <v>2104.5247019999997</v>
      </c>
      <c r="L291" s="54">
        <f t="shared" si="1"/>
        <v>0</v>
      </c>
      <c r="M291" s="56"/>
      <c r="N291" s="57"/>
      <c r="O291" s="57"/>
      <c r="P291" s="57"/>
      <c r="Q291" s="57"/>
      <c r="R291" s="57"/>
      <c r="S291" s="58">
        <v>0</v>
      </c>
      <c r="T291" s="59">
        <f>$L291*Variables!$C$22/100</f>
        <v>0</v>
      </c>
      <c r="U291" s="59">
        <f>$L291*Variables!$C$23/100</f>
        <v>0</v>
      </c>
      <c r="V291" s="59">
        <f>$L291*Variables!$C$24/100</f>
        <v>0</v>
      </c>
      <c r="W291" s="59">
        <f>$L291*Variables!$C$25/100</f>
        <v>0</v>
      </c>
      <c r="X291" s="62">
        <f>T291*Variables!$E$26*Variables!$C$18+'Cost Calculations'!U291*Variables!$E$27*Variables!$C$18+'Cost Calculations'!V291*Variables!$E$28*Variables!$C$18+W291*Variables!$E$29*Variables!$C$18</f>
        <v>0</v>
      </c>
      <c r="Y291" s="58">
        <f>J291*Variables!$E$30</f>
        <v>1378463.6798099999</v>
      </c>
      <c r="Z291" s="1"/>
      <c r="AA291" s="245">
        <f>D291*(IF(D291&lt;Variables!$C$7,Variables!$C$38,IF(D291&gt;Variables!$C$6,Variables!$C$36,Variables!$C$37)))</f>
        <v>1182.5788212377797</v>
      </c>
      <c r="AB291" s="64">
        <f t="shared" si="13"/>
        <v>1165</v>
      </c>
      <c r="AC291" s="66">
        <f t="shared" si="2"/>
        <v>18</v>
      </c>
      <c r="AD291" s="62">
        <f>AC291*Variables!$E$41</f>
        <v>9676800</v>
      </c>
      <c r="AE291" s="71">
        <f>ROUND((H291/(3.14*Variables!$C$35^2)),0)</f>
        <v>149</v>
      </c>
      <c r="AF291" s="57">
        <f t="shared" si="14"/>
        <v>149</v>
      </c>
      <c r="AG291" s="57">
        <f t="shared" si="3"/>
        <v>0</v>
      </c>
      <c r="AH291" s="58">
        <f>AG291*Variables!$E$42*Variables!$C$18</f>
        <v>0</v>
      </c>
      <c r="AI291" s="73">
        <f t="shared" si="4"/>
        <v>10</v>
      </c>
      <c r="AJ291" s="66">
        <f t="shared" si="15"/>
        <v>10</v>
      </c>
      <c r="AK291" s="66">
        <f t="shared" si="5"/>
        <v>0</v>
      </c>
      <c r="AL291" s="62">
        <f>IF(AK291*Variables!$E$43*Variables!$C$18&lt;0,0,AK291*Variables!$E$43*Variables!$C$18)</f>
        <v>0</v>
      </c>
      <c r="AM291" s="58">
        <f>AA291*Variables!$E$39*Variables!$C$18</f>
        <v>341827145.48034638</v>
      </c>
      <c r="AN291" s="1"/>
      <c r="AO291" s="76">
        <f t="shared" si="16"/>
        <v>0.68340000000000001</v>
      </c>
      <c r="AP291" s="76">
        <f t="shared" si="6"/>
        <v>123.63354697888582</v>
      </c>
      <c r="AQ291" s="75">
        <f>VLOOKUP(B291,'Household Information'!$B$2:$E$48,4,FALSE)</f>
        <v>55.55</v>
      </c>
      <c r="AR291" s="79">
        <f>IF(12*(AP291-Variables!$C$45*AQ291*F291)*(G291/5)&lt;0,0,12*(AP291-Variables!$C$45*AQ291*F291)*(G291/5))</f>
        <v>77273247.916140243</v>
      </c>
      <c r="AS291" s="1"/>
      <c r="AT291" s="62">
        <v>0</v>
      </c>
      <c r="AU291" s="1"/>
    </row>
    <row r="292" spans="1:47" ht="14.25" customHeight="1">
      <c r="A292" s="1">
        <v>7</v>
      </c>
      <c r="B292" s="3" t="s">
        <v>107</v>
      </c>
      <c r="C292" s="1">
        <v>2025</v>
      </c>
      <c r="D292" s="13">
        <f>VLOOKUP(B292,Population!$B$1:$O$48,9,FALSE)</f>
        <v>698551.92600916035</v>
      </c>
      <c r="E292" s="13" t="str">
        <f t="shared" si="20"/>
        <v>Medium</v>
      </c>
      <c r="F292" s="54">
        <f>VLOOKUP(B292,'Household Information'!$B$1:$E$48,2,FALSE)</f>
        <v>2.7144187891908675</v>
      </c>
      <c r="G292" s="54">
        <f t="shared" si="0"/>
        <v>257348.61871383872</v>
      </c>
      <c r="H292" s="55">
        <f>IF(D292&gt;Variables!$C$6,H245,H245*(1+Variables!$C$9))</f>
        <v>92.766498999999996</v>
      </c>
      <c r="I292" s="1"/>
      <c r="J292" s="13">
        <f>H292*Variables!$C$21</f>
        <v>1669.7969819999998</v>
      </c>
      <c r="K292" s="13">
        <f t="shared" si="12"/>
        <v>1669.7969819999998</v>
      </c>
      <c r="L292" s="54">
        <f t="shared" si="1"/>
        <v>0</v>
      </c>
      <c r="M292" s="56"/>
      <c r="N292" s="57"/>
      <c r="O292" s="57"/>
      <c r="P292" s="57"/>
      <c r="Q292" s="57"/>
      <c r="R292" s="57"/>
      <c r="S292" s="58">
        <v>0</v>
      </c>
      <c r="T292" s="59">
        <f>$L292*Variables!$C$22/100</f>
        <v>0</v>
      </c>
      <c r="U292" s="59">
        <f>$L292*Variables!$C$23/100</f>
        <v>0</v>
      </c>
      <c r="V292" s="59">
        <f>$L292*Variables!$C$24/100</f>
        <v>0</v>
      </c>
      <c r="W292" s="59">
        <f>$L292*Variables!$C$25/100</f>
        <v>0</v>
      </c>
      <c r="X292" s="62">
        <f>T292*Variables!$E$26*Variables!$C$18+'Cost Calculations'!U292*Variables!$E$27*Variables!$C$18+'Cost Calculations'!V292*Variables!$E$28*Variables!$C$18+W292*Variables!$E$29*Variables!$C$18</f>
        <v>0</v>
      </c>
      <c r="Y292" s="58">
        <f>J292*Variables!$E$30</f>
        <v>1093717.0232099998</v>
      </c>
      <c r="Z292" s="1"/>
      <c r="AA292" s="245">
        <f>D292*(IF(D292&lt;Variables!$C$7,Variables!$C$38,IF(D292&gt;Variables!$C$6,Variables!$C$36,Variables!$C$37)))</f>
        <v>838.26231121099238</v>
      </c>
      <c r="AB292" s="64">
        <f t="shared" si="13"/>
        <v>826</v>
      </c>
      <c r="AC292" s="66">
        <f t="shared" si="2"/>
        <v>12</v>
      </c>
      <c r="AD292" s="62">
        <f>AC292*Variables!$E$41</f>
        <v>6451200</v>
      </c>
      <c r="AE292" s="71">
        <f>ROUND((H292/(3.14*Variables!$C$35^2)),0)</f>
        <v>118</v>
      </c>
      <c r="AF292" s="57">
        <f t="shared" si="14"/>
        <v>118</v>
      </c>
      <c r="AG292" s="57">
        <f t="shared" si="3"/>
        <v>0</v>
      </c>
      <c r="AH292" s="58">
        <f>AG292*Variables!$E$42*Variables!$C$18</f>
        <v>0</v>
      </c>
      <c r="AI292" s="73">
        <f t="shared" si="4"/>
        <v>7</v>
      </c>
      <c r="AJ292" s="66">
        <f t="shared" si="15"/>
        <v>7</v>
      </c>
      <c r="AK292" s="66">
        <f t="shared" si="5"/>
        <v>0</v>
      </c>
      <c r="AL292" s="62">
        <f>IF(AK292*Variables!$E$43*Variables!$C$18&lt;0,0,AK292*Variables!$E$43*Variables!$C$18)</f>
        <v>0</v>
      </c>
      <c r="AM292" s="58">
        <f>AA292*Variables!$E$39*Variables!$C$18</f>
        <v>242301661.30076236</v>
      </c>
      <c r="AN292" s="1"/>
      <c r="AO292" s="76">
        <f t="shared" si="16"/>
        <v>0.67714285714285716</v>
      </c>
      <c r="AP292" s="76">
        <f t="shared" si="6"/>
        <v>110.28295766369753</v>
      </c>
      <c r="AQ292" s="75">
        <f>VLOOKUP(B292,'Household Information'!$B$2:$E$48,4,FALSE)</f>
        <v>59.47</v>
      </c>
      <c r="AR292" s="79">
        <f>IF(12*(AP292-Variables!$C$45*AQ292*F292)*(G292/5)&lt;0,0,12*(AP292-Variables!$C$45*AQ292*F292)*(G292/5))</f>
        <v>53159362.479515046</v>
      </c>
      <c r="AS292" s="1"/>
      <c r="AT292" s="62">
        <v>0</v>
      </c>
      <c r="AU292" s="1"/>
    </row>
    <row r="293" spans="1:47" ht="14.25" customHeight="1">
      <c r="A293" s="1">
        <v>8</v>
      </c>
      <c r="B293" s="3" t="s">
        <v>108</v>
      </c>
      <c r="C293" s="1">
        <v>2025</v>
      </c>
      <c r="D293" s="13">
        <f>VLOOKUP(B293,Population!$B$1:$O$48,9,FALSE)</f>
        <v>454670.16546847182</v>
      </c>
      <c r="E293" s="13" t="str">
        <f t="shared" si="20"/>
        <v>Medium</v>
      </c>
      <c r="F293" s="54">
        <f>VLOOKUP(B293,'Household Information'!$B$1:$E$48,2,FALSE)</f>
        <v>2.3617684870776379</v>
      </c>
      <c r="G293" s="54">
        <f t="shared" si="0"/>
        <v>192512.58874702969</v>
      </c>
      <c r="H293" s="55">
        <f>IF(D293&gt;Variables!$C$6,H246,H246*(1+Variables!$C$9))</f>
        <v>39.199250999999997</v>
      </c>
      <c r="I293" s="1"/>
      <c r="J293" s="13">
        <f>H293*Variables!$C$21</f>
        <v>705.58651799999996</v>
      </c>
      <c r="K293" s="13">
        <f t="shared" si="12"/>
        <v>705.58651799999996</v>
      </c>
      <c r="L293" s="54">
        <f t="shared" si="1"/>
        <v>0</v>
      </c>
      <c r="M293" s="56"/>
      <c r="N293" s="57"/>
      <c r="O293" s="57"/>
      <c r="P293" s="57"/>
      <c r="Q293" s="57"/>
      <c r="R293" s="57"/>
      <c r="S293" s="58">
        <v>0</v>
      </c>
      <c r="T293" s="59">
        <f>$L293*Variables!$C$22/100</f>
        <v>0</v>
      </c>
      <c r="U293" s="59">
        <f>$L293*Variables!$C$23/100</f>
        <v>0</v>
      </c>
      <c r="V293" s="59">
        <f>$L293*Variables!$C$24/100</f>
        <v>0</v>
      </c>
      <c r="W293" s="59">
        <f>$L293*Variables!$C$25/100</f>
        <v>0</v>
      </c>
      <c r="X293" s="62">
        <f>T293*Variables!$E$26*Variables!$C$18+'Cost Calculations'!U293*Variables!$E$27*Variables!$C$18+'Cost Calculations'!V293*Variables!$E$28*Variables!$C$18+W293*Variables!$E$29*Variables!$C$18</f>
        <v>0</v>
      </c>
      <c r="Y293" s="58">
        <f>J293*Variables!$E$30</f>
        <v>462159.16928999999</v>
      </c>
      <c r="Z293" s="1"/>
      <c r="AA293" s="245">
        <f>D293*(IF(D293&lt;Variables!$C$7,Variables!$C$38,IF(D293&gt;Variables!$C$6,Variables!$C$36,Variables!$C$37)))</f>
        <v>545.60419856216618</v>
      </c>
      <c r="AB293" s="64">
        <f t="shared" si="13"/>
        <v>978</v>
      </c>
      <c r="AC293" s="66">
        <f t="shared" si="2"/>
        <v>0</v>
      </c>
      <c r="AD293" s="62">
        <f>AC293*Variables!$E$41</f>
        <v>0</v>
      </c>
      <c r="AE293" s="71">
        <f>ROUND((H293/(3.14*Variables!$C$35^2)),0)</f>
        <v>50</v>
      </c>
      <c r="AF293" s="57">
        <f t="shared" si="14"/>
        <v>50</v>
      </c>
      <c r="AG293" s="57">
        <f t="shared" si="3"/>
        <v>0</v>
      </c>
      <c r="AH293" s="58">
        <f>AG293*Variables!$E$42*Variables!$C$18</f>
        <v>0</v>
      </c>
      <c r="AI293" s="73">
        <f t="shared" si="4"/>
        <v>5</v>
      </c>
      <c r="AJ293" s="66">
        <f t="shared" si="15"/>
        <v>4</v>
      </c>
      <c r="AK293" s="66">
        <f t="shared" si="5"/>
        <v>1</v>
      </c>
      <c r="AL293" s="62">
        <f>IF(AK293*Variables!$E$43*Variables!$C$18&lt;0,0,AK293*Variables!$E$43*Variables!$C$18)</f>
        <v>945381.49199999997</v>
      </c>
      <c r="AM293" s="58">
        <f>AA293*Variables!$E$39*Variables!$C$18</f>
        <v>157708156.45200667</v>
      </c>
      <c r="AN293" s="1"/>
      <c r="AO293" s="76">
        <f t="shared" si="16"/>
        <v>0.61199999999999999</v>
      </c>
      <c r="AP293" s="76">
        <f t="shared" si="6"/>
        <v>86.724138845490856</v>
      </c>
      <c r="AQ293" s="75">
        <f>VLOOKUP(B293,'Household Information'!$B$2:$E$48,4,FALSE)</f>
        <v>75.66</v>
      </c>
      <c r="AR293" s="79">
        <f>IF(12*(AP293-Variables!$C$45*AQ293*F293)*(G293/5)&lt;0,0,12*(AP293-Variables!$C$45*AQ293*F293)*(G293/5))</f>
        <v>27685048.243441436</v>
      </c>
      <c r="AS293" s="1"/>
      <c r="AT293" s="62">
        <v>0</v>
      </c>
      <c r="AU293" s="1"/>
    </row>
    <row r="294" spans="1:47" ht="14.25" customHeight="1">
      <c r="A294" s="1">
        <v>9</v>
      </c>
      <c r="B294" s="3" t="s">
        <v>109</v>
      </c>
      <c r="C294" s="1">
        <v>2025</v>
      </c>
      <c r="D294" s="13">
        <f>VLOOKUP(B294,Population!$B$1:$O$48,9,FALSE)</f>
        <v>532562.4109906574</v>
      </c>
      <c r="E294" s="13" t="str">
        <f t="shared" si="20"/>
        <v>Medium</v>
      </c>
      <c r="F294" s="54">
        <f>VLOOKUP(B294,'Household Information'!$B$1:$E$48,2,FALSE)</f>
        <v>2.7429262269780841</v>
      </c>
      <c r="G294" s="54">
        <f t="shared" si="0"/>
        <v>194158.48875286305</v>
      </c>
      <c r="H294" s="55">
        <f>IF(D294&gt;Variables!$C$6,H247,H247*(1+Variables!$C$9))</f>
        <v>47.234957999999992</v>
      </c>
      <c r="I294" s="1"/>
      <c r="J294" s="13">
        <f>H294*Variables!$C$21</f>
        <v>850.22924399999988</v>
      </c>
      <c r="K294" s="13">
        <f t="shared" si="12"/>
        <v>850.22924399999988</v>
      </c>
      <c r="L294" s="54">
        <f t="shared" si="1"/>
        <v>0</v>
      </c>
      <c r="M294" s="56"/>
      <c r="N294" s="57"/>
      <c r="O294" s="57"/>
      <c r="P294" s="57"/>
      <c r="Q294" s="57"/>
      <c r="R294" s="57"/>
      <c r="S294" s="58">
        <v>0</v>
      </c>
      <c r="T294" s="59">
        <f>$L294*Variables!$C$22/100</f>
        <v>0</v>
      </c>
      <c r="U294" s="59">
        <f>$L294*Variables!$C$23/100</f>
        <v>0</v>
      </c>
      <c r="V294" s="59">
        <f>$L294*Variables!$C$24/100</f>
        <v>0</v>
      </c>
      <c r="W294" s="59">
        <f>$L294*Variables!$C$25/100</f>
        <v>0</v>
      </c>
      <c r="X294" s="62">
        <f>T294*Variables!$E$26*Variables!$C$18+'Cost Calculations'!U294*Variables!$E$27*Variables!$C$18+'Cost Calculations'!V294*Variables!$E$28*Variables!$C$18+W294*Variables!$E$29*Variables!$C$18</f>
        <v>0</v>
      </c>
      <c r="Y294" s="58">
        <f>J294*Variables!$E$30</f>
        <v>556900.15481999994</v>
      </c>
      <c r="Z294" s="1"/>
      <c r="AA294" s="245">
        <f>D294*(IF(D294&lt;Variables!$C$7,Variables!$C$38,IF(D294&gt;Variables!$C$6,Variables!$C$36,Variables!$C$37)))</f>
        <v>639.07489318878879</v>
      </c>
      <c r="AB294" s="64">
        <f t="shared" si="13"/>
        <v>630</v>
      </c>
      <c r="AC294" s="66">
        <f t="shared" si="2"/>
        <v>9</v>
      </c>
      <c r="AD294" s="62">
        <f>AC294*Variables!$E$41</f>
        <v>4838400</v>
      </c>
      <c r="AE294" s="71">
        <f>ROUND((H294/(3.14*Variables!$C$35^2)),0)</f>
        <v>60</v>
      </c>
      <c r="AF294" s="57">
        <f t="shared" si="14"/>
        <v>60</v>
      </c>
      <c r="AG294" s="57">
        <f t="shared" si="3"/>
        <v>0</v>
      </c>
      <c r="AH294" s="58">
        <f>AG294*Variables!$E$42*Variables!$C$18</f>
        <v>0</v>
      </c>
      <c r="AI294" s="73">
        <f t="shared" si="4"/>
        <v>5</v>
      </c>
      <c r="AJ294" s="66">
        <f t="shared" si="15"/>
        <v>5</v>
      </c>
      <c r="AK294" s="66">
        <f t="shared" si="5"/>
        <v>0</v>
      </c>
      <c r="AL294" s="62">
        <f>IF(AK294*Variables!$E$43*Variables!$C$18&lt;0,0,AK294*Variables!$E$43*Variables!$C$18)</f>
        <v>0</v>
      </c>
      <c r="AM294" s="58">
        <f>AA294*Variables!$E$39*Variables!$C$18</f>
        <v>184726077.08146739</v>
      </c>
      <c r="AN294" s="1"/>
      <c r="AO294" s="76">
        <f t="shared" si="16"/>
        <v>0.67714285714285716</v>
      </c>
      <c r="AP294" s="76">
        <f t="shared" si="6"/>
        <v>111.44117413608102</v>
      </c>
      <c r="AQ294" s="75">
        <f>VLOOKUP(B294,'Household Information'!$B$2:$E$48,4,FALSE)</f>
        <v>65.935833333333335</v>
      </c>
      <c r="AR294" s="79">
        <f>IF(12*(AP294-Variables!$C$45*AQ294*F294)*(G294/5)&lt;0,0,12*(AP294-Variables!$C$45*AQ294*F294)*(G294/5))</f>
        <v>39288019.1988106</v>
      </c>
      <c r="AS294" s="1"/>
      <c r="AT294" s="62">
        <v>0</v>
      </c>
      <c r="AU294" s="1"/>
    </row>
    <row r="295" spans="1:47" ht="14.25" customHeight="1">
      <c r="A295" s="1">
        <v>10</v>
      </c>
      <c r="B295" s="3" t="s">
        <v>110</v>
      </c>
      <c r="C295" s="1">
        <v>2025</v>
      </c>
      <c r="D295" s="13">
        <f>VLOOKUP(B295,Population!$B$1:$O$48,9,FALSE)</f>
        <v>555683.81006114022</v>
      </c>
      <c r="E295" s="13" t="str">
        <f t="shared" si="20"/>
        <v>Medium</v>
      </c>
      <c r="F295" s="54">
        <f>VLOOKUP(B295,'Household Information'!$B$1:$E$48,2,FALSE)</f>
        <v>2.5116430728482135</v>
      </c>
      <c r="G295" s="54">
        <f t="shared" si="0"/>
        <v>221243.1440073181</v>
      </c>
      <c r="H295" s="55">
        <f>IF(D295&gt;Variables!$C$6,H248,H248*(1+Variables!$C$9))</f>
        <v>27.319750999999997</v>
      </c>
      <c r="I295" s="1"/>
      <c r="J295" s="13">
        <f>H295*Variables!$C$21</f>
        <v>491.75551799999994</v>
      </c>
      <c r="K295" s="13">
        <f t="shared" si="12"/>
        <v>491.75551799999994</v>
      </c>
      <c r="L295" s="54">
        <f t="shared" si="1"/>
        <v>0</v>
      </c>
      <c r="M295" s="56"/>
      <c r="N295" s="57"/>
      <c r="O295" s="57"/>
      <c r="P295" s="57"/>
      <c r="Q295" s="57"/>
      <c r="R295" s="57"/>
      <c r="S295" s="58">
        <v>0</v>
      </c>
      <c r="T295" s="59">
        <f>$L295*Variables!$C$22/100</f>
        <v>0</v>
      </c>
      <c r="U295" s="59">
        <f>$L295*Variables!$C$23/100</f>
        <v>0</v>
      </c>
      <c r="V295" s="59">
        <f>$L295*Variables!$C$24/100</f>
        <v>0</v>
      </c>
      <c r="W295" s="59">
        <f>$L295*Variables!$C$25/100</f>
        <v>0</v>
      </c>
      <c r="X295" s="62">
        <f>T295*Variables!$E$26*Variables!$C$18+'Cost Calculations'!U295*Variables!$E$27*Variables!$C$18+'Cost Calculations'!V295*Variables!$E$28*Variables!$C$18+W295*Variables!$E$29*Variables!$C$18</f>
        <v>0</v>
      </c>
      <c r="Y295" s="58">
        <f>J295*Variables!$E$30</f>
        <v>322099.86428999994</v>
      </c>
      <c r="Z295" s="1"/>
      <c r="AA295" s="245">
        <f>D295*(IF(D295&lt;Variables!$C$7,Variables!$C$38,IF(D295&gt;Variables!$C$6,Variables!$C$36,Variables!$C$37)))</f>
        <v>666.82057207336823</v>
      </c>
      <c r="AB295" s="64">
        <f t="shared" si="13"/>
        <v>657</v>
      </c>
      <c r="AC295" s="66">
        <f t="shared" si="2"/>
        <v>10</v>
      </c>
      <c r="AD295" s="62">
        <f>AC295*Variables!$E$41</f>
        <v>5376000</v>
      </c>
      <c r="AE295" s="71">
        <f>ROUND((H295/(3.14*Variables!$C$35^2)),0)</f>
        <v>35</v>
      </c>
      <c r="AF295" s="57">
        <f t="shared" si="14"/>
        <v>35</v>
      </c>
      <c r="AG295" s="57">
        <f t="shared" si="3"/>
        <v>0</v>
      </c>
      <c r="AH295" s="58">
        <f>AG295*Variables!$E$42*Variables!$C$18</f>
        <v>0</v>
      </c>
      <c r="AI295" s="73">
        <f t="shared" si="4"/>
        <v>6</v>
      </c>
      <c r="AJ295" s="66">
        <f t="shared" si="15"/>
        <v>5</v>
      </c>
      <c r="AK295" s="66">
        <f t="shared" si="5"/>
        <v>1</v>
      </c>
      <c r="AL295" s="62">
        <f>IF(AK295*Variables!$E$43*Variables!$C$18&lt;0,0,AK295*Variables!$E$43*Variables!$C$18)</f>
        <v>945381.49199999997</v>
      </c>
      <c r="AM295" s="58">
        <f>AA295*Variables!$E$39*Variables!$C$18</f>
        <v>192746029.78331196</v>
      </c>
      <c r="AN295" s="1"/>
      <c r="AO295" s="76">
        <f t="shared" si="16"/>
        <v>0.67714285714285716</v>
      </c>
      <c r="AP295" s="76">
        <f t="shared" si="6"/>
        <v>102.04446998829027</v>
      </c>
      <c r="AQ295" s="75">
        <f>VLOOKUP(B295,'Household Information'!$B$2:$E$48,4,FALSE)</f>
        <v>62.81</v>
      </c>
      <c r="AR295" s="79">
        <f>IF(12*(AP295-Variables!$C$45*AQ295*F295)*(G295/5)&lt;0,0,12*(AP295-Variables!$C$45*AQ295*F295)*(G295/5))</f>
        <v>41619034.44546894</v>
      </c>
      <c r="AS295" s="1"/>
      <c r="AT295" s="62">
        <v>0</v>
      </c>
      <c r="AU295" s="1"/>
    </row>
    <row r="296" spans="1:47" ht="14.25" customHeight="1">
      <c r="A296" s="1">
        <v>11</v>
      </c>
      <c r="B296" s="3" t="s">
        <v>125</v>
      </c>
      <c r="C296" s="1">
        <v>2025</v>
      </c>
      <c r="D296" s="13">
        <f>VLOOKUP(B296,Population!$B$1:$O$48,9,FALSE)</f>
        <v>391027.21878303221</v>
      </c>
      <c r="E296" s="13" t="str">
        <f t="shared" si="20"/>
        <v>Medium</v>
      </c>
      <c r="F296" s="54">
        <f>VLOOKUP(B296,'Household Information'!$B$1:$E$48,2,FALSE)</f>
        <v>2.693850400263019</v>
      </c>
      <c r="G296" s="54">
        <f t="shared" si="0"/>
        <v>145155.50631351079</v>
      </c>
      <c r="H296" s="55">
        <f>IF(D296&gt;Variables!$C$6,H249,H249*(1+Variables!$C$9))</f>
        <v>28.674206300180991</v>
      </c>
      <c r="I296" s="1"/>
      <c r="J296" s="13">
        <f>H296*Variables!$C$21</f>
        <v>516.1357134032578</v>
      </c>
      <c r="K296" s="13">
        <f t="shared" si="12"/>
        <v>516.1357134032578</v>
      </c>
      <c r="L296" s="54">
        <f t="shared" si="1"/>
        <v>0</v>
      </c>
      <c r="M296" s="56"/>
      <c r="N296" s="57"/>
      <c r="O296" s="57"/>
      <c r="P296" s="57"/>
      <c r="Q296" s="57"/>
      <c r="R296" s="57"/>
      <c r="S296" s="58">
        <v>0</v>
      </c>
      <c r="T296" s="59">
        <f>$L296*Variables!$C$22/100</f>
        <v>0</v>
      </c>
      <c r="U296" s="59">
        <f>$L296*Variables!$C$23/100</f>
        <v>0</v>
      </c>
      <c r="V296" s="59">
        <f>$L296*Variables!$C$24/100</f>
        <v>0</v>
      </c>
      <c r="W296" s="59">
        <f>$L296*Variables!$C$25/100</f>
        <v>0</v>
      </c>
      <c r="X296" s="62">
        <f>T296*Variables!$E$26*Variables!$C$18+'Cost Calculations'!U296*Variables!$E$27*Variables!$C$18+'Cost Calculations'!V296*Variables!$E$28*Variables!$C$18+W296*Variables!$E$29*Variables!$C$18</f>
        <v>0</v>
      </c>
      <c r="Y296" s="58">
        <f>J296*Variables!$E$30</f>
        <v>338068.89227913384</v>
      </c>
      <c r="Z296" s="1"/>
      <c r="AA296" s="245">
        <f>D296*(IF(D296&lt;Variables!$C$7,Variables!$C$38,IF(D296&gt;Variables!$C$6,Variables!$C$36,Variables!$C$37)))</f>
        <v>469.23266253963862</v>
      </c>
      <c r="AB296" s="64">
        <f t="shared" si="13"/>
        <v>462</v>
      </c>
      <c r="AC296" s="66">
        <f t="shared" si="2"/>
        <v>7</v>
      </c>
      <c r="AD296" s="62">
        <f>AC296*Variables!$E$41</f>
        <v>3763200</v>
      </c>
      <c r="AE296" s="71">
        <f>ROUND((H296/(3.14*Variables!$C$35^2)),0)</f>
        <v>37</v>
      </c>
      <c r="AF296" s="57">
        <f t="shared" si="14"/>
        <v>37</v>
      </c>
      <c r="AG296" s="57">
        <f t="shared" si="3"/>
        <v>0</v>
      </c>
      <c r="AH296" s="58">
        <f>AG296*Variables!$E$42*Variables!$C$18</f>
        <v>0</v>
      </c>
      <c r="AI296" s="73">
        <f t="shared" si="4"/>
        <v>4</v>
      </c>
      <c r="AJ296" s="66">
        <f t="shared" si="15"/>
        <v>4</v>
      </c>
      <c r="AK296" s="66">
        <f t="shared" si="5"/>
        <v>0</v>
      </c>
      <c r="AL296" s="62">
        <f>IF(AK296*Variables!$E$43*Variables!$C$18&lt;0,0,AK296*Variables!$E$43*Variables!$C$18)</f>
        <v>0</v>
      </c>
      <c r="AM296" s="58">
        <f>AA296*Variables!$E$39*Variables!$C$18</f>
        <v>135632787.19483903</v>
      </c>
      <c r="AN296" s="1"/>
      <c r="AO296" s="76">
        <f t="shared" si="16"/>
        <v>0.67714285714285716</v>
      </c>
      <c r="AP296" s="76">
        <f t="shared" si="6"/>
        <v>109.4472934049718</v>
      </c>
      <c r="AQ296" s="75">
        <f>VLOOKUP(B296,'Household Information'!$B$2:$E$48,4,FALSE)</f>
        <v>65.935833333333335</v>
      </c>
      <c r="AR296" s="79">
        <f>IF(12*(AP296-Variables!$C$45*AQ296*F296)*(G296/5)&lt;0,0,12*(AP296-Variables!$C$45*AQ296*F296)*(G296/5))</f>
        <v>28846731.503689967</v>
      </c>
      <c r="AS296" s="1"/>
      <c r="AT296" s="62">
        <v>0</v>
      </c>
      <c r="AU296" s="1"/>
    </row>
    <row r="297" spans="1:47" ht="14.25" customHeight="1">
      <c r="A297" s="1">
        <v>12</v>
      </c>
      <c r="B297" s="3" t="s">
        <v>152</v>
      </c>
      <c r="C297" s="1">
        <v>2025</v>
      </c>
      <c r="D297" s="13">
        <f>VLOOKUP(B297,Population!$B$1:$O$48,9,FALSE)</f>
        <v>444421.85754273681</v>
      </c>
      <c r="E297" s="13" t="str">
        <f t="shared" si="20"/>
        <v>Medium</v>
      </c>
      <c r="F297" s="54">
        <f>VLOOKUP(B297,'Household Information'!$B$1:$E$48,2,FALSE)</f>
        <v>2.5280688906285511</v>
      </c>
      <c r="G297" s="54">
        <f t="shared" si="0"/>
        <v>175794.99482399022</v>
      </c>
      <c r="H297" s="55">
        <f>IF(D297&gt;Variables!$C$6,H250,H250*(1+Variables!$C$9))</f>
        <v>17.374026999999998</v>
      </c>
      <c r="I297" s="1"/>
      <c r="J297" s="13">
        <f>H297*Variables!$C$21</f>
        <v>312.73248599999999</v>
      </c>
      <c r="K297" s="13">
        <f t="shared" si="12"/>
        <v>639</v>
      </c>
      <c r="L297" s="54">
        <f t="shared" si="1"/>
        <v>0</v>
      </c>
      <c r="M297" s="56"/>
      <c r="N297" s="57"/>
      <c r="O297" s="57"/>
      <c r="P297" s="57"/>
      <c r="Q297" s="57"/>
      <c r="R297" s="57"/>
      <c r="S297" s="58">
        <v>0</v>
      </c>
      <c r="T297" s="59">
        <f>$L297*Variables!$C$22/100</f>
        <v>0</v>
      </c>
      <c r="U297" s="59">
        <f>$L297*Variables!$C$23/100</f>
        <v>0</v>
      </c>
      <c r="V297" s="59">
        <f>$L297*Variables!$C$24/100</f>
        <v>0</v>
      </c>
      <c r="W297" s="59">
        <f>$L297*Variables!$C$25/100</f>
        <v>0</v>
      </c>
      <c r="X297" s="62">
        <f>T297*Variables!$E$26*Variables!$C$18+'Cost Calculations'!U297*Variables!$E$27*Variables!$C$18+'Cost Calculations'!V297*Variables!$E$28*Variables!$C$18+W297*Variables!$E$29*Variables!$C$18</f>
        <v>0</v>
      </c>
      <c r="Y297" s="58">
        <f>J297*Variables!$E$30</f>
        <v>204839.77833</v>
      </c>
      <c r="Z297" s="1"/>
      <c r="AA297" s="245">
        <f>D297*(IF(D297&lt;Variables!$C$7,Variables!$C$38,IF(D297&gt;Variables!$C$6,Variables!$C$36,Variables!$C$37)))</f>
        <v>533.30622905128416</v>
      </c>
      <c r="AB297" s="64">
        <f t="shared" si="13"/>
        <v>525</v>
      </c>
      <c r="AC297" s="66">
        <f t="shared" si="2"/>
        <v>8</v>
      </c>
      <c r="AD297" s="62">
        <f>AC297*Variables!$E$41</f>
        <v>4300800</v>
      </c>
      <c r="AE297" s="71">
        <f>ROUND((H297/(3.14*Variables!$C$35^2)),0)</f>
        <v>22</v>
      </c>
      <c r="AF297" s="57">
        <f t="shared" si="14"/>
        <v>22</v>
      </c>
      <c r="AG297" s="57">
        <f t="shared" si="3"/>
        <v>0</v>
      </c>
      <c r="AH297" s="58">
        <f>AG297*Variables!$E$42*Variables!$C$18</f>
        <v>0</v>
      </c>
      <c r="AI297" s="73">
        <f t="shared" si="4"/>
        <v>4</v>
      </c>
      <c r="AJ297" s="66">
        <f t="shared" si="15"/>
        <v>4</v>
      </c>
      <c r="AK297" s="66">
        <f t="shared" si="5"/>
        <v>0</v>
      </c>
      <c r="AL297" s="62">
        <f>IF(AK297*Variables!$E$43*Variables!$C$18&lt;0,0,AK297*Variables!$E$43*Variables!$C$18)</f>
        <v>0</v>
      </c>
      <c r="AM297" s="58">
        <f>AA297*Variables!$E$39*Variables!$C$18</f>
        <v>154153399.89995787</v>
      </c>
      <c r="AN297" s="1"/>
      <c r="AO297" s="76">
        <f t="shared" si="16"/>
        <v>0.67714285714285716</v>
      </c>
      <c r="AP297" s="76">
        <f t="shared" si="6"/>
        <v>102.71182749925141</v>
      </c>
      <c r="AQ297" s="75">
        <f>VLOOKUP(B297,'Household Information'!$B$2:$E$48,4,FALSE)</f>
        <v>89.08</v>
      </c>
      <c r="AR297" s="79">
        <f>IF(12*(AP297-Variables!$C$45*AQ297*F297)*(G297/5)&lt;0,0,12*(AP297-Variables!$C$45*AQ297*F297)*(G297/5))</f>
        <v>29082864.775457822</v>
      </c>
      <c r="AS297" s="1"/>
      <c r="AT297" s="62">
        <v>0</v>
      </c>
      <c r="AU297" s="1"/>
    </row>
    <row r="298" spans="1:47" ht="14.25" customHeight="1">
      <c r="A298" s="1">
        <v>13</v>
      </c>
      <c r="B298" s="3" t="s">
        <v>181</v>
      </c>
      <c r="C298" s="1">
        <v>2025</v>
      </c>
      <c r="D298" s="13">
        <f>VLOOKUP(B298,Population!$B$1:$O$48,9,FALSE)</f>
        <v>500775.34284023754</v>
      </c>
      <c r="E298" s="13" t="str">
        <f t="shared" si="20"/>
        <v>Medium</v>
      </c>
      <c r="F298" s="54">
        <f>VLOOKUP(B298,'Household Information'!$B$1:$E$48,2,FALSE)</f>
        <v>2.4075040417460345</v>
      </c>
      <c r="G298" s="54">
        <f t="shared" si="0"/>
        <v>208006.02373113853</v>
      </c>
      <c r="H298" s="55">
        <f>IF(D298&gt;Variables!$C$6,H251,H251*(1+Variables!$C$9))</f>
        <v>82.9</v>
      </c>
      <c r="I298" s="1"/>
      <c r="J298" s="13">
        <f>H298*Variables!$C$21</f>
        <v>1492.2</v>
      </c>
      <c r="K298" s="13">
        <f t="shared" si="12"/>
        <v>1492.2</v>
      </c>
      <c r="L298" s="54">
        <f t="shared" si="1"/>
        <v>0</v>
      </c>
      <c r="M298" s="56"/>
      <c r="N298" s="57"/>
      <c r="O298" s="57"/>
      <c r="P298" s="57"/>
      <c r="Q298" s="57"/>
      <c r="R298" s="57"/>
      <c r="S298" s="58">
        <v>0</v>
      </c>
      <c r="T298" s="59">
        <f>$L298*Variables!$C$22/100</f>
        <v>0</v>
      </c>
      <c r="U298" s="59">
        <f>$L298*Variables!$C$23/100</f>
        <v>0</v>
      </c>
      <c r="V298" s="59">
        <f>$L298*Variables!$C$24/100</f>
        <v>0</v>
      </c>
      <c r="W298" s="59">
        <f>$L298*Variables!$C$25/100</f>
        <v>0</v>
      </c>
      <c r="X298" s="62">
        <f>T298*Variables!$E$26*Variables!$C$18+'Cost Calculations'!U298*Variables!$E$27*Variables!$C$18+'Cost Calculations'!V298*Variables!$E$28*Variables!$C$18+W298*Variables!$E$29*Variables!$C$18</f>
        <v>0</v>
      </c>
      <c r="Y298" s="58">
        <f>J298*Variables!$E$30</f>
        <v>977391</v>
      </c>
      <c r="Z298" s="1"/>
      <c r="AA298" s="245">
        <f>D298*(IF(D298&lt;Variables!$C$7,Variables!$C$38,IF(D298&gt;Variables!$C$6,Variables!$C$36,Variables!$C$37)))</f>
        <v>600.93041140828495</v>
      </c>
      <c r="AB298" s="64">
        <f t="shared" si="13"/>
        <v>592</v>
      </c>
      <c r="AC298" s="66">
        <f t="shared" si="2"/>
        <v>9</v>
      </c>
      <c r="AD298" s="62">
        <f>AC298*Variables!$E$41</f>
        <v>4838400</v>
      </c>
      <c r="AE298" s="71">
        <f>ROUND((H298/(3.14*Variables!$C$35^2)),0)</f>
        <v>106</v>
      </c>
      <c r="AF298" s="57">
        <f t="shared" si="14"/>
        <v>106</v>
      </c>
      <c r="AG298" s="57">
        <f t="shared" si="3"/>
        <v>0</v>
      </c>
      <c r="AH298" s="58">
        <f>AG298*Variables!$E$42*Variables!$C$18</f>
        <v>0</v>
      </c>
      <c r="AI298" s="73">
        <f t="shared" si="4"/>
        <v>5</v>
      </c>
      <c r="AJ298" s="66">
        <f t="shared" si="15"/>
        <v>5</v>
      </c>
      <c r="AK298" s="66">
        <f t="shared" si="5"/>
        <v>0</v>
      </c>
      <c r="AL298" s="62">
        <f>IF(AK298*Variables!$E$43*Variables!$C$18&lt;0,0,AK298*Variables!$E$43*Variables!$C$18)</f>
        <v>0</v>
      </c>
      <c r="AM298" s="58">
        <f>AA298*Variables!$E$39*Variables!$C$18</f>
        <v>173700326.333446</v>
      </c>
      <c r="AN298" s="1"/>
      <c r="AO298" s="76">
        <f t="shared" si="16"/>
        <v>0.67714285714285716</v>
      </c>
      <c r="AP298" s="76">
        <f t="shared" si="6"/>
        <v>97.81344992465317</v>
      </c>
      <c r="AQ298" s="75">
        <f>VLOOKUP(B298,'Household Information'!$B$2:$E$48,4,FALSE)</f>
        <v>71.48</v>
      </c>
      <c r="AR298" s="79">
        <f>IF(12*(AP298-Variables!$C$45*AQ298*F298)*(G298/5)&lt;0,0,12*(AP298-Variables!$C$45*AQ298*F298)*(G298/5))</f>
        <v>35943536.54476539</v>
      </c>
      <c r="AS298" s="1"/>
      <c r="AT298" s="62">
        <v>0</v>
      </c>
      <c r="AU298" s="1"/>
    </row>
    <row r="299" spans="1:47" ht="14.25" customHeight="1">
      <c r="A299" s="1">
        <v>14</v>
      </c>
      <c r="B299" s="3" t="s">
        <v>206</v>
      </c>
      <c r="C299" s="1">
        <v>2025</v>
      </c>
      <c r="D299" s="13">
        <f>VLOOKUP(B299,Population!$B$1:$O$48,9,FALSE)</f>
        <v>349075.08107534499</v>
      </c>
      <c r="E299" s="13" t="str">
        <f t="shared" si="20"/>
        <v>Medium</v>
      </c>
      <c r="F299" s="54">
        <f>VLOOKUP(B299,'Household Information'!$B$1:$E$48,2,FALSE)</f>
        <v>2.4590017825311943</v>
      </c>
      <c r="G299" s="54">
        <f t="shared" si="0"/>
        <v>141958.04311944076</v>
      </c>
      <c r="H299" s="55">
        <f>IF(D299&gt;Variables!$C$6,H252,H252*(1+Variables!$C$9))</f>
        <v>25.496505999999997</v>
      </c>
      <c r="I299" s="1"/>
      <c r="J299" s="13">
        <f>H299*Variables!$C$21</f>
        <v>458.93710799999997</v>
      </c>
      <c r="K299" s="13">
        <f t="shared" si="12"/>
        <v>458.93710799999997</v>
      </c>
      <c r="L299" s="54">
        <f t="shared" si="1"/>
        <v>0</v>
      </c>
      <c r="M299" s="56"/>
      <c r="N299" s="57"/>
      <c r="O299" s="57"/>
      <c r="P299" s="57"/>
      <c r="Q299" s="57"/>
      <c r="R299" s="57"/>
      <c r="S299" s="58">
        <v>0</v>
      </c>
      <c r="T299" s="59">
        <f>$L299*Variables!$C$22/100</f>
        <v>0</v>
      </c>
      <c r="U299" s="59">
        <f>$L299*Variables!$C$23/100</f>
        <v>0</v>
      </c>
      <c r="V299" s="59">
        <f>$L299*Variables!$C$24/100</f>
        <v>0</v>
      </c>
      <c r="W299" s="59">
        <f>$L299*Variables!$C$25/100</f>
        <v>0</v>
      </c>
      <c r="X299" s="62">
        <f>T299*Variables!$E$26*Variables!$C$18+'Cost Calculations'!U299*Variables!$E$27*Variables!$C$18+'Cost Calculations'!V299*Variables!$E$28*Variables!$C$18+W299*Variables!$E$29*Variables!$C$18</f>
        <v>0</v>
      </c>
      <c r="Y299" s="58">
        <f>J299*Variables!$E$30</f>
        <v>300603.80573999998</v>
      </c>
      <c r="Z299" s="1"/>
      <c r="AA299" s="245">
        <f>D299*(IF(D299&lt;Variables!$C$7,Variables!$C$38,IF(D299&gt;Variables!$C$6,Variables!$C$36,Variables!$C$37)))</f>
        <v>418.89009729041396</v>
      </c>
      <c r="AB299" s="64">
        <f t="shared" si="13"/>
        <v>413</v>
      </c>
      <c r="AC299" s="66">
        <f t="shared" si="2"/>
        <v>6</v>
      </c>
      <c r="AD299" s="62">
        <f>AC299*Variables!$E$41</f>
        <v>3225600</v>
      </c>
      <c r="AE299" s="71">
        <f>ROUND((H299/(3.14*Variables!$C$35^2)),0)</f>
        <v>32</v>
      </c>
      <c r="AF299" s="57">
        <f t="shared" si="14"/>
        <v>32</v>
      </c>
      <c r="AG299" s="57">
        <f t="shared" si="3"/>
        <v>0</v>
      </c>
      <c r="AH299" s="58">
        <f>AG299*Variables!$E$42*Variables!$C$18</f>
        <v>0</v>
      </c>
      <c r="AI299" s="73">
        <f t="shared" si="4"/>
        <v>3</v>
      </c>
      <c r="AJ299" s="66">
        <f t="shared" si="15"/>
        <v>3</v>
      </c>
      <c r="AK299" s="66">
        <f t="shared" si="5"/>
        <v>0</v>
      </c>
      <c r="AL299" s="62">
        <f>IF(AK299*Variables!$E$43*Variables!$C$18&lt;0,0,AK299*Variables!$E$43*Variables!$C$18)</f>
        <v>0</v>
      </c>
      <c r="AM299" s="58">
        <f>AA299*Variables!$E$39*Variables!$C$18</f>
        <v>121081152.18645215</v>
      </c>
      <c r="AN299" s="1"/>
      <c r="AO299" s="76">
        <f t="shared" si="16"/>
        <v>0.67714285714285716</v>
      </c>
      <c r="AP299" s="76">
        <f t="shared" si="6"/>
        <v>99.905729564553084</v>
      </c>
      <c r="AQ299" s="75">
        <f>VLOOKUP(B299,'Household Information'!$B$2:$E$48,4,FALSE)</f>
        <v>65.935833333333335</v>
      </c>
      <c r="AR299" s="79">
        <f>IF(12*(AP299-Variables!$C$45*AQ299*F299)*(G299/5)&lt;0,0,12*(AP299-Variables!$C$45*AQ299*F299)*(G299/5))</f>
        <v>25751852.18499228</v>
      </c>
      <c r="AS299" s="1"/>
      <c r="AT299" s="62">
        <v>0</v>
      </c>
      <c r="AU299" s="1"/>
    </row>
    <row r="300" spans="1:47" ht="14.25" customHeight="1">
      <c r="A300" s="1">
        <v>15</v>
      </c>
      <c r="B300" s="3" t="s">
        <v>207</v>
      </c>
      <c r="C300" s="1">
        <v>2025</v>
      </c>
      <c r="D300" s="13">
        <f>VLOOKUP(B300,Population!$B$1:$O$48,9,FALSE)</f>
        <v>305918.76163715927</v>
      </c>
      <c r="E300" s="13" t="str">
        <f t="shared" si="20"/>
        <v>Medium</v>
      </c>
      <c r="F300" s="54">
        <f>VLOOKUP(B300,'Household Information'!$B$1:$E$48,2,FALSE)</f>
        <v>2.4536973570595619</v>
      </c>
      <c r="G300" s="54">
        <f t="shared" si="0"/>
        <v>124676.64798064715</v>
      </c>
      <c r="H300" s="55">
        <f>IF(D300&gt;Variables!$C$6,H253,H253*(1+Variables!$C$9))</f>
        <v>19.38</v>
      </c>
      <c r="I300" s="1"/>
      <c r="J300" s="13">
        <f>H300*Variables!$C$21</f>
        <v>348.84</v>
      </c>
      <c r="K300" s="13">
        <f t="shared" si="12"/>
        <v>348.84</v>
      </c>
      <c r="L300" s="54">
        <f t="shared" si="1"/>
        <v>0</v>
      </c>
      <c r="M300" s="56"/>
      <c r="N300" s="57"/>
      <c r="O300" s="57"/>
      <c r="P300" s="57"/>
      <c r="Q300" s="57"/>
      <c r="R300" s="57"/>
      <c r="S300" s="58">
        <v>0</v>
      </c>
      <c r="T300" s="59">
        <f>$L300*Variables!$C$22/100</f>
        <v>0</v>
      </c>
      <c r="U300" s="59">
        <f>$L300*Variables!$C$23/100</f>
        <v>0</v>
      </c>
      <c r="V300" s="59">
        <f>$L300*Variables!$C$24/100</f>
        <v>0</v>
      </c>
      <c r="W300" s="59">
        <f>$L300*Variables!$C$25/100</f>
        <v>0</v>
      </c>
      <c r="X300" s="62">
        <f>T300*Variables!$E$26*Variables!$C$18+'Cost Calculations'!U300*Variables!$E$27*Variables!$C$18+'Cost Calculations'!V300*Variables!$E$28*Variables!$C$18+W300*Variables!$E$29*Variables!$C$18</f>
        <v>0</v>
      </c>
      <c r="Y300" s="58">
        <f>J300*Variables!$E$30</f>
        <v>228490.19999999998</v>
      </c>
      <c r="Z300" s="1"/>
      <c r="AA300" s="245">
        <f>D300*(IF(D300&lt;Variables!$C$7,Variables!$C$38,IF(D300&gt;Variables!$C$6,Variables!$C$36,Variables!$C$37)))</f>
        <v>367.10251396459108</v>
      </c>
      <c r="AB300" s="64">
        <f t="shared" si="13"/>
        <v>362</v>
      </c>
      <c r="AC300" s="66">
        <f t="shared" si="2"/>
        <v>5</v>
      </c>
      <c r="AD300" s="62">
        <f>AC300*Variables!$E$41</f>
        <v>2688000</v>
      </c>
      <c r="AE300" s="71">
        <f>ROUND((H300/(3.14*Variables!$C$35^2)),0)</f>
        <v>25</v>
      </c>
      <c r="AF300" s="57">
        <f t="shared" si="14"/>
        <v>25</v>
      </c>
      <c r="AG300" s="57">
        <f t="shared" si="3"/>
        <v>0</v>
      </c>
      <c r="AH300" s="58">
        <f>AG300*Variables!$E$42*Variables!$C$18</f>
        <v>0</v>
      </c>
      <c r="AI300" s="73">
        <f t="shared" si="4"/>
        <v>3</v>
      </c>
      <c r="AJ300" s="66">
        <f t="shared" si="15"/>
        <v>3</v>
      </c>
      <c r="AK300" s="66">
        <f t="shared" si="5"/>
        <v>0</v>
      </c>
      <c r="AL300" s="62">
        <f>IF(AK300*Variables!$E$43*Variables!$C$18&lt;0,0,AK300*Variables!$E$43*Variables!$C$18)</f>
        <v>0</v>
      </c>
      <c r="AM300" s="58">
        <f>AA300*Variables!$E$39*Variables!$C$18</f>
        <v>106111831.35838008</v>
      </c>
      <c r="AN300" s="1"/>
      <c r="AO300" s="76">
        <f t="shared" si="16"/>
        <v>0.67714285714285716</v>
      </c>
      <c r="AP300" s="76">
        <f t="shared" si="6"/>
        <v>99.690218335391336</v>
      </c>
      <c r="AQ300" s="75">
        <f>VLOOKUP(B300,'Household Information'!$B$2:$E$48,4,FALSE)</f>
        <v>65.935833333333335</v>
      </c>
      <c r="AR300" s="79">
        <f>IF(12*(AP300-Variables!$C$45*AQ300*F300)*(G300/5)&lt;0,0,12*(AP300-Variables!$C$45*AQ300*F300)*(G300/5))</f>
        <v>22568138.367331974</v>
      </c>
      <c r="AS300" s="1"/>
      <c r="AT300" s="62">
        <v>0</v>
      </c>
      <c r="AU300" s="1"/>
    </row>
    <row r="301" spans="1:47" ht="14.25" customHeight="1">
      <c r="A301" s="1">
        <v>16</v>
      </c>
      <c r="B301" s="3" t="s">
        <v>208</v>
      </c>
      <c r="C301" s="1">
        <v>2025</v>
      </c>
      <c r="D301" s="13">
        <f>VLOOKUP(B301,Population!$B$1:$O$48,9,FALSE)</f>
        <v>509806.15089651931</v>
      </c>
      <c r="E301" s="13" t="str">
        <f t="shared" si="20"/>
        <v>Medium</v>
      </c>
      <c r="F301" s="54">
        <f>VLOOKUP(B301,'Household Information'!$B$1:$E$48,2,FALSE)</f>
        <v>3.2379076029492619</v>
      </c>
      <c r="G301" s="54">
        <f t="shared" si="0"/>
        <v>157449.25841372379</v>
      </c>
      <c r="H301" s="55">
        <f>IF(D301&gt;Variables!$C$6,H254,H254*(1+Variables!$C$9))</f>
        <v>31.656284999999997</v>
      </c>
      <c r="I301" s="1"/>
      <c r="J301" s="13">
        <f>H301*Variables!$C$21</f>
        <v>569.81313</v>
      </c>
      <c r="K301" s="13">
        <f t="shared" si="12"/>
        <v>582</v>
      </c>
      <c r="L301" s="54">
        <f t="shared" si="1"/>
        <v>0</v>
      </c>
      <c r="M301" s="56"/>
      <c r="N301" s="57"/>
      <c r="O301" s="57"/>
      <c r="P301" s="57"/>
      <c r="Q301" s="57"/>
      <c r="R301" s="57"/>
      <c r="S301" s="58">
        <v>0</v>
      </c>
      <c r="T301" s="59">
        <f>$L301*Variables!$C$22/100</f>
        <v>0</v>
      </c>
      <c r="U301" s="59">
        <f>$L301*Variables!$C$23/100</f>
        <v>0</v>
      </c>
      <c r="V301" s="59">
        <f>$L301*Variables!$C$24/100</f>
        <v>0</v>
      </c>
      <c r="W301" s="59">
        <f>$L301*Variables!$C$25/100</f>
        <v>0</v>
      </c>
      <c r="X301" s="62">
        <f>T301*Variables!$E$26*Variables!$C$18+'Cost Calculations'!U301*Variables!$E$27*Variables!$C$18+'Cost Calculations'!V301*Variables!$E$28*Variables!$C$18+W301*Variables!$E$29*Variables!$C$18</f>
        <v>0</v>
      </c>
      <c r="Y301" s="58">
        <f>J301*Variables!$E$30</f>
        <v>373227.60015000001</v>
      </c>
      <c r="Z301" s="1"/>
      <c r="AA301" s="245">
        <f>D301*(IF(D301&lt;Variables!$C$7,Variables!$C$38,IF(D301&gt;Variables!$C$6,Variables!$C$36,Variables!$C$37)))</f>
        <v>611.7673810758231</v>
      </c>
      <c r="AB301" s="64">
        <f t="shared" si="13"/>
        <v>603</v>
      </c>
      <c r="AC301" s="66">
        <f t="shared" si="2"/>
        <v>9</v>
      </c>
      <c r="AD301" s="62">
        <f>AC301*Variables!$E$41</f>
        <v>4838400</v>
      </c>
      <c r="AE301" s="71">
        <f>ROUND((H301/(3.14*Variables!$C$35^2)),0)</f>
        <v>40</v>
      </c>
      <c r="AF301" s="57">
        <f t="shared" si="14"/>
        <v>40</v>
      </c>
      <c r="AG301" s="57">
        <f t="shared" si="3"/>
        <v>0</v>
      </c>
      <c r="AH301" s="58">
        <f>AG301*Variables!$E$42*Variables!$C$18</f>
        <v>0</v>
      </c>
      <c r="AI301" s="73">
        <f t="shared" si="4"/>
        <v>5</v>
      </c>
      <c r="AJ301" s="66">
        <f t="shared" si="15"/>
        <v>5</v>
      </c>
      <c r="AK301" s="66">
        <f t="shared" si="5"/>
        <v>0</v>
      </c>
      <c r="AL301" s="62">
        <f>IF(AK301*Variables!$E$43*Variables!$C$18&lt;0,0,AK301*Variables!$E$43*Variables!$C$18)</f>
        <v>0</v>
      </c>
      <c r="AM301" s="58">
        <f>AA301*Variables!$E$39*Variables!$C$18</f>
        <v>176832777.49914029</v>
      </c>
      <c r="AN301" s="1"/>
      <c r="AO301" s="76">
        <f t="shared" si="16"/>
        <v>0.67714285714285716</v>
      </c>
      <c r="AP301" s="76">
        <f t="shared" si="6"/>
        <v>131.55156032553859</v>
      </c>
      <c r="AQ301" s="75">
        <f>VLOOKUP(B301,'Household Information'!$B$2:$E$48,4,FALSE)</f>
        <v>65.935833333333335</v>
      </c>
      <c r="AR301" s="79">
        <f>IF(12*(AP301-Variables!$C$45*AQ301*F301)*(G301/5)&lt;0,0,12*(AP301-Variables!$C$45*AQ301*F301)*(G301/5))</f>
        <v>37609251.856202729</v>
      </c>
      <c r="AS301" s="1"/>
      <c r="AT301" s="62">
        <v>0</v>
      </c>
      <c r="AU301" s="1"/>
    </row>
    <row r="302" spans="1:47" ht="14.25" customHeight="1">
      <c r="A302" s="1">
        <v>17</v>
      </c>
      <c r="B302" s="3" t="s">
        <v>209</v>
      </c>
      <c r="C302" s="1">
        <v>2025</v>
      </c>
      <c r="D302" s="13">
        <f>VLOOKUP(B302,Population!$B$1:$O$48,9,FALSE)</f>
        <v>481365.26515849837</v>
      </c>
      <c r="E302" s="13" t="str">
        <f t="shared" si="20"/>
        <v>Medium</v>
      </c>
      <c r="F302" s="54">
        <f>VLOOKUP(B302,'Household Information'!$B$1:$E$48,2,FALSE)</f>
        <v>3.2463324451363733</v>
      </c>
      <c r="G302" s="54">
        <f t="shared" si="0"/>
        <v>148279.7197433293</v>
      </c>
      <c r="H302" s="55">
        <f>IF(D302&gt;Variables!$C$6,H255,H255*(1+Variables!$C$9))</f>
        <v>25.896000000000001</v>
      </c>
      <c r="I302" s="1"/>
      <c r="J302" s="13">
        <f>H302*Variables!$C$21</f>
        <v>466.12800000000004</v>
      </c>
      <c r="K302" s="13">
        <f t="shared" si="12"/>
        <v>961.78647000000012</v>
      </c>
      <c r="L302" s="54">
        <f t="shared" si="1"/>
        <v>0</v>
      </c>
      <c r="M302" s="56"/>
      <c r="N302" s="57"/>
      <c r="O302" s="57"/>
      <c r="P302" s="57"/>
      <c r="Q302" s="57"/>
      <c r="R302" s="57"/>
      <c r="S302" s="58">
        <v>0</v>
      </c>
      <c r="T302" s="59">
        <f>$L302*Variables!$C$22/100</f>
        <v>0</v>
      </c>
      <c r="U302" s="59">
        <f>$L302*Variables!$C$23/100</f>
        <v>0</v>
      </c>
      <c r="V302" s="59">
        <f>$L302*Variables!$C$24/100</f>
        <v>0</v>
      </c>
      <c r="W302" s="59">
        <f>$L302*Variables!$C$25/100</f>
        <v>0</v>
      </c>
      <c r="X302" s="62">
        <f>T302*Variables!$E$26*Variables!$C$18+'Cost Calculations'!U302*Variables!$E$27*Variables!$C$18+'Cost Calculations'!V302*Variables!$E$28*Variables!$C$18+W302*Variables!$E$29*Variables!$C$18</f>
        <v>0</v>
      </c>
      <c r="Y302" s="58">
        <f>J302*Variables!$E$30</f>
        <v>305313.84000000003</v>
      </c>
      <c r="Z302" s="1"/>
      <c r="AA302" s="245">
        <f>D302*(IF(D302&lt;Variables!$C$7,Variables!$C$38,IF(D302&gt;Variables!$C$6,Variables!$C$36,Variables!$C$37)))</f>
        <v>577.63831819019799</v>
      </c>
      <c r="AB302" s="64">
        <f t="shared" si="13"/>
        <v>569</v>
      </c>
      <c r="AC302" s="66">
        <f t="shared" si="2"/>
        <v>9</v>
      </c>
      <c r="AD302" s="62">
        <f>AC302*Variables!$E$41</f>
        <v>4838400</v>
      </c>
      <c r="AE302" s="71">
        <f>ROUND((H302/(3.14*Variables!$C$35^2)),0)</f>
        <v>33</v>
      </c>
      <c r="AF302" s="57">
        <f t="shared" si="14"/>
        <v>33</v>
      </c>
      <c r="AG302" s="57">
        <f t="shared" si="3"/>
        <v>0</v>
      </c>
      <c r="AH302" s="58">
        <f>AG302*Variables!$E$42*Variables!$C$18</f>
        <v>0</v>
      </c>
      <c r="AI302" s="73">
        <f t="shared" si="4"/>
        <v>5</v>
      </c>
      <c r="AJ302" s="66">
        <f t="shared" si="15"/>
        <v>5</v>
      </c>
      <c r="AK302" s="66">
        <f t="shared" si="5"/>
        <v>0</v>
      </c>
      <c r="AL302" s="62">
        <f>IF(AK302*Variables!$E$43*Variables!$C$18&lt;0,0,AK302*Variables!$E$43*Variables!$C$18)</f>
        <v>0</v>
      </c>
      <c r="AM302" s="58">
        <f>AA302*Variables!$E$39*Variables!$C$18</f>
        <v>166967692.87678787</v>
      </c>
      <c r="AN302" s="1"/>
      <c r="AO302" s="76">
        <f t="shared" si="16"/>
        <v>0.67714285714285716</v>
      </c>
      <c r="AP302" s="76">
        <f t="shared" si="6"/>
        <v>131.89384962811206</v>
      </c>
      <c r="AQ302" s="75">
        <f>VLOOKUP(B302,'Household Information'!$B$2:$E$48,4,FALSE)</f>
        <v>47.15</v>
      </c>
      <c r="AR302" s="79">
        <f>IF(12*(AP302-Variables!$C$45*AQ302*F302)*(G302/5)&lt;0,0,12*(AP302-Variables!$C$45*AQ302*F302)*(G302/5))</f>
        <v>38766545.330140308</v>
      </c>
      <c r="AS302" s="1"/>
      <c r="AT302" s="62">
        <v>0</v>
      </c>
      <c r="AU302" s="1"/>
    </row>
    <row r="303" spans="1:47" ht="14.25" customHeight="1">
      <c r="A303" s="1">
        <v>18</v>
      </c>
      <c r="B303" s="3" t="s">
        <v>210</v>
      </c>
      <c r="C303" s="1">
        <v>2025</v>
      </c>
      <c r="D303" s="13">
        <f>VLOOKUP(B303,Population!$B$1:$O$48,9,FALSE)</f>
        <v>304787.82967091241</v>
      </c>
      <c r="E303" s="13" t="str">
        <f t="shared" si="20"/>
        <v>Medium</v>
      </c>
      <c r="F303" s="54">
        <f>VLOOKUP(B303,'Household Information'!$B$1:$E$48,2,FALSE)</f>
        <v>3.2199371541131225</v>
      </c>
      <c r="G303" s="54">
        <f t="shared" si="0"/>
        <v>94656.45293156695</v>
      </c>
      <c r="H303" s="55">
        <f>IF(D303&gt;Variables!$C$6,H256,H256*(1+Variables!$C$9))</f>
        <v>16.261485999999998</v>
      </c>
      <c r="I303" s="1"/>
      <c r="J303" s="13">
        <f>H303*Variables!$C$21</f>
        <v>292.70674799999995</v>
      </c>
      <c r="K303" s="13">
        <f t="shared" si="12"/>
        <v>512</v>
      </c>
      <c r="L303" s="54">
        <f t="shared" si="1"/>
        <v>0</v>
      </c>
      <c r="M303" s="56"/>
      <c r="N303" s="57"/>
      <c r="O303" s="57"/>
      <c r="P303" s="57"/>
      <c r="Q303" s="57"/>
      <c r="R303" s="57"/>
      <c r="S303" s="58">
        <v>0</v>
      </c>
      <c r="T303" s="59">
        <f>$L303*Variables!$C$22/100</f>
        <v>0</v>
      </c>
      <c r="U303" s="59">
        <f>$L303*Variables!$C$23/100</f>
        <v>0</v>
      </c>
      <c r="V303" s="59">
        <f>$L303*Variables!$C$24/100</f>
        <v>0</v>
      </c>
      <c r="W303" s="59">
        <f>$L303*Variables!$C$25/100</f>
        <v>0</v>
      </c>
      <c r="X303" s="62">
        <f>T303*Variables!$E$26*Variables!$C$18+'Cost Calculations'!U303*Variables!$E$27*Variables!$C$18+'Cost Calculations'!V303*Variables!$E$28*Variables!$C$18+W303*Variables!$E$29*Variables!$C$18</f>
        <v>0</v>
      </c>
      <c r="Y303" s="58">
        <f>J303*Variables!$E$30</f>
        <v>191722.91993999996</v>
      </c>
      <c r="Z303" s="1"/>
      <c r="AA303" s="245">
        <f>D303*(IF(D303&lt;Variables!$C$7,Variables!$C$38,IF(D303&gt;Variables!$C$6,Variables!$C$36,Variables!$C$37)))</f>
        <v>365.74539560509487</v>
      </c>
      <c r="AB303" s="64">
        <f t="shared" si="13"/>
        <v>360</v>
      </c>
      <c r="AC303" s="66">
        <f t="shared" si="2"/>
        <v>6</v>
      </c>
      <c r="AD303" s="62">
        <f>AC303*Variables!$E$41</f>
        <v>3225600</v>
      </c>
      <c r="AE303" s="71">
        <f>ROUND((H303/(3.14*Variables!$C$35^2)),0)</f>
        <v>21</v>
      </c>
      <c r="AF303" s="57">
        <f t="shared" si="14"/>
        <v>21</v>
      </c>
      <c r="AG303" s="57">
        <f t="shared" si="3"/>
        <v>0</v>
      </c>
      <c r="AH303" s="58">
        <f>AG303*Variables!$E$42*Variables!$C$18</f>
        <v>0</v>
      </c>
      <c r="AI303" s="73">
        <f t="shared" si="4"/>
        <v>3</v>
      </c>
      <c r="AJ303" s="66">
        <f t="shared" si="15"/>
        <v>3</v>
      </c>
      <c r="AK303" s="66">
        <f t="shared" si="5"/>
        <v>0</v>
      </c>
      <c r="AL303" s="62">
        <f>IF(AK303*Variables!$E$43*Variables!$C$18&lt;0,0,AK303*Variables!$E$43*Variables!$C$18)</f>
        <v>0</v>
      </c>
      <c r="AM303" s="58">
        <f>AA303*Variables!$E$39*Variables!$C$18</f>
        <v>105719553.15537623</v>
      </c>
      <c r="AN303" s="1"/>
      <c r="AO303" s="76">
        <f t="shared" si="16"/>
        <v>0.67714285714285716</v>
      </c>
      <c r="AP303" s="76">
        <f t="shared" si="6"/>
        <v>130.82144666139601</v>
      </c>
      <c r="AQ303" s="75">
        <f>VLOOKUP(B303,'Household Information'!$B$2:$E$48,4,FALSE)</f>
        <v>65.935833333333335</v>
      </c>
      <c r="AR303" s="79">
        <f>IF(12*(AP303-Variables!$C$45*AQ303*F303)*(G303/5)&lt;0,0,12*(AP303-Variables!$C$45*AQ303*F303)*(G303/5))</f>
        <v>22484707.625909943</v>
      </c>
      <c r="AS303" s="1"/>
      <c r="AT303" s="62">
        <v>0</v>
      </c>
      <c r="AU303" s="1"/>
    </row>
    <row r="304" spans="1:47" ht="14.25" customHeight="1">
      <c r="A304" s="1">
        <v>19</v>
      </c>
      <c r="B304" s="3" t="s">
        <v>211</v>
      </c>
      <c r="C304" s="1">
        <v>2025</v>
      </c>
      <c r="D304" s="13">
        <f>VLOOKUP(B304,Population!$B$1:$O$48,9,FALSE)</f>
        <v>307726.69900027628</v>
      </c>
      <c r="E304" s="13" t="str">
        <f t="shared" si="20"/>
        <v>Medium</v>
      </c>
      <c r="F304" s="54">
        <f>VLOOKUP(B304,'Household Information'!$B$1:$E$48,2,FALSE)</f>
        <v>2.5344143617118515</v>
      </c>
      <c r="G304" s="54">
        <f t="shared" si="0"/>
        <v>121419.25316128045</v>
      </c>
      <c r="H304" s="55">
        <f>IF(D304&gt;Variables!$C$6,H257,H257*(1+Variables!$C$9))</f>
        <v>33.110705594037988</v>
      </c>
      <c r="I304" s="1"/>
      <c r="J304" s="13">
        <f>H304*Variables!$C$21</f>
        <v>595.9927006926838</v>
      </c>
      <c r="K304" s="13">
        <f t="shared" si="12"/>
        <v>595.9927006926838</v>
      </c>
      <c r="L304" s="54">
        <f t="shared" si="1"/>
        <v>0</v>
      </c>
      <c r="M304" s="56"/>
      <c r="N304" s="57"/>
      <c r="O304" s="57"/>
      <c r="P304" s="57"/>
      <c r="Q304" s="57"/>
      <c r="R304" s="57"/>
      <c r="S304" s="58">
        <v>0</v>
      </c>
      <c r="T304" s="59">
        <f>$L304*Variables!$C$22/100</f>
        <v>0</v>
      </c>
      <c r="U304" s="59">
        <f>$L304*Variables!$C$23/100</f>
        <v>0</v>
      </c>
      <c r="V304" s="59">
        <f>$L304*Variables!$C$24/100</f>
        <v>0</v>
      </c>
      <c r="W304" s="59">
        <f>$L304*Variables!$C$25/100</f>
        <v>0</v>
      </c>
      <c r="X304" s="62">
        <f>T304*Variables!$E$26*Variables!$C$18+'Cost Calculations'!U304*Variables!$E$27*Variables!$C$18+'Cost Calculations'!V304*Variables!$E$28*Variables!$C$18+W304*Variables!$E$29*Variables!$C$18</f>
        <v>0</v>
      </c>
      <c r="Y304" s="58">
        <f>J304*Variables!$E$30</f>
        <v>390375.2189537079</v>
      </c>
      <c r="Z304" s="1"/>
      <c r="AA304" s="245">
        <f>D304*(IF(D304&lt;Variables!$C$7,Variables!$C$38,IF(D304&gt;Variables!$C$6,Variables!$C$36,Variables!$C$37)))</f>
        <v>369.27203880033147</v>
      </c>
      <c r="AB304" s="64">
        <f t="shared" si="13"/>
        <v>364</v>
      </c>
      <c r="AC304" s="66">
        <f t="shared" si="2"/>
        <v>5</v>
      </c>
      <c r="AD304" s="62">
        <f>AC304*Variables!$E$41</f>
        <v>2688000</v>
      </c>
      <c r="AE304" s="71">
        <f>ROUND((H304/(3.14*Variables!$C$35^2)),0)</f>
        <v>42</v>
      </c>
      <c r="AF304" s="57">
        <f t="shared" si="14"/>
        <v>42</v>
      </c>
      <c r="AG304" s="57">
        <f t="shared" si="3"/>
        <v>0</v>
      </c>
      <c r="AH304" s="58">
        <f>AG304*Variables!$E$42*Variables!$C$18</f>
        <v>0</v>
      </c>
      <c r="AI304" s="73">
        <f t="shared" si="4"/>
        <v>3</v>
      </c>
      <c r="AJ304" s="66">
        <f t="shared" si="15"/>
        <v>3</v>
      </c>
      <c r="AK304" s="66">
        <f t="shared" si="5"/>
        <v>0</v>
      </c>
      <c r="AL304" s="62">
        <f>IF(AK304*Variables!$E$43*Variables!$C$18&lt;0,0,AK304*Variables!$E$43*Variables!$C$18)</f>
        <v>0</v>
      </c>
      <c r="AM304" s="58">
        <f>AA304*Variables!$E$39*Variables!$C$18</f>
        <v>106738937.5337415</v>
      </c>
      <c r="AN304" s="1"/>
      <c r="AO304" s="76">
        <f t="shared" si="16"/>
        <v>0.67714285714285716</v>
      </c>
      <c r="AP304" s="76">
        <f t="shared" si="6"/>
        <v>102.96963492440722</v>
      </c>
      <c r="AQ304" s="75">
        <f>VLOOKUP(B304,'Household Information'!$B$2:$E$48,4,FALSE)</f>
        <v>65.935833333333335</v>
      </c>
      <c r="AR304" s="79">
        <f>IF(12*(AP304-Variables!$C$45*AQ304*F304)*(G304/5)&lt;0,0,12*(AP304-Variables!$C$45*AQ304*F304)*(G304/5))</f>
        <v>22701512.928447284</v>
      </c>
      <c r="AS304" s="1"/>
      <c r="AT304" s="62">
        <v>0</v>
      </c>
      <c r="AU304" s="1"/>
    </row>
    <row r="305" spans="1:47" ht="14.25" customHeight="1">
      <c r="A305" s="1">
        <v>20</v>
      </c>
      <c r="B305" s="3" t="s">
        <v>212</v>
      </c>
      <c r="C305" s="1">
        <v>2025</v>
      </c>
      <c r="D305" s="13">
        <f>VLOOKUP(B305,Population!$B$1:$O$48,9,FALSE)</f>
        <v>186443.95676328277</v>
      </c>
      <c r="E305" s="13" t="str">
        <f t="shared" si="20"/>
        <v>Medium</v>
      </c>
      <c r="F305" s="54">
        <f>VLOOKUP(B305,'Household Information'!$B$1:$E$48,2,FALSE)</f>
        <v>2.6024941905499612</v>
      </c>
      <c r="G305" s="54">
        <f t="shared" si="0"/>
        <v>71640.489127809837</v>
      </c>
      <c r="H305" s="55">
        <f>IF(D305&gt;Variables!$C$6,H258,H258*(1+Variables!$C$9))</f>
        <v>15</v>
      </c>
      <c r="I305" s="1"/>
      <c r="J305" s="13">
        <f>H305*Variables!$C$21</f>
        <v>270</v>
      </c>
      <c r="K305" s="13">
        <f t="shared" si="12"/>
        <v>270</v>
      </c>
      <c r="L305" s="54">
        <f t="shared" si="1"/>
        <v>0</v>
      </c>
      <c r="M305" s="56"/>
      <c r="N305" s="57"/>
      <c r="O305" s="57"/>
      <c r="P305" s="57"/>
      <c r="Q305" s="57"/>
      <c r="R305" s="57"/>
      <c r="S305" s="58">
        <v>0</v>
      </c>
      <c r="T305" s="59">
        <f>$L305*Variables!$C$22/100</f>
        <v>0</v>
      </c>
      <c r="U305" s="59">
        <f>$L305*Variables!$C$23/100</f>
        <v>0</v>
      </c>
      <c r="V305" s="59">
        <f>$L305*Variables!$C$24/100</f>
        <v>0</v>
      </c>
      <c r="W305" s="59">
        <f>$L305*Variables!$C$25/100</f>
        <v>0</v>
      </c>
      <c r="X305" s="62">
        <f>T305*Variables!$E$26*Variables!$C$18+'Cost Calculations'!U305*Variables!$E$27*Variables!$C$18+'Cost Calculations'!V305*Variables!$E$28*Variables!$C$18+W305*Variables!$E$29*Variables!$C$18</f>
        <v>0</v>
      </c>
      <c r="Y305" s="58">
        <f>J305*Variables!$E$30</f>
        <v>176850</v>
      </c>
      <c r="Z305" s="1"/>
      <c r="AA305" s="245">
        <f>D305*(IF(D305&lt;Variables!$C$7,Variables!$C$38,IF(D305&gt;Variables!$C$6,Variables!$C$36,Variables!$C$37)))</f>
        <v>223.7327481159393</v>
      </c>
      <c r="AB305" s="64">
        <f t="shared" si="13"/>
        <v>220</v>
      </c>
      <c r="AC305" s="66">
        <f t="shared" si="2"/>
        <v>4</v>
      </c>
      <c r="AD305" s="62">
        <f>AC305*Variables!$E$41</f>
        <v>2150400</v>
      </c>
      <c r="AE305" s="71">
        <f>ROUND((H305/(3.14*Variables!$C$35^2)),0)</f>
        <v>19</v>
      </c>
      <c r="AF305" s="57">
        <f t="shared" si="14"/>
        <v>19</v>
      </c>
      <c r="AG305" s="57">
        <f t="shared" si="3"/>
        <v>0</v>
      </c>
      <c r="AH305" s="58">
        <f>AG305*Variables!$E$42*Variables!$C$18</f>
        <v>0</v>
      </c>
      <c r="AI305" s="73">
        <f t="shared" si="4"/>
        <v>2</v>
      </c>
      <c r="AJ305" s="66">
        <f t="shared" si="15"/>
        <v>2</v>
      </c>
      <c r="AK305" s="66">
        <f t="shared" si="5"/>
        <v>0</v>
      </c>
      <c r="AL305" s="62">
        <f>IF(AK305*Variables!$E$43*Variables!$C$18&lt;0,0,AK305*Variables!$E$43*Variables!$C$18)</f>
        <v>0</v>
      </c>
      <c r="AM305" s="58">
        <f>AA305*Variables!$E$39*Variables!$C$18</f>
        <v>64670468.695606343</v>
      </c>
      <c r="AN305" s="1"/>
      <c r="AO305" s="76">
        <f t="shared" si="16"/>
        <v>0.67714285714285716</v>
      </c>
      <c r="AP305" s="76">
        <f t="shared" si="6"/>
        <v>105.73562111320128</v>
      </c>
      <c r="AQ305" s="75">
        <f>VLOOKUP(B305,'Household Information'!$B$2:$E$48,4,FALSE)</f>
        <v>65.935833333333335</v>
      </c>
      <c r="AR305" s="79">
        <f>IF(12*(AP305-Variables!$C$45*AQ305*F305)*(G305/5)&lt;0,0,12*(AP305-Variables!$C$45*AQ305*F305)*(G305/5))</f>
        <v>13754282.31818367</v>
      </c>
      <c r="AS305" s="1"/>
      <c r="AT305" s="62">
        <v>0</v>
      </c>
      <c r="AU305" s="1"/>
    </row>
    <row r="306" spans="1:47" ht="14.25" customHeight="1">
      <c r="A306" s="1">
        <v>21</v>
      </c>
      <c r="B306" s="3" t="s">
        <v>213</v>
      </c>
      <c r="C306" s="1">
        <v>2025</v>
      </c>
      <c r="D306" s="13">
        <f>VLOOKUP(B306,Population!$B$1:$O$48,9,FALSE)</f>
        <v>197078.49071870762</v>
      </c>
      <c r="E306" s="13" t="str">
        <f t="shared" si="20"/>
        <v>Medium</v>
      </c>
      <c r="F306" s="54">
        <f>VLOOKUP(B306,'Household Information'!$B$1:$E$48,2,FALSE)</f>
        <v>3.3084232295567606</v>
      </c>
      <c r="G306" s="54">
        <f t="shared" si="0"/>
        <v>59568.706010177186</v>
      </c>
      <c r="H306" s="55">
        <f>IF(D306&gt;Variables!$C$6,H259,H259*(1+Variables!$C$9))</f>
        <v>35.084811999999992</v>
      </c>
      <c r="I306" s="1"/>
      <c r="J306" s="13">
        <f>H306*Variables!$C$21</f>
        <v>631.52661599999988</v>
      </c>
      <c r="K306" s="13">
        <f t="shared" si="12"/>
        <v>631.52661599999988</v>
      </c>
      <c r="L306" s="54">
        <f t="shared" si="1"/>
        <v>0</v>
      </c>
      <c r="M306" s="56"/>
      <c r="N306" s="57"/>
      <c r="O306" s="57"/>
      <c r="P306" s="57"/>
      <c r="Q306" s="57"/>
      <c r="R306" s="57"/>
      <c r="S306" s="58">
        <v>0</v>
      </c>
      <c r="T306" s="59">
        <f>$L306*Variables!$C$22/100</f>
        <v>0</v>
      </c>
      <c r="U306" s="59">
        <f>$L306*Variables!$C$23/100</f>
        <v>0</v>
      </c>
      <c r="V306" s="59">
        <f>$L306*Variables!$C$24/100</f>
        <v>0</v>
      </c>
      <c r="W306" s="59">
        <f>$L306*Variables!$C$25/100</f>
        <v>0</v>
      </c>
      <c r="X306" s="62">
        <f>T306*Variables!$E$26*Variables!$C$18+'Cost Calculations'!U306*Variables!$E$27*Variables!$C$18+'Cost Calculations'!V306*Variables!$E$28*Variables!$C$18+W306*Variables!$E$29*Variables!$C$18</f>
        <v>0</v>
      </c>
      <c r="Y306" s="58">
        <f>J306*Variables!$E$30</f>
        <v>413649.93347999989</v>
      </c>
      <c r="Z306" s="1"/>
      <c r="AA306" s="245">
        <f>D306*(IF(D306&lt;Variables!$C$7,Variables!$C$38,IF(D306&gt;Variables!$C$6,Variables!$C$36,Variables!$C$37)))</f>
        <v>236.49418886244911</v>
      </c>
      <c r="AB306" s="64">
        <f t="shared" si="13"/>
        <v>233</v>
      </c>
      <c r="AC306" s="66">
        <f t="shared" si="2"/>
        <v>3</v>
      </c>
      <c r="AD306" s="62">
        <f>AC306*Variables!$E$41</f>
        <v>1612800</v>
      </c>
      <c r="AE306" s="71">
        <f>ROUND((H306/(3.14*Variables!$C$35^2)),0)</f>
        <v>45</v>
      </c>
      <c r="AF306" s="57">
        <f t="shared" si="14"/>
        <v>45</v>
      </c>
      <c r="AG306" s="57">
        <f t="shared" si="3"/>
        <v>0</v>
      </c>
      <c r="AH306" s="58">
        <f>AG306*Variables!$E$42*Variables!$C$18</f>
        <v>0</v>
      </c>
      <c r="AI306" s="73">
        <f t="shared" si="4"/>
        <v>2</v>
      </c>
      <c r="AJ306" s="66">
        <f t="shared" si="15"/>
        <v>2</v>
      </c>
      <c r="AK306" s="66">
        <f t="shared" si="5"/>
        <v>0</v>
      </c>
      <c r="AL306" s="62">
        <f>IF(AK306*Variables!$E$43*Variables!$C$18&lt;0,0,AK306*Variables!$E$43*Variables!$C$18)</f>
        <v>0</v>
      </c>
      <c r="AM306" s="58">
        <f>AA306*Variables!$E$39*Variables!$C$18</f>
        <v>68359192.681065679</v>
      </c>
      <c r="AN306" s="1"/>
      <c r="AO306" s="76">
        <f t="shared" si="16"/>
        <v>0.67714285714285716</v>
      </c>
      <c r="AP306" s="76">
        <f t="shared" si="6"/>
        <v>134.4165094979918</v>
      </c>
      <c r="AQ306" s="75">
        <f>VLOOKUP(B306,'Household Information'!$B$2:$E$48,4,FALSE)</f>
        <v>65.935833333333335</v>
      </c>
      <c r="AR306" s="79">
        <f>IF(12*(AP306-Variables!$C$45*AQ306*F306)*(G306/5)&lt;0,0,12*(AP306-Variables!$C$45*AQ306*F306)*(G306/5))</f>
        <v>14538809.662939258</v>
      </c>
      <c r="AS306" s="1"/>
      <c r="AT306" s="62">
        <v>0</v>
      </c>
      <c r="AU306" s="1"/>
    </row>
    <row r="307" spans="1:47" ht="14.25" customHeight="1">
      <c r="A307" s="1">
        <v>22</v>
      </c>
      <c r="B307" s="3" t="s">
        <v>214</v>
      </c>
      <c r="C307" s="1">
        <v>2025</v>
      </c>
      <c r="D307" s="13">
        <f>VLOOKUP(B307,Population!$B$1:$O$48,9,FALSE)</f>
        <v>174011.47404895705</v>
      </c>
      <c r="E307" s="13" t="str">
        <f t="shared" si="20"/>
        <v>Medium</v>
      </c>
      <c r="F307" s="54">
        <f>VLOOKUP(B307,'Household Information'!$B$1:$E$48,2,FALSE)</f>
        <v>2.4748082204754236</v>
      </c>
      <c r="G307" s="54">
        <f t="shared" si="0"/>
        <v>70313.114611979327</v>
      </c>
      <c r="H307" s="55">
        <f>IF(D307&gt;Variables!$C$6,H260,H260*(1+Variables!$C$9))</f>
        <v>31.3</v>
      </c>
      <c r="I307" s="1"/>
      <c r="J307" s="13">
        <f>H307*Variables!$C$21</f>
        <v>563.4</v>
      </c>
      <c r="K307" s="13">
        <f t="shared" si="12"/>
        <v>563.4</v>
      </c>
      <c r="L307" s="54">
        <f t="shared" si="1"/>
        <v>0</v>
      </c>
      <c r="M307" s="56"/>
      <c r="N307" s="57"/>
      <c r="O307" s="57"/>
      <c r="P307" s="57"/>
      <c r="Q307" s="57"/>
      <c r="R307" s="57"/>
      <c r="S307" s="58">
        <v>0</v>
      </c>
      <c r="T307" s="59">
        <f>$L307*Variables!$C$22/100</f>
        <v>0</v>
      </c>
      <c r="U307" s="59">
        <f>$L307*Variables!$C$23/100</f>
        <v>0</v>
      </c>
      <c r="V307" s="59">
        <f>$L307*Variables!$C$24/100</f>
        <v>0</v>
      </c>
      <c r="W307" s="59">
        <f>$L307*Variables!$C$25/100</f>
        <v>0</v>
      </c>
      <c r="X307" s="62">
        <f>T307*Variables!$E$26*Variables!$C$18+'Cost Calculations'!U307*Variables!$E$27*Variables!$C$18+'Cost Calculations'!V307*Variables!$E$28*Variables!$C$18+W307*Variables!$E$29*Variables!$C$18</f>
        <v>0</v>
      </c>
      <c r="Y307" s="58">
        <f>J307*Variables!$E$30</f>
        <v>369027</v>
      </c>
      <c r="Z307" s="1"/>
      <c r="AA307" s="245">
        <f>D307*(IF(D307&lt;Variables!$C$7,Variables!$C$38,IF(D307&gt;Variables!$C$6,Variables!$C$36,Variables!$C$37)))</f>
        <v>208.81376885874846</v>
      </c>
      <c r="AB307" s="64">
        <f t="shared" si="13"/>
        <v>206</v>
      </c>
      <c r="AC307" s="66">
        <f t="shared" si="2"/>
        <v>3</v>
      </c>
      <c r="AD307" s="62">
        <f>AC307*Variables!$E$41</f>
        <v>1612800</v>
      </c>
      <c r="AE307" s="71">
        <f>ROUND((H307/(3.14*Variables!$C$35^2)),0)</f>
        <v>40</v>
      </c>
      <c r="AF307" s="57">
        <f t="shared" si="14"/>
        <v>40</v>
      </c>
      <c r="AG307" s="57">
        <f t="shared" si="3"/>
        <v>0</v>
      </c>
      <c r="AH307" s="58">
        <f>AG307*Variables!$E$42*Variables!$C$18</f>
        <v>0</v>
      </c>
      <c r="AI307" s="73">
        <f t="shared" si="4"/>
        <v>2</v>
      </c>
      <c r="AJ307" s="66">
        <f t="shared" si="15"/>
        <v>2</v>
      </c>
      <c r="AK307" s="66">
        <f t="shared" si="5"/>
        <v>0</v>
      </c>
      <c r="AL307" s="62">
        <f>IF(AK307*Variables!$E$43*Variables!$C$18&lt;0,0,AK307*Variables!$E$43*Variables!$C$18)</f>
        <v>0</v>
      </c>
      <c r="AM307" s="58">
        <f>AA307*Variables!$E$39*Variables!$C$18</f>
        <v>60358103.209787577</v>
      </c>
      <c r="AN307" s="1"/>
      <c r="AO307" s="76">
        <f t="shared" si="16"/>
        <v>0.67714285714285716</v>
      </c>
      <c r="AP307" s="76">
        <f t="shared" si="6"/>
        <v>100.5479225576015</v>
      </c>
      <c r="AQ307" s="75">
        <f>VLOOKUP(B307,'Household Information'!$B$2:$E$48,4,FALSE)</f>
        <v>65.935833333333335</v>
      </c>
      <c r="AR307" s="79">
        <f>IF(12*(AP307-Variables!$C$45*AQ307*F307)*(G307/5)&lt;0,0,12*(AP307-Variables!$C$45*AQ307*F307)*(G307/5))</f>
        <v>12837117.288341042</v>
      </c>
      <c r="AS307" s="1"/>
      <c r="AT307" s="62">
        <v>0</v>
      </c>
      <c r="AU307" s="1"/>
    </row>
    <row r="308" spans="1:47" ht="14.25" customHeight="1">
      <c r="A308" s="1">
        <v>23</v>
      </c>
      <c r="B308" s="3" t="s">
        <v>215</v>
      </c>
      <c r="C308" s="1">
        <v>2025</v>
      </c>
      <c r="D308" s="13">
        <f>VLOOKUP(B308,Population!$B$1:$O$48,9,FALSE)</f>
        <v>133934.97424407379</v>
      </c>
      <c r="E308" s="13" t="str">
        <f t="shared" si="20"/>
        <v>Medium</v>
      </c>
      <c r="F308" s="54">
        <f>VLOOKUP(B308,'Household Information'!$B$1:$E$48,2,FALSE)</f>
        <v>2.7568018275271275</v>
      </c>
      <c r="G308" s="54">
        <f t="shared" si="0"/>
        <v>48583.461062275375</v>
      </c>
      <c r="H308" s="55">
        <f>IF(D308&gt;Variables!$C$6,H261,H261*(1+Variables!$C$9))</f>
        <v>14.881089649499996</v>
      </c>
      <c r="I308" s="1"/>
      <c r="J308" s="13">
        <f>H308*Variables!$C$21</f>
        <v>267.85961369099994</v>
      </c>
      <c r="K308" s="13">
        <f t="shared" si="12"/>
        <v>267.85961369099994</v>
      </c>
      <c r="L308" s="54">
        <f t="shared" si="1"/>
        <v>0</v>
      </c>
      <c r="M308" s="56"/>
      <c r="N308" s="57"/>
      <c r="O308" s="57"/>
      <c r="P308" s="57"/>
      <c r="Q308" s="57"/>
      <c r="R308" s="57"/>
      <c r="S308" s="58">
        <v>0</v>
      </c>
      <c r="T308" s="59">
        <f>$L308*Variables!$C$22/100</f>
        <v>0</v>
      </c>
      <c r="U308" s="59">
        <f>$L308*Variables!$C$23/100</f>
        <v>0</v>
      </c>
      <c r="V308" s="59">
        <f>$L308*Variables!$C$24/100</f>
        <v>0</v>
      </c>
      <c r="W308" s="59">
        <f>$L308*Variables!$C$25/100</f>
        <v>0</v>
      </c>
      <c r="X308" s="62">
        <f>T308*Variables!$E$26*Variables!$C$18+'Cost Calculations'!U308*Variables!$E$27*Variables!$C$18+'Cost Calculations'!V308*Variables!$E$28*Variables!$C$18+W308*Variables!$E$29*Variables!$C$18</f>
        <v>0</v>
      </c>
      <c r="Y308" s="58">
        <f>J308*Variables!$E$30</f>
        <v>175448.04696760495</v>
      </c>
      <c r="Z308" s="1"/>
      <c r="AA308" s="245">
        <f>D308*(IF(D308&lt;Variables!$C$7,Variables!$C$38,IF(D308&gt;Variables!$C$6,Variables!$C$36,Variables!$C$37)))</f>
        <v>160.72196909288854</v>
      </c>
      <c r="AB308" s="64">
        <f t="shared" si="13"/>
        <v>158</v>
      </c>
      <c r="AC308" s="66">
        <f t="shared" si="2"/>
        <v>3</v>
      </c>
      <c r="AD308" s="62">
        <f>AC308*Variables!$E$41</f>
        <v>1612800</v>
      </c>
      <c r="AE308" s="71">
        <f>ROUND((H308/(3.14*Variables!$C$35^2)),0)</f>
        <v>19</v>
      </c>
      <c r="AF308" s="57">
        <f t="shared" si="14"/>
        <v>19</v>
      </c>
      <c r="AG308" s="57">
        <f t="shared" si="3"/>
        <v>0</v>
      </c>
      <c r="AH308" s="58">
        <f>AG308*Variables!$E$42*Variables!$C$18</f>
        <v>0</v>
      </c>
      <c r="AI308" s="73">
        <f t="shared" si="4"/>
        <v>1</v>
      </c>
      <c r="AJ308" s="66">
        <f t="shared" si="15"/>
        <v>1</v>
      </c>
      <c r="AK308" s="66">
        <f t="shared" si="5"/>
        <v>0</v>
      </c>
      <c r="AL308" s="62">
        <f>IF(AK308*Variables!$E$43*Variables!$C$18&lt;0,0,AK308*Variables!$E$43*Variables!$C$18)</f>
        <v>0</v>
      </c>
      <c r="AM308" s="58">
        <f>AA308*Variables!$E$39*Variables!$C$18</f>
        <v>46457057.173997879</v>
      </c>
      <c r="AN308" s="1"/>
      <c r="AO308" s="76">
        <f t="shared" si="16"/>
        <v>0.67714285714285716</v>
      </c>
      <c r="AP308" s="76">
        <f t="shared" si="6"/>
        <v>112.00491996410214</v>
      </c>
      <c r="AQ308" s="75">
        <f>VLOOKUP(B308,'Household Information'!$B$2:$E$48,4,FALSE)</f>
        <v>65.935833333333335</v>
      </c>
      <c r="AR308" s="79">
        <f>IF(12*(AP308-Variables!$C$45*AQ308*F308)*(G308/5)&lt;0,0,12*(AP308-Variables!$C$45*AQ308*F308)*(G308/5))</f>
        <v>9880606.9127279874</v>
      </c>
      <c r="AS308" s="1"/>
      <c r="AT308" s="62">
        <v>0</v>
      </c>
      <c r="AU308" s="1"/>
    </row>
    <row r="309" spans="1:47" ht="14.25" customHeight="1">
      <c r="A309" s="1">
        <v>24</v>
      </c>
      <c r="B309" s="3" t="s">
        <v>216</v>
      </c>
      <c r="C309" s="1">
        <v>2025</v>
      </c>
      <c r="D309" s="13">
        <f>VLOOKUP(B309,Population!$B$1:$O$48,9,FALSE)</f>
        <v>84054.104478616238</v>
      </c>
      <c r="E309" s="13" t="str">
        <f t="shared" si="20"/>
        <v>Small</v>
      </c>
      <c r="F309" s="54">
        <f>VLOOKUP(B309,'Household Information'!$B$1:$E$48,2,FALSE)</f>
        <v>2.845682723378673</v>
      </c>
      <c r="G309" s="54">
        <f t="shared" si="0"/>
        <v>29537.412511967948</v>
      </c>
      <c r="H309" s="55">
        <f>IF(D309&gt;Variables!$C$6,H262,H262*(1+Variables!$C$9))</f>
        <v>10.326598020296977</v>
      </c>
      <c r="I309" s="1"/>
      <c r="J309" s="13">
        <f>H309*Variables!$C$21</f>
        <v>185.8787643653456</v>
      </c>
      <c r="K309" s="13">
        <f t="shared" si="12"/>
        <v>179.94072058600736</v>
      </c>
      <c r="L309" s="54">
        <f t="shared" si="1"/>
        <v>5.9380437793382441</v>
      </c>
      <c r="M309" s="56"/>
      <c r="N309" s="57"/>
      <c r="O309" s="57"/>
      <c r="P309" s="57"/>
      <c r="Q309" s="57"/>
      <c r="R309" s="57"/>
      <c r="S309" s="58">
        <v>0</v>
      </c>
      <c r="T309" s="59">
        <f>$L309*Variables!$C$22/100</f>
        <v>0.32242771652515351</v>
      </c>
      <c r="U309" s="59">
        <f>$L309*Variables!$C$23/100</f>
        <v>0.56424850391901871</v>
      </c>
      <c r="V309" s="59">
        <f>$L309*Variables!$C$24/100</f>
        <v>0.59111748029611488</v>
      </c>
      <c r="W309" s="59">
        <f>$L309*Variables!$C$25/100</f>
        <v>4.2990362203353802</v>
      </c>
      <c r="X309" s="62">
        <f>T309*Variables!$E$26*Variables!$C$18+'Cost Calculations'!U309*Variables!$E$27*Variables!$C$18+'Cost Calculations'!V309*Variables!$E$28*Variables!$C$18+W309*Variables!$E$29*Variables!$C$18</f>
        <v>6749940.4948547212</v>
      </c>
      <c r="Y309" s="58">
        <f>J309*Variables!$E$30</f>
        <v>121750.59065930136</v>
      </c>
      <c r="Z309" s="1"/>
      <c r="AA309" s="245">
        <f>D309*(IF(D309&lt;Variables!$C$7,Variables!$C$38,IF(D309&gt;Variables!$C$6,Variables!$C$36,Variables!$C$37)))</f>
        <v>67.243283582893</v>
      </c>
      <c r="AB309" s="64">
        <f t="shared" si="13"/>
        <v>66</v>
      </c>
      <c r="AC309" s="66">
        <f t="shared" si="2"/>
        <v>1</v>
      </c>
      <c r="AD309" s="62">
        <f>AC309*Variables!$E$41</f>
        <v>537600</v>
      </c>
      <c r="AE309" s="71">
        <f>ROUND((H309/(3.14*Variables!$C$35^2)),0)</f>
        <v>13</v>
      </c>
      <c r="AF309" s="57">
        <f t="shared" si="14"/>
        <v>13</v>
      </c>
      <c r="AG309" s="57">
        <f t="shared" si="3"/>
        <v>0</v>
      </c>
      <c r="AH309" s="58">
        <f>AG309*Variables!$E$42*Variables!$C$18</f>
        <v>0</v>
      </c>
      <c r="AI309" s="73">
        <f t="shared" si="4"/>
        <v>1</v>
      </c>
      <c r="AJ309" s="66">
        <f t="shared" si="15"/>
        <v>1</v>
      </c>
      <c r="AK309" s="66">
        <f t="shared" si="5"/>
        <v>0</v>
      </c>
      <c r="AL309" s="62">
        <f>IF(AK309*Variables!$E$43*Variables!$C$18&lt;0,0,AK309*Variables!$E$43*Variables!$C$18)</f>
        <v>0</v>
      </c>
      <c r="AM309" s="58">
        <f>AA309*Variables!$E$39*Variables!$C$18</f>
        <v>19436826.761202477</v>
      </c>
      <c r="AN309" s="1"/>
      <c r="AO309" s="76">
        <f t="shared" si="16"/>
        <v>0.67714285714285716</v>
      </c>
      <c r="AP309" s="76">
        <f t="shared" si="6"/>
        <v>115.61602378984207</v>
      </c>
      <c r="AQ309" s="75">
        <f>VLOOKUP(B309,'Household Information'!$B$2:$E$48,4,FALSE)</f>
        <v>65.935833333333335</v>
      </c>
      <c r="AR309" s="79">
        <f>IF(12*(AP309-Variables!$C$45*AQ309*F309)*(G309/5)&lt;0,0,12*(AP309-Variables!$C$45*AQ309*F309)*(G309/5))</f>
        <v>6200811.7778192926</v>
      </c>
      <c r="AS309" s="1"/>
      <c r="AT309" s="62">
        <v>0</v>
      </c>
      <c r="AU309" s="1"/>
    </row>
    <row r="310" spans="1:47" ht="14.25" customHeight="1">
      <c r="A310" s="1">
        <v>25</v>
      </c>
      <c r="B310" s="3" t="s">
        <v>217</v>
      </c>
      <c r="C310" s="1">
        <v>2025</v>
      </c>
      <c r="D310" s="13">
        <f>VLOOKUP(B310,Population!$B$1:$O$48,9,FALSE)</f>
        <v>174181.28032063102</v>
      </c>
      <c r="E310" s="13" t="str">
        <f t="shared" si="20"/>
        <v>Medium</v>
      </c>
      <c r="F310" s="54">
        <f>VLOOKUP(B310,'Household Information'!$B$1:$E$48,2,FALSE)</f>
        <v>2.502264030612245</v>
      </c>
      <c r="G310" s="54">
        <f t="shared" si="0"/>
        <v>69609.472937199578</v>
      </c>
      <c r="H310" s="55">
        <f>IF(D310&gt;Variables!$C$6,H263,H263*(1+Variables!$C$9))</f>
        <v>22.498002944169993</v>
      </c>
      <c r="I310" s="1"/>
      <c r="J310" s="13">
        <f>H310*Variables!$C$21</f>
        <v>404.96405299505989</v>
      </c>
      <c r="K310" s="13">
        <f t="shared" si="12"/>
        <v>404.96405299505989</v>
      </c>
      <c r="L310" s="54">
        <f t="shared" si="1"/>
        <v>0</v>
      </c>
      <c r="M310" s="56"/>
      <c r="N310" s="57"/>
      <c r="O310" s="57"/>
      <c r="P310" s="57"/>
      <c r="Q310" s="57"/>
      <c r="R310" s="57"/>
      <c r="S310" s="58">
        <v>0</v>
      </c>
      <c r="T310" s="59">
        <f>$L310*Variables!$C$22/100</f>
        <v>0</v>
      </c>
      <c r="U310" s="59">
        <f>$L310*Variables!$C$23/100</f>
        <v>0</v>
      </c>
      <c r="V310" s="59">
        <f>$L310*Variables!$C$24/100</f>
        <v>0</v>
      </c>
      <c r="W310" s="59">
        <f>$L310*Variables!$C$25/100</f>
        <v>0</v>
      </c>
      <c r="X310" s="62">
        <f>T310*Variables!$E$26*Variables!$C$18+'Cost Calculations'!U310*Variables!$E$27*Variables!$C$18+'Cost Calculations'!V310*Variables!$E$28*Variables!$C$18+W310*Variables!$E$29*Variables!$C$18</f>
        <v>0</v>
      </c>
      <c r="Y310" s="58">
        <f>J310*Variables!$E$30</f>
        <v>265251.45471176424</v>
      </c>
      <c r="Z310" s="1"/>
      <c r="AA310" s="245">
        <f>D310*(IF(D310&lt;Variables!$C$7,Variables!$C$38,IF(D310&gt;Variables!$C$6,Variables!$C$36,Variables!$C$37)))</f>
        <v>209.01753638475719</v>
      </c>
      <c r="AB310" s="64">
        <f t="shared" si="13"/>
        <v>206</v>
      </c>
      <c r="AC310" s="66">
        <f t="shared" si="2"/>
        <v>3</v>
      </c>
      <c r="AD310" s="62">
        <f>AC310*Variables!$E$41</f>
        <v>1612800</v>
      </c>
      <c r="AE310" s="71">
        <f>ROUND((H310/(3.14*Variables!$C$35^2)),0)</f>
        <v>29</v>
      </c>
      <c r="AF310" s="57">
        <f t="shared" si="14"/>
        <v>29</v>
      </c>
      <c r="AG310" s="57">
        <f t="shared" si="3"/>
        <v>0</v>
      </c>
      <c r="AH310" s="58">
        <f>AG310*Variables!$E$42*Variables!$C$18</f>
        <v>0</v>
      </c>
      <c r="AI310" s="73">
        <f t="shared" si="4"/>
        <v>2</v>
      </c>
      <c r="AJ310" s="66">
        <f t="shared" si="15"/>
        <v>2</v>
      </c>
      <c r="AK310" s="66">
        <f t="shared" si="5"/>
        <v>0</v>
      </c>
      <c r="AL310" s="62">
        <f>IF(AK310*Variables!$E$43*Variables!$C$18&lt;0,0,AK310*Variables!$E$43*Variables!$C$18)</f>
        <v>0</v>
      </c>
      <c r="AM310" s="58">
        <f>AA310*Variables!$E$39*Variables!$C$18</f>
        <v>60417002.684821509</v>
      </c>
      <c r="AN310" s="1"/>
      <c r="AO310" s="76">
        <f t="shared" si="16"/>
        <v>0.67714285714285716</v>
      </c>
      <c r="AP310" s="76">
        <f t="shared" si="6"/>
        <v>101.66341290087463</v>
      </c>
      <c r="AQ310" s="75">
        <f>VLOOKUP(B310,'Household Information'!$B$2:$E$48,4,FALSE)</f>
        <v>65.935833333333335</v>
      </c>
      <c r="AR310" s="79">
        <f>IF(12*(AP310-Variables!$C$45*AQ310*F310)*(G310/5)&lt;0,0,12*(AP310-Variables!$C$45*AQ310*F310)*(G310/5))</f>
        <v>12849644.180821486</v>
      </c>
      <c r="AS310" s="1"/>
      <c r="AT310" s="62">
        <v>0</v>
      </c>
      <c r="AU310" s="1"/>
    </row>
    <row r="311" spans="1:47" ht="14.25" customHeight="1">
      <c r="A311" s="1">
        <v>26</v>
      </c>
      <c r="B311" s="3" t="s">
        <v>219</v>
      </c>
      <c r="C311" s="1">
        <v>2025</v>
      </c>
      <c r="D311" s="13">
        <f>VLOOKUP(B311,Population!$B$1:$O$48,9,FALSE)</f>
        <v>47550.195448363826</v>
      </c>
      <c r="E311" s="13" t="str">
        <f t="shared" si="20"/>
        <v>Small</v>
      </c>
      <c r="F311" s="54">
        <f>VLOOKUP(B311,'Household Information'!$B$1:$E$48,2,FALSE)</f>
        <v>3.6899491861166136</v>
      </c>
      <c r="G311" s="54">
        <f t="shared" si="0"/>
        <v>12886.409283702558</v>
      </c>
      <c r="H311" s="55">
        <f>IF(D311&gt;Variables!$C$6,H264,H264*(1+Variables!$C$9))</f>
        <v>4.4957655301996535</v>
      </c>
      <c r="I311" s="1"/>
      <c r="J311" s="13">
        <f>H311*Variables!$C$21</f>
        <v>80.923779543593767</v>
      </c>
      <c r="K311" s="13">
        <f t="shared" si="12"/>
        <v>78.338605560110139</v>
      </c>
      <c r="L311" s="54">
        <f t="shared" si="1"/>
        <v>2.585173983483628</v>
      </c>
      <c r="M311" s="56"/>
      <c r="N311" s="57"/>
      <c r="O311" s="57"/>
      <c r="P311" s="57"/>
      <c r="Q311" s="57"/>
      <c r="R311" s="57"/>
      <c r="S311" s="58">
        <v>0</v>
      </c>
      <c r="T311" s="59">
        <f>$L311*Variables!$C$22/100</f>
        <v>0.14037143801721055</v>
      </c>
      <c r="U311" s="59">
        <f>$L311*Variables!$C$23/100</f>
        <v>0.2456500165301185</v>
      </c>
      <c r="V311" s="59">
        <f>$L311*Variables!$C$24/100</f>
        <v>0.25734763636488606</v>
      </c>
      <c r="W311" s="59">
        <f>$L311*Variables!$C$25/100</f>
        <v>1.8716191735628076</v>
      </c>
      <c r="X311" s="62">
        <f>T311*Variables!$E$26*Variables!$C$18+'Cost Calculations'!U311*Variables!$E$27*Variables!$C$18+'Cost Calculations'!V311*Variables!$E$28*Variables!$C$18+W311*Variables!$E$29*Variables!$C$18</f>
        <v>2938639.5934092784</v>
      </c>
      <c r="Y311" s="58">
        <f>J311*Variables!$E$30</f>
        <v>53005.075601053919</v>
      </c>
      <c r="Z311" s="1"/>
      <c r="AA311" s="245">
        <f>D311*(IF(D311&lt;Variables!$C$7,Variables!$C$38,IF(D311&gt;Variables!$C$6,Variables!$C$36,Variables!$C$37)))</f>
        <v>23.775097724181915</v>
      </c>
      <c r="AB311" s="64">
        <f t="shared" si="13"/>
        <v>23</v>
      </c>
      <c r="AC311" s="66">
        <f t="shared" si="2"/>
        <v>1</v>
      </c>
      <c r="AD311" s="62">
        <f>AC311*Variables!$E$41</f>
        <v>537600</v>
      </c>
      <c r="AE311" s="71">
        <f>ROUND((H311/(3.14*Variables!$C$35^2)),0)</f>
        <v>6</v>
      </c>
      <c r="AF311" s="57">
        <f t="shared" si="14"/>
        <v>6</v>
      </c>
      <c r="AG311" s="57">
        <f t="shared" si="3"/>
        <v>0</v>
      </c>
      <c r="AH311" s="58">
        <f>AG311*Variables!$E$42*Variables!$C$18</f>
        <v>0</v>
      </c>
      <c r="AI311" s="73">
        <f t="shared" si="4"/>
        <v>0</v>
      </c>
      <c r="AJ311" s="66">
        <f t="shared" si="15"/>
        <v>0</v>
      </c>
      <c r="AK311" s="66">
        <f t="shared" si="5"/>
        <v>0</v>
      </c>
      <c r="AL311" s="62">
        <f>IF(AK311*Variables!$E$43*Variables!$C$18&lt;0,0,AK311*Variables!$E$43*Variables!$C$18)</f>
        <v>0</v>
      </c>
      <c r="AM311" s="58">
        <f>AA311*Variables!$E$39*Variables!$C$18</f>
        <v>6872247.0271089887</v>
      </c>
      <c r="AN311" s="1"/>
      <c r="AO311" s="76">
        <f t="shared" si="16"/>
        <v>0.67714285714285716</v>
      </c>
      <c r="AP311" s="76">
        <f t="shared" si="6"/>
        <v>149.91736407593783</v>
      </c>
      <c r="AQ311" s="75">
        <f>VLOOKUP(B311,'Household Information'!$B$2:$E$48,4,FALSE)</f>
        <v>65.935833333333335</v>
      </c>
      <c r="AR311" s="79">
        <f>IF(12*(AP311-Variables!$C$45*AQ311*F311)*(G311/5)&lt;0,0,12*(AP311-Variables!$C$45*AQ311*F311)*(G311/5))</f>
        <v>3507857.3949810476</v>
      </c>
      <c r="AS311" s="1"/>
      <c r="AT311" s="62">
        <v>0</v>
      </c>
      <c r="AU311" s="1"/>
    </row>
    <row r="312" spans="1:47" ht="14.25" customHeight="1">
      <c r="A312" s="1">
        <v>27</v>
      </c>
      <c r="B312" s="3" t="s">
        <v>220</v>
      </c>
      <c r="C312" s="1">
        <v>2025</v>
      </c>
      <c r="D312" s="13">
        <f>VLOOKUP(B312,Population!$B$1:$O$48,9,FALSE)</f>
        <v>8917.6038751657943</v>
      </c>
      <c r="E312" s="13" t="str">
        <f t="shared" si="20"/>
        <v>Small</v>
      </c>
      <c r="F312" s="54">
        <f>VLOOKUP(B312,'Household Information'!$B$1:$E$48,2,FALSE)</f>
        <v>2.667113684852179</v>
      </c>
      <c r="G312" s="54">
        <f t="shared" si="0"/>
        <v>3343.5409693306865</v>
      </c>
      <c r="H312" s="55">
        <f>IF(D312&gt;Variables!$C$6,H265,H265*(1+Variables!$C$9))</f>
        <v>0.73263931479927957</v>
      </c>
      <c r="I312" s="1"/>
      <c r="J312" s="13">
        <f>H312*Variables!$C$21</f>
        <v>13.187507666387033</v>
      </c>
      <c r="K312" s="13">
        <f t="shared" si="12"/>
        <v>12.766222329513102</v>
      </c>
      <c r="L312" s="54">
        <f t="shared" si="1"/>
        <v>0.42128533687393066</v>
      </c>
      <c r="M312" s="56"/>
      <c r="N312" s="57"/>
      <c r="O312" s="57"/>
      <c r="P312" s="57"/>
      <c r="Q312" s="57"/>
      <c r="R312" s="57"/>
      <c r="S312" s="58">
        <v>0</v>
      </c>
      <c r="T312" s="59">
        <f>$L312*Variables!$C$22/100</f>
        <v>2.2875221911706638E-2</v>
      </c>
      <c r="U312" s="59">
        <f>$L312*Variables!$C$23/100</f>
        <v>4.003163834548662E-2</v>
      </c>
      <c r="V312" s="59">
        <f>$L312*Variables!$C$24/100</f>
        <v>4.1937906838128841E-2</v>
      </c>
      <c r="W312" s="59">
        <f>$L312*Variables!$C$25/100</f>
        <v>0.30500295882275524</v>
      </c>
      <c r="X312" s="62">
        <f>T312*Variables!$E$26*Variables!$C$18+'Cost Calculations'!U312*Variables!$E$27*Variables!$C$18+'Cost Calculations'!V312*Variables!$E$28*Variables!$C$18+W312*Variables!$E$29*Variables!$C$18</f>
        <v>478886.82888268697</v>
      </c>
      <c r="Y312" s="58">
        <f>J312*Variables!$E$30</f>
        <v>8637.8175214835064</v>
      </c>
      <c r="Z312" s="1"/>
      <c r="AA312" s="245">
        <f>D312*(IF(D312&lt;Variables!$C$7,Variables!$C$38,IF(D312&gt;Variables!$C$6,Variables!$C$36,Variables!$C$37)))</f>
        <v>4.4588019375828969</v>
      </c>
      <c r="AB312" s="64">
        <f t="shared" si="13"/>
        <v>78</v>
      </c>
      <c r="AC312" s="66">
        <f t="shared" si="2"/>
        <v>0</v>
      </c>
      <c r="AD312" s="62">
        <f>AC312*Variables!$E$41</f>
        <v>0</v>
      </c>
      <c r="AE312" s="71">
        <f>ROUND((H312/(3.14*Variables!$C$35^2)),0)</f>
        <v>1</v>
      </c>
      <c r="AF312" s="57">
        <f t="shared" si="14"/>
        <v>1</v>
      </c>
      <c r="AG312" s="57">
        <f t="shared" si="3"/>
        <v>0</v>
      </c>
      <c r="AH312" s="58">
        <f>AG312*Variables!$E$42*Variables!$C$18</f>
        <v>0</v>
      </c>
      <c r="AI312" s="73">
        <f t="shared" si="4"/>
        <v>0</v>
      </c>
      <c r="AJ312" s="66">
        <f t="shared" si="15"/>
        <v>0</v>
      </c>
      <c r="AK312" s="66">
        <f t="shared" si="5"/>
        <v>0</v>
      </c>
      <c r="AL312" s="62">
        <f>IF(AK312*Variables!$E$43*Variables!$C$18&lt;0,0,AK312*Variables!$E$43*Variables!$C$18)</f>
        <v>0</v>
      </c>
      <c r="AM312" s="58">
        <f>AA312*Variables!$E$39*Variables!$C$18</f>
        <v>1288827.020418745</v>
      </c>
      <c r="AN312" s="1"/>
      <c r="AO312" s="76">
        <f t="shared" si="16"/>
        <v>0.67714285714285716</v>
      </c>
      <c r="AP312" s="76">
        <f t="shared" si="6"/>
        <v>108.3610188531371</v>
      </c>
      <c r="AQ312" s="75">
        <f>VLOOKUP(B312,'Household Information'!$B$2:$E$48,4,FALSE)</f>
        <v>65.935833333333335</v>
      </c>
      <c r="AR312" s="79">
        <f>IF(12*(AP312-Variables!$C$45*AQ312*F312)*(G312/5)&lt;0,0,12*(AP312-Variables!$C$45*AQ312*F312)*(G312/5))</f>
        <v>657866.54300888616</v>
      </c>
      <c r="AS312" s="1"/>
      <c r="AT312" s="62">
        <v>0</v>
      </c>
      <c r="AU312" s="1"/>
    </row>
    <row r="313" spans="1:47" ht="14.25" customHeight="1">
      <c r="A313" s="1">
        <v>28</v>
      </c>
      <c r="B313" s="3" t="s">
        <v>221</v>
      </c>
      <c r="C313" s="1">
        <v>2025</v>
      </c>
      <c r="D313" s="13">
        <f>VLOOKUP(B313,Population!$B$1:$O$48,9,FALSE)</f>
        <v>53368.002481794952</v>
      </c>
      <c r="E313" s="13" t="str">
        <f t="shared" si="20"/>
        <v>Small</v>
      </c>
      <c r="F313" s="54">
        <f>VLOOKUP(B313,'Household Information'!$B$1:$E$48,2,FALSE)</f>
        <v>2.5363152064982328</v>
      </c>
      <c r="G313" s="54">
        <f t="shared" si="0"/>
        <v>21041.549703704834</v>
      </c>
      <c r="H313" s="55">
        <f>IF(D313&gt;Variables!$C$6,H266,H266*(1+Variables!$C$9))</f>
        <v>6.3183731775778922</v>
      </c>
      <c r="I313" s="1"/>
      <c r="J313" s="13">
        <f>H313*Variables!$C$21</f>
        <v>113.73071719640205</v>
      </c>
      <c r="K313" s="13">
        <f t="shared" si="12"/>
        <v>124.62</v>
      </c>
      <c r="L313" s="54">
        <f t="shared" si="1"/>
        <v>0</v>
      </c>
      <c r="M313" s="56"/>
      <c r="N313" s="57"/>
      <c r="O313" s="57"/>
      <c r="P313" s="57"/>
      <c r="Q313" s="57"/>
      <c r="R313" s="57"/>
      <c r="S313" s="58">
        <v>0</v>
      </c>
      <c r="T313" s="59">
        <f>$L313*Variables!$C$22/100</f>
        <v>0</v>
      </c>
      <c r="U313" s="59">
        <f>$L313*Variables!$C$23/100</f>
        <v>0</v>
      </c>
      <c r="V313" s="59">
        <f>$L313*Variables!$C$24/100</f>
        <v>0</v>
      </c>
      <c r="W313" s="59">
        <f>$L313*Variables!$C$25/100</f>
        <v>0</v>
      </c>
      <c r="X313" s="62">
        <f>T313*Variables!$E$26*Variables!$C$18+'Cost Calculations'!U313*Variables!$E$27*Variables!$C$18+'Cost Calculations'!V313*Variables!$E$28*Variables!$C$18+W313*Variables!$E$29*Variables!$C$18</f>
        <v>0</v>
      </c>
      <c r="Y313" s="58">
        <f>J313*Variables!$E$30</f>
        <v>74493.61976364335</v>
      </c>
      <c r="Z313" s="1"/>
      <c r="AA313" s="245">
        <f>D313*(IF(D313&lt;Variables!$C$7,Variables!$C$38,IF(D313&gt;Variables!$C$6,Variables!$C$36,Variables!$C$37)))</f>
        <v>42.694401985435967</v>
      </c>
      <c r="AB313" s="64">
        <f t="shared" si="13"/>
        <v>42</v>
      </c>
      <c r="AC313" s="66">
        <f t="shared" si="2"/>
        <v>1</v>
      </c>
      <c r="AD313" s="62">
        <f>AC313*Variables!$E$41</f>
        <v>537600</v>
      </c>
      <c r="AE313" s="71">
        <f>ROUND((H313/(3.14*Variables!$C$35^2)),0)</f>
        <v>8</v>
      </c>
      <c r="AF313" s="57">
        <f t="shared" si="14"/>
        <v>8</v>
      </c>
      <c r="AG313" s="57">
        <f t="shared" si="3"/>
        <v>0</v>
      </c>
      <c r="AH313" s="58">
        <f>AG313*Variables!$E$42*Variables!$C$18</f>
        <v>0</v>
      </c>
      <c r="AI313" s="73">
        <f t="shared" si="4"/>
        <v>0</v>
      </c>
      <c r="AJ313" s="66">
        <f t="shared" si="15"/>
        <v>0</v>
      </c>
      <c r="AK313" s="66">
        <f t="shared" si="5"/>
        <v>0</v>
      </c>
      <c r="AL313" s="62">
        <f>IF(AK313*Variables!$E$43*Variables!$C$18&lt;0,0,AK313*Variables!$E$43*Variables!$C$18)</f>
        <v>0</v>
      </c>
      <c r="AM313" s="58">
        <f>AA313*Variables!$E$39*Variables!$C$18</f>
        <v>12340915.714520134</v>
      </c>
      <c r="AN313" s="1"/>
      <c r="AO313" s="76">
        <f t="shared" si="16"/>
        <v>0.67714285714285716</v>
      </c>
      <c r="AP313" s="76">
        <f t="shared" si="6"/>
        <v>103.04686353258533</v>
      </c>
      <c r="AQ313" s="75">
        <f>VLOOKUP(B313,'Household Information'!$B$2:$E$48,4,FALSE)</f>
        <v>65.935833333333335</v>
      </c>
      <c r="AR313" s="79">
        <f>IF(12*(AP313-Variables!$C$45*AQ313*F313)*(G313/5)&lt;0,0,12*(AP313-Variables!$C$45*AQ313*F313)*(G313/5))</f>
        <v>3937046.7438861607</v>
      </c>
      <c r="AS313" s="1"/>
      <c r="AT313" s="62">
        <v>0</v>
      </c>
      <c r="AU313" s="1"/>
    </row>
    <row r="314" spans="1:47" ht="14.25" customHeight="1">
      <c r="A314" s="1">
        <v>29</v>
      </c>
      <c r="B314" s="3" t="s">
        <v>222</v>
      </c>
      <c r="C314" s="1">
        <v>2025</v>
      </c>
      <c r="D314" s="13">
        <f>VLOOKUP(B314,Population!$B$1:$O$48,9,FALSE)</f>
        <v>53740.91037252995</v>
      </c>
      <c r="E314" s="13" t="str">
        <f t="shared" si="20"/>
        <v>Small</v>
      </c>
      <c r="F314" s="54">
        <f>VLOOKUP(B314,'Household Information'!$B$1:$E$48,2,FALSE)</f>
        <v>2.6066968130921619</v>
      </c>
      <c r="G314" s="54">
        <f t="shared" si="0"/>
        <v>20616.479102063451</v>
      </c>
      <c r="H314" s="55">
        <f>IF(D314&gt;Variables!$C$6,H267,H267*(1+Variables!$C$9))</f>
        <v>3.9854353889337473</v>
      </c>
      <c r="I314" s="1"/>
      <c r="J314" s="13">
        <f>H314*Variables!$C$21</f>
        <v>71.737837000807446</v>
      </c>
      <c r="K314" s="13">
        <f t="shared" si="12"/>
        <v>69.7</v>
      </c>
      <c r="L314" s="54">
        <f t="shared" si="1"/>
        <v>2.0378370008074427</v>
      </c>
      <c r="M314" s="56"/>
      <c r="N314" s="57"/>
      <c r="O314" s="57"/>
      <c r="P314" s="57"/>
      <c r="Q314" s="57"/>
      <c r="R314" s="57"/>
      <c r="S314" s="58">
        <v>0</v>
      </c>
      <c r="T314" s="59">
        <f>$L314*Variables!$C$22/100</f>
        <v>0.11065178284927288</v>
      </c>
      <c r="U314" s="59">
        <f>$L314*Variables!$C$23/100</f>
        <v>0.19364061998622759</v>
      </c>
      <c r="V314" s="59">
        <f>$L314*Variables!$C$24/100</f>
        <v>0.20286160189033367</v>
      </c>
      <c r="W314" s="59">
        <f>$L314*Variables!$C$25/100</f>
        <v>1.475357104656972</v>
      </c>
      <c r="X314" s="62">
        <f>T314*Variables!$E$26*Variables!$C$18+'Cost Calculations'!U314*Variables!$E$27*Variables!$C$18+'Cost Calculations'!V314*Variables!$E$28*Variables!$C$18+W314*Variables!$E$29*Variables!$C$18</f>
        <v>2316466.3321489333</v>
      </c>
      <c r="Y314" s="58">
        <f>J314*Variables!$E$30</f>
        <v>46988.283235528877</v>
      </c>
      <c r="Z314" s="1"/>
      <c r="AA314" s="245">
        <f>D314*(IF(D314&lt;Variables!$C$7,Variables!$C$38,IF(D314&gt;Variables!$C$6,Variables!$C$36,Variables!$C$37)))</f>
        <v>42.992728298023962</v>
      </c>
      <c r="AB314" s="64">
        <f t="shared" si="13"/>
        <v>42</v>
      </c>
      <c r="AC314" s="66">
        <f t="shared" si="2"/>
        <v>1</v>
      </c>
      <c r="AD314" s="62">
        <f>AC314*Variables!$E$41</f>
        <v>537600</v>
      </c>
      <c r="AE314" s="71">
        <f>ROUND((H314/(3.14*Variables!$C$35^2)),0)</f>
        <v>5</v>
      </c>
      <c r="AF314" s="57">
        <f t="shared" si="14"/>
        <v>5</v>
      </c>
      <c r="AG314" s="57">
        <f t="shared" si="3"/>
        <v>0</v>
      </c>
      <c r="AH314" s="58">
        <f>AG314*Variables!$E$42*Variables!$C$18</f>
        <v>0</v>
      </c>
      <c r="AI314" s="73">
        <f t="shared" si="4"/>
        <v>0</v>
      </c>
      <c r="AJ314" s="66">
        <f t="shared" si="15"/>
        <v>0</v>
      </c>
      <c r="AK314" s="66">
        <f t="shared" si="5"/>
        <v>0</v>
      </c>
      <c r="AL314" s="62">
        <f>IF(AK314*Variables!$E$43*Variables!$C$18&lt;0,0,AK314*Variables!$E$43*Variables!$C$18)</f>
        <v>0</v>
      </c>
      <c r="AM314" s="58">
        <f>AA314*Variables!$E$39*Variables!$C$18</f>
        <v>12427147.625680944</v>
      </c>
      <c r="AN314" s="1"/>
      <c r="AO314" s="76">
        <f t="shared" si="16"/>
        <v>0.67714285714285716</v>
      </c>
      <c r="AP314" s="76">
        <f t="shared" si="6"/>
        <v>105.9063676633444</v>
      </c>
      <c r="AQ314" s="75">
        <f>VLOOKUP(B314,'Household Information'!$B$2:$E$48,4,FALSE)</f>
        <v>65.935833333333335</v>
      </c>
      <c r="AR314" s="79">
        <f>IF(12*(AP314-Variables!$C$45*AQ314*F314)*(G314/5)&lt;0,0,12*(AP314-Variables!$C$45*AQ314*F314)*(G314/5))</f>
        <v>3964556.7822745852</v>
      </c>
      <c r="AS314" s="1"/>
      <c r="AT314" s="62">
        <v>0</v>
      </c>
      <c r="AU314" s="1"/>
    </row>
    <row r="315" spans="1:47" ht="14.25" customHeight="1">
      <c r="A315" s="1">
        <v>30</v>
      </c>
      <c r="B315" s="3" t="s">
        <v>223</v>
      </c>
      <c r="C315" s="1">
        <v>2025</v>
      </c>
      <c r="D315" s="13">
        <f>VLOOKUP(B315,Population!$B$1:$O$48,9,FALSE)</f>
        <v>21961.611136500404</v>
      </c>
      <c r="E315" s="13" t="str">
        <f t="shared" si="20"/>
        <v>Small</v>
      </c>
      <c r="F315" s="54">
        <f>VLOOKUP(B315,'Household Information'!$B$1:$E$48,2,FALSE)</f>
        <v>2.8820273812991553</v>
      </c>
      <c r="G315" s="54">
        <f t="shared" si="0"/>
        <v>7620.1951719836152</v>
      </c>
      <c r="H315" s="55">
        <f>IF(D315&gt;Variables!$C$6,H268,H268*(1+Variables!$C$9))</f>
        <v>4.1312440007240054</v>
      </c>
      <c r="I315" s="1"/>
      <c r="J315" s="13">
        <f>H315*Variables!$C$21</f>
        <v>74.362392013032093</v>
      </c>
      <c r="K315" s="13">
        <f t="shared" si="12"/>
        <v>76.2</v>
      </c>
      <c r="L315" s="54">
        <f t="shared" si="1"/>
        <v>0</v>
      </c>
      <c r="M315" s="56"/>
      <c r="N315" s="57"/>
      <c r="O315" s="57"/>
      <c r="P315" s="57"/>
      <c r="Q315" s="57"/>
      <c r="R315" s="57"/>
      <c r="S315" s="58">
        <v>0</v>
      </c>
      <c r="T315" s="59">
        <f>$L315*Variables!$C$22/100</f>
        <v>0</v>
      </c>
      <c r="U315" s="59">
        <f>$L315*Variables!$C$23/100</f>
        <v>0</v>
      </c>
      <c r="V315" s="59">
        <f>$L315*Variables!$C$24/100</f>
        <v>0</v>
      </c>
      <c r="W315" s="59">
        <f>$L315*Variables!$C$25/100</f>
        <v>0</v>
      </c>
      <c r="X315" s="62">
        <f>T315*Variables!$E$26*Variables!$C$18+'Cost Calculations'!U315*Variables!$E$27*Variables!$C$18+'Cost Calculations'!V315*Variables!$E$28*Variables!$C$18+W315*Variables!$E$29*Variables!$C$18</f>
        <v>0</v>
      </c>
      <c r="Y315" s="58">
        <f>J315*Variables!$E$30</f>
        <v>48707.36676853602</v>
      </c>
      <c r="Z315" s="1"/>
      <c r="AA315" s="245">
        <f>D315*(IF(D315&lt;Variables!$C$7,Variables!$C$38,IF(D315&gt;Variables!$C$6,Variables!$C$36,Variables!$C$37)))</f>
        <v>10.980805568250203</v>
      </c>
      <c r="AB315" s="64">
        <f t="shared" si="13"/>
        <v>11</v>
      </c>
      <c r="AC315" s="66">
        <f t="shared" si="2"/>
        <v>0</v>
      </c>
      <c r="AD315" s="62">
        <f>AC315*Variables!$E$41</f>
        <v>0</v>
      </c>
      <c r="AE315" s="71">
        <f>ROUND((H315/(3.14*Variables!$C$35^2)),0)</f>
        <v>5</v>
      </c>
      <c r="AF315" s="57">
        <f t="shared" si="14"/>
        <v>5</v>
      </c>
      <c r="AG315" s="57">
        <f t="shared" si="3"/>
        <v>0</v>
      </c>
      <c r="AH315" s="58">
        <f>AG315*Variables!$E$42*Variables!$C$18</f>
        <v>0</v>
      </c>
      <c r="AI315" s="73">
        <f t="shared" si="4"/>
        <v>0</v>
      </c>
      <c r="AJ315" s="66">
        <f t="shared" si="15"/>
        <v>0</v>
      </c>
      <c r="AK315" s="66">
        <f t="shared" si="5"/>
        <v>0</v>
      </c>
      <c r="AL315" s="62">
        <f>IF(AK315*Variables!$E$43*Variables!$C$18&lt;0,0,AK315*Variables!$E$43*Variables!$C$18)</f>
        <v>0</v>
      </c>
      <c r="AM315" s="58">
        <f>AA315*Variables!$E$39*Variables!$C$18</f>
        <v>3174027.2657182491</v>
      </c>
      <c r="AN315" s="1"/>
      <c r="AO315" s="76">
        <f t="shared" si="16"/>
        <v>0.67714285714285716</v>
      </c>
      <c r="AP315" s="76">
        <f t="shared" si="6"/>
        <v>117.09265532021139</v>
      </c>
      <c r="AQ315" s="75">
        <f>VLOOKUP(B315,'Household Information'!$B$2:$E$48,4,FALSE)</f>
        <v>65.935833333333335</v>
      </c>
      <c r="AR315" s="79">
        <f>IF(12*(AP315-Variables!$C$45*AQ315*F315)*(G315/5)&lt;0,0,12*(AP315-Variables!$C$45*AQ315*F315)*(G315/5))</f>
        <v>1620144.7608039628</v>
      </c>
      <c r="AS315" s="1"/>
      <c r="AT315" s="62">
        <v>0</v>
      </c>
      <c r="AU315" s="1"/>
    </row>
    <row r="316" spans="1:47" ht="14.25" customHeight="1">
      <c r="A316" s="1">
        <v>31</v>
      </c>
      <c r="B316" s="3" t="s">
        <v>224</v>
      </c>
      <c r="C316" s="1">
        <v>2025</v>
      </c>
      <c r="D316" s="13">
        <f>VLOOKUP(B316,Population!$B$1:$O$48,9,FALSE)</f>
        <v>33410.771257995155</v>
      </c>
      <c r="E316" s="13" t="str">
        <f t="shared" si="20"/>
        <v>Small</v>
      </c>
      <c r="F316" s="54">
        <f>VLOOKUP(B316,'Household Information'!$B$1:$E$48,2,FALSE)</f>
        <v>3.407</v>
      </c>
      <c r="G316" s="54">
        <f t="shared" si="0"/>
        <v>9806.5075603155728</v>
      </c>
      <c r="H316" s="55">
        <f>IF(D316&gt;Variables!$C$6,H269,H269*(1+Variables!$C$9))</f>
        <v>4.4107105066553363</v>
      </c>
      <c r="I316" s="1"/>
      <c r="J316" s="13">
        <f>H316*Variables!$C$21</f>
        <v>79.392789119796049</v>
      </c>
      <c r="K316" s="13">
        <f t="shared" si="12"/>
        <v>83</v>
      </c>
      <c r="L316" s="54">
        <f t="shared" si="1"/>
        <v>0</v>
      </c>
      <c r="M316" s="56"/>
      <c r="N316" s="57"/>
      <c r="O316" s="57"/>
      <c r="P316" s="57"/>
      <c r="Q316" s="57"/>
      <c r="R316" s="57"/>
      <c r="S316" s="58">
        <v>0</v>
      </c>
      <c r="T316" s="59">
        <f>$L316*Variables!$C$22/100</f>
        <v>0</v>
      </c>
      <c r="U316" s="59">
        <f>$L316*Variables!$C$23/100</f>
        <v>0</v>
      </c>
      <c r="V316" s="59">
        <f>$L316*Variables!$C$24/100</f>
        <v>0</v>
      </c>
      <c r="W316" s="59">
        <f>$L316*Variables!$C$25/100</f>
        <v>0</v>
      </c>
      <c r="X316" s="62">
        <f>T316*Variables!$E$26*Variables!$C$18+'Cost Calculations'!U316*Variables!$E$27*Variables!$C$18+'Cost Calculations'!V316*Variables!$E$28*Variables!$C$18+W316*Variables!$E$29*Variables!$C$18</f>
        <v>0</v>
      </c>
      <c r="Y316" s="58">
        <f>J316*Variables!$E$30</f>
        <v>52002.276873466413</v>
      </c>
      <c r="Z316" s="1"/>
      <c r="AA316" s="245">
        <f>D316*(IF(D316&lt;Variables!$C$7,Variables!$C$38,IF(D316&gt;Variables!$C$6,Variables!$C$36,Variables!$C$37)))</f>
        <v>16.705385628997579</v>
      </c>
      <c r="AB316" s="64">
        <f t="shared" si="13"/>
        <v>16</v>
      </c>
      <c r="AC316" s="66">
        <f t="shared" si="2"/>
        <v>1</v>
      </c>
      <c r="AD316" s="62">
        <f>AC316*Variables!$E$41</f>
        <v>537600</v>
      </c>
      <c r="AE316" s="71">
        <f>ROUND((H316/(3.14*Variables!$C$35^2)),0)</f>
        <v>6</v>
      </c>
      <c r="AF316" s="57">
        <f t="shared" si="14"/>
        <v>5</v>
      </c>
      <c r="AG316" s="57">
        <f t="shared" si="3"/>
        <v>1</v>
      </c>
      <c r="AH316" s="58">
        <f>AG316*Variables!$E$42*Variables!$C$18</f>
        <v>1148.2560000000001</v>
      </c>
      <c r="AI316" s="73">
        <f t="shared" si="4"/>
        <v>0</v>
      </c>
      <c r="AJ316" s="66">
        <f t="shared" si="15"/>
        <v>0</v>
      </c>
      <c r="AK316" s="66">
        <f t="shared" si="5"/>
        <v>0</v>
      </c>
      <c r="AL316" s="62">
        <f>IF(AK316*Variables!$E$43*Variables!$C$18&lt;0,0,AK316*Variables!$E$43*Variables!$C$18)</f>
        <v>0</v>
      </c>
      <c r="AM316" s="58">
        <f>AA316*Variables!$E$39*Variables!$C$18</f>
        <v>4828730.3824126832</v>
      </c>
      <c r="AN316" s="1"/>
      <c r="AO316" s="76">
        <f t="shared" si="16"/>
        <v>0.67714285714285716</v>
      </c>
      <c r="AP316" s="76">
        <f t="shared" si="6"/>
        <v>138.42154285714284</v>
      </c>
      <c r="AQ316" s="75">
        <f>VLOOKUP(B316,'Household Information'!$B$2:$E$48,4,FALSE)</f>
        <v>65.935833333333335</v>
      </c>
      <c r="AR316" s="79">
        <f>IF(12*(AP316-Variables!$C$45*AQ316*F316)*(G316/5)&lt;0,0,12*(AP316-Variables!$C$45*AQ316*F316)*(G316/5))</f>
        <v>2464768.439419976</v>
      </c>
      <c r="AS316" s="1"/>
      <c r="AT316" s="62">
        <v>0</v>
      </c>
      <c r="AU316" s="1"/>
    </row>
    <row r="317" spans="1:47" ht="14.25" customHeight="1">
      <c r="A317" s="1">
        <v>32</v>
      </c>
      <c r="B317" s="3" t="s">
        <v>225</v>
      </c>
      <c r="C317" s="1">
        <v>2025</v>
      </c>
      <c r="D317" s="13">
        <f>VLOOKUP(B317,Population!$B$1:$O$48,9,FALSE)</f>
        <v>30752.692691595399</v>
      </c>
      <c r="E317" s="13" t="str">
        <f t="shared" si="20"/>
        <v>Small</v>
      </c>
      <c r="F317" s="54">
        <f>VLOOKUP(B317,'Household Information'!$B$1:$E$48,2,FALSE)</f>
        <v>4.9791554357592096</v>
      </c>
      <c r="G317" s="54">
        <f t="shared" si="0"/>
        <v>6176.2869402984006</v>
      </c>
      <c r="H317" s="55">
        <f>IF(D317&gt;Variables!$C$6,H270,H270*(1+Variables!$C$9))</f>
        <v>3.7667224712483582</v>
      </c>
      <c r="I317" s="1"/>
      <c r="J317" s="13">
        <f>H317*Variables!$C$21</f>
        <v>67.801004482470447</v>
      </c>
      <c r="K317" s="13">
        <f t="shared" si="12"/>
        <v>65.635047901713889</v>
      </c>
      <c r="L317" s="54">
        <f t="shared" si="1"/>
        <v>2.1659565807565571</v>
      </c>
      <c r="M317" s="56"/>
      <c r="N317" s="57"/>
      <c r="O317" s="57"/>
      <c r="P317" s="57"/>
      <c r="Q317" s="57"/>
      <c r="R317" s="57"/>
      <c r="S317" s="58">
        <v>0</v>
      </c>
      <c r="T317" s="59">
        <f>$L317*Variables!$C$22/100</f>
        <v>0.11760850212252796</v>
      </c>
      <c r="U317" s="59">
        <f>$L317*Variables!$C$23/100</f>
        <v>0.20581487871442397</v>
      </c>
      <c r="V317" s="59">
        <f>$L317*Variables!$C$24/100</f>
        <v>0.21561558722463464</v>
      </c>
      <c r="W317" s="59">
        <f>$L317*Variables!$C$25/100</f>
        <v>1.5681133616337064</v>
      </c>
      <c r="X317" s="62">
        <f>T317*Variables!$E$26*Variables!$C$18+'Cost Calculations'!U317*Variables!$E$27*Variables!$C$18+'Cost Calculations'!V317*Variables!$E$28*Variables!$C$18+W317*Variables!$E$29*Variables!$C$18</f>
        <v>2462103.4431266971</v>
      </c>
      <c r="Y317" s="58">
        <f>J317*Variables!$E$30</f>
        <v>44409.657936018142</v>
      </c>
      <c r="Z317" s="1"/>
      <c r="AA317" s="245">
        <f>D317*(IF(D317&lt;Variables!$C$7,Variables!$C$38,IF(D317&gt;Variables!$C$6,Variables!$C$36,Variables!$C$37)))</f>
        <v>15.3763463457977</v>
      </c>
      <c r="AB317" s="64">
        <f t="shared" si="13"/>
        <v>15</v>
      </c>
      <c r="AC317" s="66">
        <f t="shared" si="2"/>
        <v>0</v>
      </c>
      <c r="AD317" s="62">
        <f>AC317*Variables!$E$41</f>
        <v>0</v>
      </c>
      <c r="AE317" s="71">
        <f>ROUND((H317/(3.14*Variables!$C$35^2)),0)</f>
        <v>5</v>
      </c>
      <c r="AF317" s="57">
        <f t="shared" si="14"/>
        <v>5</v>
      </c>
      <c r="AG317" s="57">
        <f t="shared" si="3"/>
        <v>0</v>
      </c>
      <c r="AH317" s="58">
        <f>AG317*Variables!$E$42*Variables!$C$18</f>
        <v>0</v>
      </c>
      <c r="AI317" s="73">
        <f t="shared" si="4"/>
        <v>0</v>
      </c>
      <c r="AJ317" s="66">
        <f t="shared" si="15"/>
        <v>1</v>
      </c>
      <c r="AK317" s="66">
        <f t="shared" si="5"/>
        <v>0</v>
      </c>
      <c r="AL317" s="62">
        <f>IF(AK317*Variables!$E$43*Variables!$C$18&lt;0,0,AK317*Variables!$E$43*Variables!$C$18)</f>
        <v>0</v>
      </c>
      <c r="AM317" s="58">
        <f>AA317*Variables!$E$39*Variables!$C$18</f>
        <v>4444568.5014042333</v>
      </c>
      <c r="AN317" s="1"/>
      <c r="AO317" s="76">
        <f t="shared" si="16"/>
        <v>0.67714285714285716</v>
      </c>
      <c r="AP317" s="76">
        <f t="shared" si="6"/>
        <v>202.29597227570272</v>
      </c>
      <c r="AQ317" s="75">
        <f>VLOOKUP(B317,'Household Information'!$B$2:$E$48,4,FALSE)</f>
        <v>65.935833333333335</v>
      </c>
      <c r="AR317" s="79">
        <f>IF(12*(AP317-Variables!$C$45*AQ317*F317)*(G317/5)&lt;0,0,12*(AP317-Variables!$C$45*AQ317*F317)*(G317/5))</f>
        <v>2268677.5407882053</v>
      </c>
      <c r="AS317" s="1"/>
      <c r="AT317" s="62">
        <v>0</v>
      </c>
      <c r="AU317" s="1"/>
    </row>
    <row r="318" spans="1:47" ht="14.25" customHeight="1">
      <c r="A318" s="1">
        <v>33</v>
      </c>
      <c r="B318" s="3" t="s">
        <v>226</v>
      </c>
      <c r="C318" s="1">
        <v>2025</v>
      </c>
      <c r="D318" s="13">
        <f>VLOOKUP(B318,Population!$B$1:$O$48,9,FALSE)</f>
        <v>131852.90518747005</v>
      </c>
      <c r="E318" s="13" t="str">
        <f t="shared" si="20"/>
        <v>Medium</v>
      </c>
      <c r="F318" s="54">
        <f>VLOOKUP(B318,'Household Information'!$B$1:$E$48,2,FALSE)</f>
        <v>2.6362587373793409</v>
      </c>
      <c r="G318" s="54">
        <f t="shared" si="0"/>
        <v>50015.160999918669</v>
      </c>
      <c r="H318" s="55">
        <f>IF(D318&gt;Variables!$C$6,H271,H271*(1+Variables!$C$9))</f>
        <v>12.015102013299996</v>
      </c>
      <c r="I318" s="1"/>
      <c r="J318" s="13">
        <f>H318*Variables!$C$21</f>
        <v>216.27183623939993</v>
      </c>
      <c r="K318" s="13">
        <f t="shared" si="12"/>
        <v>216.27183623939993</v>
      </c>
      <c r="L318" s="54">
        <f t="shared" si="1"/>
        <v>0</v>
      </c>
      <c r="M318" s="56"/>
      <c r="N318" s="57"/>
      <c r="O318" s="57"/>
      <c r="P318" s="57"/>
      <c r="Q318" s="57"/>
      <c r="R318" s="57"/>
      <c r="S318" s="58">
        <v>0</v>
      </c>
      <c r="T318" s="59">
        <f>$L318*Variables!$C$22/100</f>
        <v>0</v>
      </c>
      <c r="U318" s="59">
        <f>$L318*Variables!$C$23/100</f>
        <v>0</v>
      </c>
      <c r="V318" s="59">
        <f>$L318*Variables!$C$24/100</f>
        <v>0</v>
      </c>
      <c r="W318" s="59">
        <f>$L318*Variables!$C$25/100</f>
        <v>0</v>
      </c>
      <c r="X318" s="62">
        <f>T318*Variables!$E$26*Variables!$C$18+'Cost Calculations'!U318*Variables!$E$27*Variables!$C$18+'Cost Calculations'!V318*Variables!$E$28*Variables!$C$18+W318*Variables!$E$29*Variables!$C$18</f>
        <v>0</v>
      </c>
      <c r="Y318" s="58">
        <f>J318*Variables!$E$30</f>
        <v>141658.05273680695</v>
      </c>
      <c r="Z318" s="1"/>
      <c r="AA318" s="245">
        <f>D318*(IF(D318&lt;Variables!$C$7,Variables!$C$38,IF(D318&gt;Variables!$C$6,Variables!$C$36,Variables!$C$37)))</f>
        <v>158.22348622496406</v>
      </c>
      <c r="AB318" s="64">
        <f t="shared" si="13"/>
        <v>156</v>
      </c>
      <c r="AC318" s="66">
        <f t="shared" si="2"/>
        <v>2</v>
      </c>
      <c r="AD318" s="62">
        <f>AC318*Variables!$E$41</f>
        <v>1075200</v>
      </c>
      <c r="AE318" s="71">
        <f>ROUND((H318/(3.14*Variables!$C$35^2)),0)</f>
        <v>15</v>
      </c>
      <c r="AF318" s="57">
        <f t="shared" si="14"/>
        <v>15</v>
      </c>
      <c r="AG318" s="57">
        <f t="shared" si="3"/>
        <v>0</v>
      </c>
      <c r="AH318" s="58">
        <f>AG318*Variables!$E$42*Variables!$C$18</f>
        <v>0</v>
      </c>
      <c r="AI318" s="73">
        <f t="shared" si="4"/>
        <v>1</v>
      </c>
      <c r="AJ318" s="66">
        <f t="shared" si="15"/>
        <v>1</v>
      </c>
      <c r="AK318" s="66">
        <f t="shared" si="5"/>
        <v>0</v>
      </c>
      <c r="AL318" s="62">
        <f>IF(AK318*Variables!$E$43*Variables!$C$18&lt;0,0,AK318*Variables!$E$43*Variables!$C$18)</f>
        <v>0</v>
      </c>
      <c r="AM318" s="58">
        <f>AA318*Variables!$E$39*Variables!$C$18</f>
        <v>45734864.918026082</v>
      </c>
      <c r="AN318" s="1"/>
      <c r="AO318" s="76">
        <f t="shared" si="16"/>
        <v>0.67714285714285716</v>
      </c>
      <c r="AP318" s="76">
        <f t="shared" si="6"/>
        <v>107.10742641581207</v>
      </c>
      <c r="AQ318" s="75">
        <f>VLOOKUP(B318,'Household Information'!$B$2:$E$48,4,FALSE)</f>
        <v>40.760000000000005</v>
      </c>
      <c r="AR318" s="79">
        <f>IF(12*(AP318-Variables!$C$45*AQ318*F318)*(G318/5)&lt;0,0,12*(AP318-Variables!$C$45*AQ318*F318)*(G318/5))</f>
        <v>10922031.633978218</v>
      </c>
      <c r="AS318" s="1"/>
      <c r="AT318" s="62">
        <v>0</v>
      </c>
      <c r="AU318" s="1"/>
    </row>
    <row r="319" spans="1:47" ht="14.25" customHeight="1">
      <c r="A319" s="1">
        <v>34</v>
      </c>
      <c r="B319" s="3" t="s">
        <v>227</v>
      </c>
      <c r="C319" s="1">
        <v>2025</v>
      </c>
      <c r="D319" s="13">
        <f>VLOOKUP(B319,Population!$B$1:$O$48,9,FALSE)</f>
        <v>117107.50567465703</v>
      </c>
      <c r="E319" s="13" t="str">
        <f t="shared" si="20"/>
        <v>Medium</v>
      </c>
      <c r="F319" s="54">
        <f>VLOOKUP(B319,'Household Information'!$B$1:$E$48,2,FALSE)</f>
        <v>2.8808529227072923</v>
      </c>
      <c r="G319" s="54">
        <f t="shared" si="0"/>
        <v>40650.289624853467</v>
      </c>
      <c r="H319" s="55">
        <f>IF(D319&gt;Variables!$C$6,H272,H272*(1+Variables!$C$9))</f>
        <v>8.2342029393899967</v>
      </c>
      <c r="I319" s="1"/>
      <c r="J319" s="13">
        <f>H319*Variables!$C$21</f>
        <v>148.21565290901995</v>
      </c>
      <c r="K319" s="13">
        <f t="shared" si="12"/>
        <v>148.21565290901995</v>
      </c>
      <c r="L319" s="54">
        <f t="shared" si="1"/>
        <v>0</v>
      </c>
      <c r="M319" s="56"/>
      <c r="N319" s="57"/>
      <c r="O319" s="57"/>
      <c r="P319" s="57"/>
      <c r="Q319" s="57"/>
      <c r="R319" s="57"/>
      <c r="S319" s="58">
        <v>0</v>
      </c>
      <c r="T319" s="59">
        <f>$L319*Variables!$C$22/100</f>
        <v>0</v>
      </c>
      <c r="U319" s="59">
        <f>$L319*Variables!$C$23/100</f>
        <v>0</v>
      </c>
      <c r="V319" s="59">
        <f>$L319*Variables!$C$24/100</f>
        <v>0</v>
      </c>
      <c r="W319" s="59">
        <f>$L319*Variables!$C$25/100</f>
        <v>0</v>
      </c>
      <c r="X319" s="62">
        <f>T319*Variables!$E$26*Variables!$C$18+'Cost Calculations'!U319*Variables!$E$27*Variables!$C$18+'Cost Calculations'!V319*Variables!$E$28*Variables!$C$18+W319*Variables!$E$29*Variables!$C$18</f>
        <v>0</v>
      </c>
      <c r="Y319" s="58">
        <f>J319*Variables!$E$30</f>
        <v>97081.252655408069</v>
      </c>
      <c r="Z319" s="1"/>
      <c r="AA319" s="245">
        <f>D319*(IF(D319&lt;Variables!$C$7,Variables!$C$38,IF(D319&gt;Variables!$C$6,Variables!$C$36,Variables!$C$37)))</f>
        <v>140.52900680958842</v>
      </c>
      <c r="AB319" s="64">
        <f t="shared" si="13"/>
        <v>138</v>
      </c>
      <c r="AC319" s="66">
        <f t="shared" si="2"/>
        <v>3</v>
      </c>
      <c r="AD319" s="62">
        <f>AC319*Variables!$E$41</f>
        <v>1612800</v>
      </c>
      <c r="AE319" s="71">
        <f>ROUND((H319/(3.14*Variables!$C$35^2)),0)</f>
        <v>10</v>
      </c>
      <c r="AF319" s="57">
        <f t="shared" si="14"/>
        <v>10</v>
      </c>
      <c r="AG319" s="57">
        <f t="shared" si="3"/>
        <v>0</v>
      </c>
      <c r="AH319" s="58">
        <f>AG319*Variables!$E$42*Variables!$C$18</f>
        <v>0</v>
      </c>
      <c r="AI319" s="73">
        <f t="shared" si="4"/>
        <v>1</v>
      </c>
      <c r="AJ319" s="66">
        <f t="shared" si="15"/>
        <v>1</v>
      </c>
      <c r="AK319" s="66">
        <f t="shared" si="5"/>
        <v>0</v>
      </c>
      <c r="AL319" s="62">
        <f>IF(AK319*Variables!$E$43*Variables!$C$18&lt;0,0,AK319*Variables!$E$43*Variables!$C$18)</f>
        <v>0</v>
      </c>
      <c r="AM319" s="58">
        <f>AA319*Variables!$E$39*Variables!$C$18</f>
        <v>40620234.687300481</v>
      </c>
      <c r="AN319" s="1"/>
      <c r="AO319" s="76">
        <f t="shared" si="16"/>
        <v>0.67714285714285716</v>
      </c>
      <c r="AP319" s="76">
        <f t="shared" si="6"/>
        <v>117.04493874542199</v>
      </c>
      <c r="AQ319" s="75">
        <f>VLOOKUP(B319,'Household Information'!$B$2:$E$48,4,FALSE)</f>
        <v>40.760000000000005</v>
      </c>
      <c r="AR319" s="79">
        <f>IF(12*(AP319-Variables!$C$45*AQ319*F319)*(G319/5)&lt;0,0,12*(AP319-Variables!$C$45*AQ319*F319)*(G319/5))</f>
        <v>9700596.8866314795</v>
      </c>
      <c r="AS319" s="1"/>
      <c r="AT319" s="62">
        <v>0</v>
      </c>
      <c r="AU319" s="1"/>
    </row>
    <row r="320" spans="1:47" ht="14.25" customHeight="1">
      <c r="A320" s="1">
        <v>35</v>
      </c>
      <c r="B320" s="3" t="s">
        <v>228</v>
      </c>
      <c r="C320" s="1">
        <v>2025</v>
      </c>
      <c r="D320" s="13">
        <f>VLOOKUP(B320,Population!$B$1:$O$48,9,FALSE)</f>
        <v>534835.37337228027</v>
      </c>
      <c r="E320" s="13" t="str">
        <f t="shared" si="20"/>
        <v>Medium</v>
      </c>
      <c r="F320" s="54">
        <f>VLOOKUP(B320,'Household Information'!$B$1:$E$48,2,FALSE)</f>
        <v>2.7382605632202197</v>
      </c>
      <c r="G320" s="54">
        <f t="shared" si="0"/>
        <v>195319.3865317583</v>
      </c>
      <c r="H320" s="55">
        <f>IF(D320&gt;Variables!$C$6,H273,H273*(1+Variables!$C$9))</f>
        <v>24.726831923274581</v>
      </c>
      <c r="I320" s="1"/>
      <c r="J320" s="13">
        <f>H320*Variables!$C$21</f>
        <v>445.08297461894244</v>
      </c>
      <c r="K320" s="13">
        <f t="shared" si="12"/>
        <v>445.08297461894244</v>
      </c>
      <c r="L320" s="54">
        <f t="shared" si="1"/>
        <v>0</v>
      </c>
      <c r="M320" s="56"/>
      <c r="N320" s="57"/>
      <c r="O320" s="57"/>
      <c r="P320" s="57"/>
      <c r="Q320" s="57"/>
      <c r="R320" s="57"/>
      <c r="S320" s="58">
        <v>0</v>
      </c>
      <c r="T320" s="59">
        <f>$L320*Variables!$C$22/100</f>
        <v>0</v>
      </c>
      <c r="U320" s="59">
        <f>$L320*Variables!$C$23/100</f>
        <v>0</v>
      </c>
      <c r="V320" s="59">
        <f>$L320*Variables!$C$24/100</f>
        <v>0</v>
      </c>
      <c r="W320" s="59">
        <f>$L320*Variables!$C$25/100</f>
        <v>0</v>
      </c>
      <c r="X320" s="62">
        <f>T320*Variables!$E$26*Variables!$C$18+'Cost Calculations'!U320*Variables!$E$27*Variables!$C$18+'Cost Calculations'!V320*Variables!$E$28*Variables!$C$18+W320*Variables!$E$29*Variables!$C$18</f>
        <v>0</v>
      </c>
      <c r="Y320" s="58">
        <f>J320*Variables!$E$30</f>
        <v>291529.34837540728</v>
      </c>
      <c r="Z320" s="1"/>
      <c r="AA320" s="245">
        <f>D320*(IF(D320&lt;Variables!$C$7,Variables!$C$38,IF(D320&gt;Variables!$C$6,Variables!$C$36,Variables!$C$37)))</f>
        <v>641.80244804673623</v>
      </c>
      <c r="AB320" s="64">
        <f t="shared" si="13"/>
        <v>632</v>
      </c>
      <c r="AC320" s="66">
        <f t="shared" si="2"/>
        <v>10</v>
      </c>
      <c r="AD320" s="62">
        <f>AC320*Variables!$E$41</f>
        <v>5376000</v>
      </c>
      <c r="AE320" s="71">
        <f>ROUND((H320/(3.14*Variables!$C$35^2)),0)</f>
        <v>31</v>
      </c>
      <c r="AF320" s="57">
        <f t="shared" si="14"/>
        <v>31</v>
      </c>
      <c r="AG320" s="57">
        <f t="shared" si="3"/>
        <v>0</v>
      </c>
      <c r="AH320" s="58">
        <f>AG320*Variables!$E$42*Variables!$C$18</f>
        <v>0</v>
      </c>
      <c r="AI320" s="73">
        <f t="shared" si="4"/>
        <v>5</v>
      </c>
      <c r="AJ320" s="66">
        <f t="shared" si="15"/>
        <v>5</v>
      </c>
      <c r="AK320" s="66">
        <f t="shared" si="5"/>
        <v>0</v>
      </c>
      <c r="AL320" s="62">
        <f>IF(AK320*Variables!$E$43*Variables!$C$18&lt;0,0,AK320*Variables!$E$43*Variables!$C$18)</f>
        <v>0</v>
      </c>
      <c r="AM320" s="58">
        <f>AA320*Variables!$E$39*Variables!$C$18</f>
        <v>185514483.12636626</v>
      </c>
      <c r="AN320" s="1"/>
      <c r="AO320" s="76">
        <f t="shared" si="16"/>
        <v>0.67714285714285716</v>
      </c>
      <c r="AP320" s="76">
        <f t="shared" si="6"/>
        <v>111.25161488283292</v>
      </c>
      <c r="AQ320" s="75">
        <f>VLOOKUP(B320,'Household Information'!$B$2:$E$48,4,FALSE)</f>
        <v>40.760000000000005</v>
      </c>
      <c r="AR320" s="79">
        <f>IF(12*(AP320-Variables!$C$45*AQ320*F320)*(G320/5)&lt;0,0,12*(AP320-Variables!$C$45*AQ320*F320)*(G320/5))</f>
        <v>44303072.872282162</v>
      </c>
      <c r="AS320" s="1"/>
      <c r="AT320" s="62">
        <v>0</v>
      </c>
      <c r="AU320" s="1"/>
    </row>
    <row r="321" spans="1:47" ht="14.25" customHeight="1">
      <c r="A321" s="1">
        <v>36</v>
      </c>
      <c r="B321" s="3" t="s">
        <v>229</v>
      </c>
      <c r="C321" s="1">
        <v>2025</v>
      </c>
      <c r="D321" s="13">
        <f>VLOOKUP(B321,Population!$B$1:$O$48,9,FALSE)</f>
        <v>286833.86851490033</v>
      </c>
      <c r="E321" s="13" t="str">
        <f t="shared" si="20"/>
        <v>Medium</v>
      </c>
      <c r="F321" s="54">
        <f>VLOOKUP(B321,'Household Information'!$B$1:$E$48,2,FALSE)</f>
        <v>2.7303604631507774</v>
      </c>
      <c r="G321" s="54">
        <f t="shared" si="0"/>
        <v>105053.48007563083</v>
      </c>
      <c r="H321" s="55">
        <f>IF(D321&gt;Variables!$C$6,H274,H274*(1+Variables!$C$9))</f>
        <v>25.407115316792478</v>
      </c>
      <c r="I321" s="1"/>
      <c r="J321" s="13">
        <f>H321*Variables!$C$21</f>
        <v>457.32807570226458</v>
      </c>
      <c r="K321" s="13">
        <f t="shared" si="12"/>
        <v>457.32807570226458</v>
      </c>
      <c r="L321" s="54">
        <f t="shared" si="1"/>
        <v>0</v>
      </c>
      <c r="M321" s="56"/>
      <c r="N321" s="57"/>
      <c r="O321" s="57"/>
      <c r="P321" s="57"/>
      <c r="Q321" s="57"/>
      <c r="R321" s="57"/>
      <c r="S321" s="58">
        <v>0</v>
      </c>
      <c r="T321" s="59">
        <f>$L321*Variables!$C$22/100</f>
        <v>0</v>
      </c>
      <c r="U321" s="59">
        <f>$L321*Variables!$C$23/100</f>
        <v>0</v>
      </c>
      <c r="V321" s="59">
        <f>$L321*Variables!$C$24/100</f>
        <v>0</v>
      </c>
      <c r="W321" s="59">
        <f>$L321*Variables!$C$25/100</f>
        <v>0</v>
      </c>
      <c r="X321" s="62">
        <f>T321*Variables!$E$26*Variables!$C$18+'Cost Calculations'!U321*Variables!$E$27*Variables!$C$18+'Cost Calculations'!V321*Variables!$E$28*Variables!$C$18+W321*Variables!$E$29*Variables!$C$18</f>
        <v>0</v>
      </c>
      <c r="Y321" s="58">
        <f>J321*Variables!$E$30</f>
        <v>299549.88958498329</v>
      </c>
      <c r="Z321" s="1"/>
      <c r="AA321" s="245">
        <f>D321*(IF(D321&lt;Variables!$C$7,Variables!$C$38,IF(D321&gt;Variables!$C$6,Variables!$C$36,Variables!$C$37)))</f>
        <v>344.20064221788039</v>
      </c>
      <c r="AB321" s="64">
        <f t="shared" si="13"/>
        <v>339</v>
      </c>
      <c r="AC321" s="66">
        <f t="shared" si="2"/>
        <v>5</v>
      </c>
      <c r="AD321" s="62">
        <f>AC321*Variables!$E$41</f>
        <v>2688000</v>
      </c>
      <c r="AE321" s="71">
        <f>ROUND((H321/(3.14*Variables!$C$35^2)),0)</f>
        <v>32</v>
      </c>
      <c r="AF321" s="57">
        <f t="shared" si="14"/>
        <v>32</v>
      </c>
      <c r="AG321" s="57">
        <f t="shared" si="3"/>
        <v>0</v>
      </c>
      <c r="AH321" s="58">
        <f>AG321*Variables!$E$42*Variables!$C$18</f>
        <v>0</v>
      </c>
      <c r="AI321" s="73">
        <f t="shared" si="4"/>
        <v>3</v>
      </c>
      <c r="AJ321" s="66">
        <f t="shared" si="15"/>
        <v>3</v>
      </c>
      <c r="AK321" s="66">
        <f t="shared" si="5"/>
        <v>0</v>
      </c>
      <c r="AL321" s="62">
        <f>IF(AK321*Variables!$E$43*Variables!$C$18&lt;0,0,AK321*Variables!$E$43*Variables!$C$18)</f>
        <v>0</v>
      </c>
      <c r="AM321" s="58">
        <f>AA321*Variables!$E$39*Variables!$C$18</f>
        <v>99491992.32123141</v>
      </c>
      <c r="AN321" s="1"/>
      <c r="AO321" s="76">
        <f t="shared" si="16"/>
        <v>0.67714285714285716</v>
      </c>
      <c r="AP321" s="76">
        <f t="shared" si="6"/>
        <v>110.93064510286872</v>
      </c>
      <c r="AQ321" s="75">
        <f>VLOOKUP(B321,'Household Information'!$B$2:$E$48,4,FALSE)</f>
        <v>27.28</v>
      </c>
      <c r="AR321" s="79">
        <f>IF(12*(AP321-Variables!$C$45*AQ321*F321)*(G321/5)&lt;0,0,12*(AP321-Variables!$C$45*AQ321*F321)*(G321/5))</f>
        <v>25151822.700307496</v>
      </c>
      <c r="AS321" s="1"/>
      <c r="AT321" s="62">
        <v>0</v>
      </c>
      <c r="AU321" s="1"/>
    </row>
    <row r="322" spans="1:47" ht="14.25" customHeight="1">
      <c r="A322" s="1">
        <v>37</v>
      </c>
      <c r="B322" s="3" t="s">
        <v>230</v>
      </c>
      <c r="C322" s="1">
        <v>2025</v>
      </c>
      <c r="D322" s="13">
        <f>VLOOKUP(B322,Population!$B$1:$O$48,9,FALSE)</f>
        <v>133694.13789797411</v>
      </c>
      <c r="E322" s="13" t="str">
        <f t="shared" si="20"/>
        <v>Medium</v>
      </c>
      <c r="F322" s="54">
        <f>VLOOKUP(B322,'Household Information'!$B$1:$E$48,2,FALSE)</f>
        <v>2.4882673717260184</v>
      </c>
      <c r="G322" s="54">
        <f t="shared" si="0"/>
        <v>53729.811923400928</v>
      </c>
      <c r="H322" s="55">
        <f>IF(D322&gt;Variables!$C$6,H275,H275*(1+Variables!$C$9))</f>
        <v>33.664331695979989</v>
      </c>
      <c r="I322" s="1"/>
      <c r="J322" s="13">
        <f>H322*Variables!$C$21</f>
        <v>605.95797052763976</v>
      </c>
      <c r="K322" s="13">
        <f t="shared" si="12"/>
        <v>605.95797052763976</v>
      </c>
      <c r="L322" s="54">
        <f t="shared" si="1"/>
        <v>0</v>
      </c>
      <c r="M322" s="56"/>
      <c r="N322" s="57"/>
      <c r="O322" s="57"/>
      <c r="P322" s="57"/>
      <c r="Q322" s="57"/>
      <c r="R322" s="57"/>
      <c r="S322" s="58">
        <v>0</v>
      </c>
      <c r="T322" s="59">
        <f>$L322*Variables!$C$22/100</f>
        <v>0</v>
      </c>
      <c r="U322" s="59">
        <f>$L322*Variables!$C$23/100</f>
        <v>0</v>
      </c>
      <c r="V322" s="59">
        <f>$L322*Variables!$C$24/100</f>
        <v>0</v>
      </c>
      <c r="W322" s="59">
        <f>$L322*Variables!$C$25/100</f>
        <v>0</v>
      </c>
      <c r="X322" s="62">
        <f>T322*Variables!$E$26*Variables!$C$18+'Cost Calculations'!U322*Variables!$E$27*Variables!$C$18+'Cost Calculations'!V322*Variables!$E$28*Variables!$C$18+W322*Variables!$E$29*Variables!$C$18</f>
        <v>0</v>
      </c>
      <c r="Y322" s="58">
        <f>J322*Variables!$E$30</f>
        <v>396902.47069560405</v>
      </c>
      <c r="Z322" s="1"/>
      <c r="AA322" s="245">
        <f>D322*(IF(D322&lt;Variables!$C$7,Variables!$C$38,IF(D322&gt;Variables!$C$6,Variables!$C$36,Variables!$C$37)))</f>
        <v>160.43296547756893</v>
      </c>
      <c r="AB322" s="64">
        <f t="shared" si="13"/>
        <v>158</v>
      </c>
      <c r="AC322" s="66">
        <f t="shared" si="2"/>
        <v>2</v>
      </c>
      <c r="AD322" s="62">
        <f>AC322*Variables!$E$41</f>
        <v>1075200</v>
      </c>
      <c r="AE322" s="71">
        <f>ROUND((H322/(3.14*Variables!$C$35^2)),0)</f>
        <v>43</v>
      </c>
      <c r="AF322" s="57">
        <f t="shared" si="14"/>
        <v>43</v>
      </c>
      <c r="AG322" s="57">
        <f t="shared" si="3"/>
        <v>0</v>
      </c>
      <c r="AH322" s="58">
        <f>AG322*Variables!$E$42*Variables!$C$18</f>
        <v>0</v>
      </c>
      <c r="AI322" s="73">
        <f t="shared" si="4"/>
        <v>1</v>
      </c>
      <c r="AJ322" s="66">
        <f t="shared" si="15"/>
        <v>1</v>
      </c>
      <c r="AK322" s="66">
        <f t="shared" si="5"/>
        <v>0</v>
      </c>
      <c r="AL322" s="62">
        <f>IF(AK322*Variables!$E$43*Variables!$C$18&lt;0,0,AK322*Variables!$E$43*Variables!$C$18)</f>
        <v>0</v>
      </c>
      <c r="AM322" s="58">
        <f>AA322*Variables!$E$39*Variables!$C$18</f>
        <v>46373520.010060847</v>
      </c>
      <c r="AN322" s="1"/>
      <c r="AO322" s="76">
        <f t="shared" si="16"/>
        <v>0.67714285714285716</v>
      </c>
      <c r="AP322" s="76">
        <f t="shared" si="6"/>
        <v>101.09474864555423</v>
      </c>
      <c r="AQ322" s="75">
        <f>VLOOKUP(B322,'Household Information'!$B$2:$E$48,4,FALSE)</f>
        <v>40.760000000000005</v>
      </c>
      <c r="AR322" s="79">
        <f>IF(12*(AP322-Variables!$C$45*AQ322*F322)*(G322/5)&lt;0,0,12*(AP322-Variables!$C$45*AQ322*F322)*(G322/5))</f>
        <v>11074550.092946174</v>
      </c>
      <c r="AS322" s="1"/>
      <c r="AT322" s="62">
        <v>0</v>
      </c>
      <c r="AU322" s="1"/>
    </row>
    <row r="323" spans="1:47" ht="14.25" customHeight="1">
      <c r="A323" s="1">
        <v>38</v>
      </c>
      <c r="B323" s="3" t="s">
        <v>231</v>
      </c>
      <c r="C323" s="1">
        <v>2025</v>
      </c>
      <c r="D323" s="13">
        <f>VLOOKUP(B323,Population!$B$1:$O$48,9,FALSE)</f>
        <v>39461.645723135662</v>
      </c>
      <c r="E323" s="13" t="str">
        <f t="shared" si="20"/>
        <v>Small</v>
      </c>
      <c r="F323" s="54">
        <f>VLOOKUP(B323,'Household Information'!$B$1:$E$48,2,FALSE)</f>
        <v>3.5815854318168161</v>
      </c>
      <c r="G323" s="54">
        <f t="shared" si="0"/>
        <v>11017.92669039256</v>
      </c>
      <c r="H323" s="55">
        <f>IF(D323&gt;Variables!$C$6,H276,H276*(1+Variables!$C$9))</f>
        <v>4.3742583537077717</v>
      </c>
      <c r="I323" s="1"/>
      <c r="J323" s="13">
        <f>H323*Variables!$C$21</f>
        <v>78.736650366739894</v>
      </c>
      <c r="K323" s="13">
        <f t="shared" si="12"/>
        <v>76.22134595037744</v>
      </c>
      <c r="L323" s="54">
        <f t="shared" si="1"/>
        <v>2.5153044163624543</v>
      </c>
      <c r="M323" s="56"/>
      <c r="N323" s="57"/>
      <c r="O323" s="57"/>
      <c r="P323" s="57"/>
      <c r="Q323" s="57"/>
      <c r="R323" s="57"/>
      <c r="S323" s="58">
        <v>0</v>
      </c>
      <c r="T323" s="59">
        <f>$L323*Variables!$C$22/100</f>
        <v>0.13657761536809704</v>
      </c>
      <c r="U323" s="59">
        <f>$L323*Variables!$C$23/100</f>
        <v>0.23901082689416986</v>
      </c>
      <c r="V323" s="59">
        <f>$L323*Variables!$C$24/100</f>
        <v>0.25039229484151126</v>
      </c>
      <c r="W323" s="59">
        <f>$L323*Variables!$C$25/100</f>
        <v>1.8210348715746276</v>
      </c>
      <c r="X323" s="62">
        <f>T323*Variables!$E$26*Variables!$C$18+'Cost Calculations'!U323*Variables!$E$27*Variables!$C$18+'Cost Calculations'!V323*Variables!$E$28*Variables!$C$18+W323*Variables!$E$29*Variables!$C$18</f>
        <v>2859216.9016955202</v>
      </c>
      <c r="Y323" s="58">
        <f>J323*Variables!$E$30</f>
        <v>51572.505990214631</v>
      </c>
      <c r="Z323" s="1"/>
      <c r="AA323" s="245">
        <f>D323*(IF(D323&lt;Variables!$C$7,Variables!$C$38,IF(D323&gt;Variables!$C$6,Variables!$C$36,Variables!$C$37)))</f>
        <v>19.73082286156783</v>
      </c>
      <c r="AB323" s="64">
        <f t="shared" si="13"/>
        <v>19</v>
      </c>
      <c r="AC323" s="66">
        <f t="shared" si="2"/>
        <v>1</v>
      </c>
      <c r="AD323" s="62">
        <f>AC323*Variables!$E$41</f>
        <v>537600</v>
      </c>
      <c r="AE323" s="71">
        <f>ROUND((H323/(3.14*Variables!$C$35^2)),0)</f>
        <v>6</v>
      </c>
      <c r="AF323" s="57">
        <f t="shared" si="14"/>
        <v>5</v>
      </c>
      <c r="AG323" s="57">
        <f t="shared" si="3"/>
        <v>1</v>
      </c>
      <c r="AH323" s="58">
        <f>AG323*Variables!$E$42*Variables!$C$18</f>
        <v>1148.2560000000001</v>
      </c>
      <c r="AI323" s="73">
        <f t="shared" si="4"/>
        <v>0</v>
      </c>
      <c r="AJ323" s="66">
        <f t="shared" si="15"/>
        <v>0</v>
      </c>
      <c r="AK323" s="66">
        <f t="shared" si="5"/>
        <v>0</v>
      </c>
      <c r="AL323" s="62">
        <f>IF(AK323*Variables!$E$43*Variables!$C$18&lt;0,0,AK323*Variables!$E$43*Variables!$C$18)</f>
        <v>0</v>
      </c>
      <c r="AM323" s="58">
        <f>AA323*Variables!$E$39*Variables!$C$18</f>
        <v>5703240.0171759678</v>
      </c>
      <c r="AN323" s="1"/>
      <c r="AO323" s="76">
        <f t="shared" si="16"/>
        <v>0.67714285714285716</v>
      </c>
      <c r="AP323" s="76">
        <f t="shared" si="6"/>
        <v>145.51469954410035</v>
      </c>
      <c r="AQ323" s="75">
        <f>VLOOKUP(B323,'Household Information'!$B$2:$E$48,4,FALSE)</f>
        <v>40.760000000000005</v>
      </c>
      <c r="AR323" s="79">
        <f>IF(12*(AP323-Variables!$C$45*AQ323*F323)*(G323/5)&lt;0,0,12*(AP323-Variables!$C$45*AQ323*F323)*(G323/5))</f>
        <v>3268804.2960003498</v>
      </c>
      <c r="AS323" s="1"/>
      <c r="AT323" s="62">
        <v>0</v>
      </c>
      <c r="AU323" s="1"/>
    </row>
    <row r="324" spans="1:47" ht="14.25" customHeight="1">
      <c r="A324" s="1">
        <v>39</v>
      </c>
      <c r="B324" s="3" t="s">
        <v>232</v>
      </c>
      <c r="C324" s="1">
        <v>2025</v>
      </c>
      <c r="D324" s="13">
        <f>VLOOKUP(B324,Population!$B$1:$O$48,9,FALSE)</f>
        <v>74490.570864141613</v>
      </c>
      <c r="E324" s="13" t="str">
        <f t="shared" si="20"/>
        <v>Small</v>
      </c>
      <c r="F324" s="54">
        <f>VLOOKUP(B324,'Household Information'!$B$1:$E$48,2,FALSE)</f>
        <v>3.4614749871067563</v>
      </c>
      <c r="G324" s="54">
        <f t="shared" si="0"/>
        <v>21519.892861165496</v>
      </c>
      <c r="H324" s="55">
        <f>IF(D324&gt;Variables!$C$6,H277,H277*(1+Variables!$C$9))</f>
        <v>7.1324712600735056</v>
      </c>
      <c r="I324" s="1"/>
      <c r="J324" s="13">
        <f>H324*Variables!$C$21</f>
        <v>128.38448268132311</v>
      </c>
      <c r="K324" s="13">
        <f t="shared" si="12"/>
        <v>124.28313909130989</v>
      </c>
      <c r="L324" s="54">
        <f t="shared" si="1"/>
        <v>4.1013435900132151</v>
      </c>
      <c r="M324" s="56"/>
      <c r="N324" s="57"/>
      <c r="O324" s="57"/>
      <c r="P324" s="57"/>
      <c r="Q324" s="57"/>
      <c r="R324" s="57"/>
      <c r="S324" s="58">
        <v>0</v>
      </c>
      <c r="T324" s="59">
        <f>$L324*Variables!$C$22/100</f>
        <v>0.22269738950297999</v>
      </c>
      <c r="U324" s="59">
        <f>$L324*Variables!$C$23/100</f>
        <v>0.38972043163021503</v>
      </c>
      <c r="V324" s="59">
        <f>$L324*Variables!$C$24/100</f>
        <v>0.40827854742212999</v>
      </c>
      <c r="W324" s="59">
        <f>$L324*Variables!$C$25/100</f>
        <v>2.9692985267064</v>
      </c>
      <c r="X324" s="62">
        <f>T324*Variables!$E$26*Variables!$C$18+'Cost Calculations'!U324*Variables!$E$27*Variables!$C$18+'Cost Calculations'!V324*Variables!$E$28*Variables!$C$18+W324*Variables!$E$29*Variables!$C$18</f>
        <v>4662112.0035979627</v>
      </c>
      <c r="Y324" s="58">
        <f>J324*Variables!$E$30</f>
        <v>84091.83615626664</v>
      </c>
      <c r="Z324" s="1"/>
      <c r="AA324" s="245">
        <f>D324*(IF(D324&lt;Variables!$C$7,Variables!$C$38,IF(D324&gt;Variables!$C$6,Variables!$C$36,Variables!$C$37)))</f>
        <v>59.592456691313295</v>
      </c>
      <c r="AB324" s="64">
        <f t="shared" si="13"/>
        <v>59</v>
      </c>
      <c r="AC324" s="66">
        <f t="shared" si="2"/>
        <v>1</v>
      </c>
      <c r="AD324" s="62">
        <f>AC324*Variables!$E$41</f>
        <v>537600</v>
      </c>
      <c r="AE324" s="71">
        <f>ROUND((H324/(3.14*Variables!$C$35^2)),0)</f>
        <v>9</v>
      </c>
      <c r="AF324" s="57">
        <f t="shared" si="14"/>
        <v>9</v>
      </c>
      <c r="AG324" s="57">
        <f t="shared" si="3"/>
        <v>0</v>
      </c>
      <c r="AH324" s="58">
        <f>AG324*Variables!$E$42*Variables!$C$18</f>
        <v>0</v>
      </c>
      <c r="AI324" s="73">
        <f t="shared" si="4"/>
        <v>0</v>
      </c>
      <c r="AJ324" s="66">
        <f t="shared" si="15"/>
        <v>3</v>
      </c>
      <c r="AK324" s="66">
        <f t="shared" si="5"/>
        <v>0</v>
      </c>
      <c r="AL324" s="62">
        <f>IF(AK324*Variables!$E$43*Variables!$C$18&lt;0,0,AK324*Variables!$E$43*Variables!$C$18)</f>
        <v>0</v>
      </c>
      <c r="AM324" s="58">
        <f>AA324*Variables!$E$39*Variables!$C$18</f>
        <v>17225337.539557509</v>
      </c>
      <c r="AN324" s="1"/>
      <c r="AO324" s="76">
        <f t="shared" si="16"/>
        <v>0.67714285714285716</v>
      </c>
      <c r="AP324" s="76">
        <f t="shared" si="6"/>
        <v>140.63478376188021</v>
      </c>
      <c r="AQ324" s="75">
        <f>VLOOKUP(B324,'Household Information'!$B$2:$E$48,4,FALSE)</f>
        <v>40.760000000000005</v>
      </c>
      <c r="AR324" s="79">
        <f>IF(12*(AP324-Variables!$C$45*AQ324*F324)*(G324/5)&lt;0,0,12*(AP324-Variables!$C$45*AQ324*F324)*(G324/5))</f>
        <v>6170424.3092291458</v>
      </c>
      <c r="AS324" s="1"/>
      <c r="AT324" s="62">
        <v>0</v>
      </c>
      <c r="AU324" s="1"/>
    </row>
    <row r="325" spans="1:47" ht="14.25" customHeight="1">
      <c r="A325" s="1">
        <v>40</v>
      </c>
      <c r="B325" s="3" t="s">
        <v>233</v>
      </c>
      <c r="C325" s="1">
        <v>2025</v>
      </c>
      <c r="D325" s="13">
        <f>VLOOKUP(B325,Population!$B$1:$O$48,9,FALSE)</f>
        <v>3369.4891555698014</v>
      </c>
      <c r="E325" s="13" t="str">
        <f t="shared" ref="E325:E388" si="21">IF(D325&lt;100000,"Small",IF(D325&lt;1000000,"Medium","Large"))</f>
        <v>Small</v>
      </c>
      <c r="F325" s="54">
        <f>VLOOKUP(B325,'Household Information'!$B$1:$E$48,2,FALSE)</f>
        <v>3.9153259949195598</v>
      </c>
      <c r="G325" s="54">
        <f t="shared" si="0"/>
        <v>860.58968268337696</v>
      </c>
      <c r="H325" s="55">
        <f>IF(D325&gt;Variables!$C$6,H278,H278*(1+Variables!$C$9))</f>
        <v>0.24301435298376509</v>
      </c>
      <c r="I325" s="1"/>
      <c r="J325" s="13">
        <f>H325*Variables!$C$21</f>
        <v>4.3742583537077717</v>
      </c>
      <c r="K325" s="13">
        <f t="shared" si="12"/>
        <v>21.97</v>
      </c>
      <c r="L325" s="54">
        <f t="shared" si="1"/>
        <v>0</v>
      </c>
      <c r="M325" s="56"/>
      <c r="N325" s="57"/>
      <c r="O325" s="57"/>
      <c r="P325" s="57"/>
      <c r="Q325" s="57"/>
      <c r="R325" s="57"/>
      <c r="S325" s="58">
        <v>0</v>
      </c>
      <c r="T325" s="59">
        <f>$L325*Variables!$C$22/100</f>
        <v>0</v>
      </c>
      <c r="U325" s="59">
        <f>$L325*Variables!$C$23/100</f>
        <v>0</v>
      </c>
      <c r="V325" s="59">
        <f>$L325*Variables!$C$24/100</f>
        <v>0</v>
      </c>
      <c r="W325" s="59">
        <f>$L325*Variables!$C$25/100</f>
        <v>0</v>
      </c>
      <c r="X325" s="62">
        <f>T325*Variables!$E$26*Variables!$C$18+'Cost Calculations'!U325*Variables!$E$27*Variables!$C$18+'Cost Calculations'!V325*Variables!$E$28*Variables!$C$18+W325*Variables!$E$29*Variables!$C$18</f>
        <v>0</v>
      </c>
      <c r="Y325" s="58">
        <f>J325*Variables!$E$30</f>
        <v>2865.1392216785903</v>
      </c>
      <c r="Z325" s="1"/>
      <c r="AA325" s="245">
        <f>D325*(IF(D325&lt;Variables!$C$7,Variables!$C$38,IF(D325&gt;Variables!$C$6,Variables!$C$36,Variables!$C$37)))</f>
        <v>1.6847445777849006</v>
      </c>
      <c r="AB325" s="64">
        <f t="shared" si="13"/>
        <v>2</v>
      </c>
      <c r="AC325" s="66">
        <f t="shared" si="2"/>
        <v>0</v>
      </c>
      <c r="AD325" s="62">
        <f>AC325*Variables!$E$41</f>
        <v>0</v>
      </c>
      <c r="AE325" s="71">
        <f>ROUND((H325/(3.14*Variables!$C$35^2)),0)</f>
        <v>0</v>
      </c>
      <c r="AF325" s="57">
        <f t="shared" si="14"/>
        <v>0</v>
      </c>
      <c r="AG325" s="57">
        <f t="shared" si="3"/>
        <v>0</v>
      </c>
      <c r="AH325" s="58">
        <f>AG325*Variables!$E$42*Variables!$C$18</f>
        <v>0</v>
      </c>
      <c r="AI325" s="73">
        <f t="shared" si="4"/>
        <v>0</v>
      </c>
      <c r="AJ325" s="66">
        <f t="shared" si="15"/>
        <v>0</v>
      </c>
      <c r="AK325" s="66">
        <f t="shared" si="5"/>
        <v>0</v>
      </c>
      <c r="AL325" s="62">
        <f>IF(AK325*Variables!$E$43*Variables!$C$18&lt;0,0,AK325*Variables!$E$43*Variables!$C$18)</f>
        <v>0</v>
      </c>
      <c r="AM325" s="58">
        <f>AA325*Variables!$E$39*Variables!$C$18</f>
        <v>486979.31972511637</v>
      </c>
      <c r="AN325" s="1"/>
      <c r="AO325" s="76">
        <f t="shared" si="16"/>
        <v>0.67714285714285716</v>
      </c>
      <c r="AP325" s="76">
        <f t="shared" si="6"/>
        <v>159.07410185073181</v>
      </c>
      <c r="AQ325" s="75">
        <f>VLOOKUP(B325,'Household Information'!$B$2:$E$48,4,FALSE)</f>
        <v>40.760000000000005</v>
      </c>
      <c r="AR325" s="79">
        <f>IF(12*(AP325-Variables!$C$45*AQ325*F325)*(G325/5)&lt;0,0,12*(AP325-Variables!$C$45*AQ325*F325)*(G325/5))</f>
        <v>279111.5379305057</v>
      </c>
      <c r="AS325" s="1"/>
      <c r="AT325" s="62">
        <v>0</v>
      </c>
      <c r="AU325" s="1"/>
    </row>
    <row r="326" spans="1:47" ht="14.25" customHeight="1">
      <c r="A326" s="1">
        <v>41</v>
      </c>
      <c r="B326" s="3" t="s">
        <v>234</v>
      </c>
      <c r="C326" s="1">
        <v>2025</v>
      </c>
      <c r="D326" s="13">
        <f>VLOOKUP(B326,Population!$B$1:$O$48,9,FALSE)</f>
        <v>58068.195687933985</v>
      </c>
      <c r="E326" s="13" t="str">
        <f t="shared" si="21"/>
        <v>Small</v>
      </c>
      <c r="F326" s="54">
        <f>VLOOKUP(B326,'Household Information'!$B$1:$E$48,2,FALSE)</f>
        <v>2.524</v>
      </c>
      <c r="G326" s="54">
        <f t="shared" si="0"/>
        <v>23006.416675092703</v>
      </c>
      <c r="H326" s="55">
        <f>IF(D326&gt;Variables!$C$6,H279,H279*(1+Variables!$C$9))</f>
        <v>4.8602870596753016</v>
      </c>
      <c r="I326" s="1"/>
      <c r="J326" s="13">
        <f>H326*Variables!$C$21</f>
        <v>87.485167074155427</v>
      </c>
      <c r="K326" s="13">
        <f t="shared" si="12"/>
        <v>105</v>
      </c>
      <c r="L326" s="54">
        <f t="shared" si="1"/>
        <v>0</v>
      </c>
      <c r="M326" s="56"/>
      <c r="N326" s="57"/>
      <c r="O326" s="57"/>
      <c r="P326" s="57"/>
      <c r="Q326" s="57"/>
      <c r="R326" s="57"/>
      <c r="S326" s="58">
        <v>0</v>
      </c>
      <c r="T326" s="59">
        <f>$L326*Variables!$C$22/100</f>
        <v>0</v>
      </c>
      <c r="U326" s="59">
        <f>$L326*Variables!$C$23/100</f>
        <v>0</v>
      </c>
      <c r="V326" s="59">
        <f>$L326*Variables!$C$24/100</f>
        <v>0</v>
      </c>
      <c r="W326" s="59">
        <f>$L326*Variables!$C$25/100</f>
        <v>0</v>
      </c>
      <c r="X326" s="62">
        <f>T326*Variables!$E$26*Variables!$C$18+'Cost Calculations'!U326*Variables!$E$27*Variables!$C$18+'Cost Calculations'!V326*Variables!$E$28*Variables!$C$18+W326*Variables!$E$29*Variables!$C$18</f>
        <v>0</v>
      </c>
      <c r="Y326" s="58">
        <f>J326*Variables!$E$30</f>
        <v>57302.784433571804</v>
      </c>
      <c r="Z326" s="1"/>
      <c r="AA326" s="245">
        <f>D326*(IF(D326&lt;Variables!$C$7,Variables!$C$38,IF(D326&gt;Variables!$C$6,Variables!$C$36,Variables!$C$37)))</f>
        <v>46.454556550347192</v>
      </c>
      <c r="AB326" s="64">
        <f t="shared" si="13"/>
        <v>46</v>
      </c>
      <c r="AC326" s="66">
        <f t="shared" si="2"/>
        <v>0</v>
      </c>
      <c r="AD326" s="62">
        <f>AC326*Variables!$E$41</f>
        <v>0</v>
      </c>
      <c r="AE326" s="71">
        <f>ROUND((H326/(3.14*Variables!$C$35^2)),0)</f>
        <v>6</v>
      </c>
      <c r="AF326" s="57">
        <f t="shared" si="14"/>
        <v>6</v>
      </c>
      <c r="AG326" s="57">
        <f t="shared" si="3"/>
        <v>0</v>
      </c>
      <c r="AH326" s="58">
        <f>AG326*Variables!$E$42*Variables!$C$18</f>
        <v>0</v>
      </c>
      <c r="AI326" s="73">
        <f t="shared" si="4"/>
        <v>0</v>
      </c>
      <c r="AJ326" s="66">
        <f t="shared" si="15"/>
        <v>2</v>
      </c>
      <c r="AK326" s="66">
        <f t="shared" si="5"/>
        <v>0</v>
      </c>
      <c r="AL326" s="62">
        <f>IF(AK326*Variables!$E$43*Variables!$C$18&lt;0,0,AK326*Variables!$E$43*Variables!$C$18)</f>
        <v>0</v>
      </c>
      <c r="AM326" s="58">
        <f>AA326*Variables!$E$39*Variables!$C$18</f>
        <v>13427797.094776189</v>
      </c>
      <c r="AN326" s="1"/>
      <c r="AO326" s="76">
        <f t="shared" si="16"/>
        <v>0.67714285714285716</v>
      </c>
      <c r="AP326" s="76">
        <f t="shared" si="6"/>
        <v>102.54651428571428</v>
      </c>
      <c r="AQ326" s="75">
        <f>VLOOKUP(B326,'Household Information'!$B$2:$E$48,4,FALSE)</f>
        <v>40.760000000000005</v>
      </c>
      <c r="AR326" s="79">
        <f>IF(12*(AP326-Variables!$C$45*AQ326*F326)*(G326/5)&lt;0,0,12*(AP326-Variables!$C$45*AQ326*F326)*(G326/5))</f>
        <v>4810077.3307187064</v>
      </c>
      <c r="AS326" s="1"/>
      <c r="AT326" s="62">
        <v>0</v>
      </c>
      <c r="AU326" s="1"/>
    </row>
    <row r="327" spans="1:47" ht="14.25" customHeight="1">
      <c r="A327" s="1">
        <v>42</v>
      </c>
      <c r="B327" s="3" t="s">
        <v>235</v>
      </c>
      <c r="C327" s="1">
        <v>2025</v>
      </c>
      <c r="D327" s="13">
        <f>VLOOKUP(B327,Population!$B$1:$O$48,9,FALSE)</f>
        <v>50521.250280201886</v>
      </c>
      <c r="E327" s="13" t="str">
        <f t="shared" si="21"/>
        <v>Small</v>
      </c>
      <c r="F327" s="54">
        <f>VLOOKUP(B327,'Household Information'!$B$1:$E$48,2,FALSE)</f>
        <v>2.7236881469514751</v>
      </c>
      <c r="G327" s="54">
        <f t="shared" si="0"/>
        <v>18548.838029327431</v>
      </c>
      <c r="H327" s="55">
        <f>IF(D327&gt;Variables!$C$6,H280,H280*(1+Variables!$C$9))</f>
        <v>6.1968660010860086</v>
      </c>
      <c r="I327" s="1"/>
      <c r="J327" s="13">
        <f>H327*Variables!$C$21</f>
        <v>111.54358801954815</v>
      </c>
      <c r="K327" s="13">
        <f t="shared" si="12"/>
        <v>107.98024009636802</v>
      </c>
      <c r="L327" s="54">
        <f t="shared" si="1"/>
        <v>3.5633479231801317</v>
      </c>
      <c r="M327" s="56"/>
      <c r="N327" s="57"/>
      <c r="O327" s="57"/>
      <c r="P327" s="57"/>
      <c r="Q327" s="57"/>
      <c r="R327" s="57"/>
      <c r="S327" s="58">
        <v>0</v>
      </c>
      <c r="T327" s="59">
        <f>$L327*Variables!$C$22/100</f>
        <v>0.19348495510480351</v>
      </c>
      <c r="U327" s="59">
        <f>$L327*Variables!$C$23/100</f>
        <v>0.33859867143340616</v>
      </c>
      <c r="V327" s="59">
        <f>$L327*Variables!$C$24/100</f>
        <v>0.3547224176921398</v>
      </c>
      <c r="W327" s="59">
        <f>$L327*Variables!$C$25/100</f>
        <v>2.5797994013973806</v>
      </c>
      <c r="X327" s="62">
        <f>T327*Variables!$E$26*Variables!$C$18+'Cost Calculations'!U327*Variables!$E$27*Variables!$C$18+'Cost Calculations'!V327*Variables!$E$28*Variables!$C$18+W327*Variables!$E$29*Variables!$C$18</f>
        <v>4050557.2774019735</v>
      </c>
      <c r="Y327" s="58">
        <f>J327*Variables!$E$30</f>
        <v>73061.050152804033</v>
      </c>
      <c r="Z327" s="1"/>
      <c r="AA327" s="245">
        <f>D327*(IF(D327&lt;Variables!$C$7,Variables!$C$38,IF(D327&gt;Variables!$C$6,Variables!$C$36,Variables!$C$37)))</f>
        <v>40.417000224161512</v>
      </c>
      <c r="AB327" s="64">
        <f t="shared" si="13"/>
        <v>25</v>
      </c>
      <c r="AC327" s="66">
        <f t="shared" si="2"/>
        <v>15</v>
      </c>
      <c r="AD327" s="62">
        <f>AC327*Variables!$E$41</f>
        <v>8064000</v>
      </c>
      <c r="AE327" s="71">
        <f>ROUND((H327/(3.14*Variables!$C$35^2)),0)</f>
        <v>8</v>
      </c>
      <c r="AF327" s="57">
        <f t="shared" si="14"/>
        <v>8</v>
      </c>
      <c r="AG327" s="57">
        <f t="shared" si="3"/>
        <v>0</v>
      </c>
      <c r="AH327" s="58">
        <f>AG327*Variables!$E$42*Variables!$C$18</f>
        <v>0</v>
      </c>
      <c r="AI327" s="73">
        <f t="shared" si="4"/>
        <v>0</v>
      </c>
      <c r="AJ327" s="66">
        <f t="shared" si="15"/>
        <v>0</v>
      </c>
      <c r="AK327" s="66">
        <f t="shared" si="5"/>
        <v>0</v>
      </c>
      <c r="AL327" s="62">
        <f>IF(AK327*Variables!$E$43*Variables!$C$18&lt;0,0,AK327*Variables!$E$43*Variables!$C$18)</f>
        <v>0</v>
      </c>
      <c r="AM327" s="58">
        <f>AA327*Variables!$E$39*Variables!$C$18</f>
        <v>11682627.464140726</v>
      </c>
      <c r="AN327" s="1"/>
      <c r="AO327" s="76">
        <f t="shared" si="16"/>
        <v>0.67714285714285716</v>
      </c>
      <c r="AP327" s="76">
        <f t="shared" si="6"/>
        <v>110.65955842757135</v>
      </c>
      <c r="AQ327" s="75">
        <f>VLOOKUP(B327,'Household Information'!$B$2:$E$48,4,FALSE)</f>
        <v>40.760000000000005</v>
      </c>
      <c r="AR327" s="79">
        <f>IF(12*(AP327-Variables!$C$45*AQ327*F327)*(G327/5)&lt;0,0,12*(AP327-Variables!$C$45*AQ327*F327)*(G327/5))</f>
        <v>4184926.3234962281</v>
      </c>
      <c r="AS327" s="1"/>
      <c r="AT327" s="62">
        <v>0</v>
      </c>
      <c r="AU327" s="1"/>
    </row>
    <row r="328" spans="1:47" ht="14.25" customHeight="1">
      <c r="A328" s="1">
        <v>43</v>
      </c>
      <c r="B328" s="3" t="s">
        <v>236</v>
      </c>
      <c r="C328" s="1">
        <v>2025</v>
      </c>
      <c r="D328" s="13">
        <f>VLOOKUP(B328,Population!$B$1:$O$48,9,FALSE)</f>
        <v>26677.342171420063</v>
      </c>
      <c r="E328" s="13" t="str">
        <f t="shared" si="21"/>
        <v>Small</v>
      </c>
      <c r="F328" s="54">
        <f>VLOOKUP(B328,'Household Information'!$B$1:$E$48,2,FALSE)</f>
        <v>3.4114391143911438</v>
      </c>
      <c r="G328" s="54">
        <f t="shared" si="0"/>
        <v>7819.9672563059357</v>
      </c>
      <c r="H328" s="55">
        <f>IF(D328&gt;Variables!$C$6,H281,H281*(1+Variables!$C$9))</f>
        <v>5.2995811408688542</v>
      </c>
      <c r="I328" s="1"/>
      <c r="J328" s="13">
        <f>H328*Variables!$C$21</f>
        <v>95.392460535639373</v>
      </c>
      <c r="K328" s="13">
        <f t="shared" si="12"/>
        <v>92.345073122593789</v>
      </c>
      <c r="L328" s="54">
        <f t="shared" si="1"/>
        <v>3.047387413045584</v>
      </c>
      <c r="M328" s="56"/>
      <c r="N328" s="57"/>
      <c r="O328" s="57"/>
      <c r="P328" s="57"/>
      <c r="Q328" s="57"/>
      <c r="R328" s="57"/>
      <c r="S328" s="58">
        <v>0</v>
      </c>
      <c r="T328" s="59">
        <f>$L328*Variables!$C$22/100</f>
        <v>0.16546899980338012</v>
      </c>
      <c r="U328" s="59">
        <f>$L328*Variables!$C$23/100</f>
        <v>0.28957074965591523</v>
      </c>
      <c r="V328" s="59">
        <f>$L328*Variables!$C$24/100</f>
        <v>0.30335983297286356</v>
      </c>
      <c r="W328" s="59">
        <f>$L328*Variables!$C$25/100</f>
        <v>2.2062533307117347</v>
      </c>
      <c r="X328" s="62">
        <f>T328*Variables!$E$26*Variables!$C$18+'Cost Calculations'!U328*Variables!$E$27*Variables!$C$18+'Cost Calculations'!V328*Variables!$E$28*Variables!$C$18+W328*Variables!$E$29*Variables!$C$18</f>
        <v>3464050.5303110639</v>
      </c>
      <c r="Y328" s="58">
        <f>J328*Variables!$E$30</f>
        <v>62482.061650843789</v>
      </c>
      <c r="Z328" s="1"/>
      <c r="AA328" s="245">
        <f>D328*(IF(D328&lt;Variables!$C$7,Variables!$C$38,IF(D328&gt;Variables!$C$6,Variables!$C$36,Variables!$C$37)))</f>
        <v>13.338671085710033</v>
      </c>
      <c r="AB328" s="64">
        <f t="shared" si="13"/>
        <v>13</v>
      </c>
      <c r="AC328" s="66">
        <f t="shared" si="2"/>
        <v>0</v>
      </c>
      <c r="AD328" s="62">
        <f>AC328*Variables!$E$41</f>
        <v>0</v>
      </c>
      <c r="AE328" s="71">
        <f>ROUND((H328/(3.14*Variables!$C$35^2)),0)</f>
        <v>7</v>
      </c>
      <c r="AF328" s="57">
        <f t="shared" si="14"/>
        <v>7</v>
      </c>
      <c r="AG328" s="57">
        <f t="shared" si="3"/>
        <v>0</v>
      </c>
      <c r="AH328" s="58">
        <f>AG328*Variables!$E$42*Variables!$C$18</f>
        <v>0</v>
      </c>
      <c r="AI328" s="73">
        <f t="shared" si="4"/>
        <v>0</v>
      </c>
      <c r="AJ328" s="66">
        <f t="shared" si="15"/>
        <v>0</v>
      </c>
      <c r="AK328" s="66">
        <f t="shared" si="5"/>
        <v>0</v>
      </c>
      <c r="AL328" s="62">
        <f>IF(AK328*Variables!$E$43*Variables!$C$18&lt;0,0,AK328*Variables!$E$43*Variables!$C$18)</f>
        <v>0</v>
      </c>
      <c r="AM328" s="58">
        <f>AA328*Variables!$E$39*Variables!$C$18</f>
        <v>3855573.7510647639</v>
      </c>
      <c r="AN328" s="1"/>
      <c r="AO328" s="76">
        <f t="shared" si="16"/>
        <v>0.67714285714285716</v>
      </c>
      <c r="AP328" s="76">
        <f t="shared" si="6"/>
        <v>138.60189773326303</v>
      </c>
      <c r="AQ328" s="75">
        <f>VLOOKUP(B328,'Household Information'!$B$2:$E$48,4,FALSE)</f>
        <v>40.760000000000005</v>
      </c>
      <c r="AR328" s="79">
        <f>IF(12*(AP328-Variables!$C$45*AQ328*F328)*(G328/5)&lt;0,0,12*(AP328-Variables!$C$45*AQ328*F328)*(G328/5))</f>
        <v>2209816.8765598047</v>
      </c>
      <c r="AS328" s="1"/>
      <c r="AT328" s="62">
        <v>0</v>
      </c>
      <c r="AU328" s="1"/>
    </row>
    <row r="329" spans="1:47" ht="14.25" customHeight="1">
      <c r="A329" s="1">
        <v>44</v>
      </c>
      <c r="B329" s="3" t="s">
        <v>241</v>
      </c>
      <c r="C329" s="1">
        <v>2025</v>
      </c>
      <c r="D329" s="13">
        <f>VLOOKUP(B329,Population!$B$1:$O$48,9,FALSE)</f>
        <v>103181.36367133589</v>
      </c>
      <c r="E329" s="13" t="str">
        <f t="shared" si="21"/>
        <v>Medium</v>
      </c>
      <c r="F329" s="54">
        <f>VLOOKUP(B329,'Household Information'!$B$1:$E$48,2,FALSE)</f>
        <v>2.919</v>
      </c>
      <c r="G329" s="54">
        <f t="shared" si="0"/>
        <v>35348.188993263408</v>
      </c>
      <c r="H329" s="55">
        <f>IF(D329&gt;Variables!$C$6,H282,H282*(1+Variables!$C$9))</f>
        <v>11.723279703725108</v>
      </c>
      <c r="I329" s="1"/>
      <c r="J329" s="13">
        <f>H329*Variables!$C$21</f>
        <v>211.01903466705195</v>
      </c>
      <c r="K329" s="13">
        <f t="shared" si="12"/>
        <v>211.01903466705195</v>
      </c>
      <c r="L329" s="54">
        <f t="shared" si="1"/>
        <v>0</v>
      </c>
      <c r="M329" s="56"/>
      <c r="N329" s="57"/>
      <c r="O329" s="57"/>
      <c r="P329" s="57"/>
      <c r="Q329" s="57"/>
      <c r="R329" s="57"/>
      <c r="S329" s="58">
        <v>0</v>
      </c>
      <c r="T329" s="59">
        <f>$L329*Variables!$C$22/100</f>
        <v>0</v>
      </c>
      <c r="U329" s="59">
        <f>$L329*Variables!$C$23/100</f>
        <v>0</v>
      </c>
      <c r="V329" s="59">
        <f>$L329*Variables!$C$24/100</f>
        <v>0</v>
      </c>
      <c r="W329" s="59">
        <f>$L329*Variables!$C$25/100</f>
        <v>0</v>
      </c>
      <c r="X329" s="62">
        <f>T329*Variables!$E$26*Variables!$C$18+'Cost Calculations'!U329*Variables!$E$27*Variables!$C$18+'Cost Calculations'!V329*Variables!$E$28*Variables!$C$18+W329*Variables!$E$29*Variables!$C$18</f>
        <v>0</v>
      </c>
      <c r="Y329" s="58">
        <f>J329*Variables!$E$30</f>
        <v>138217.46770691904</v>
      </c>
      <c r="Z329" s="1"/>
      <c r="AA329" s="245">
        <f>D329*(IF(D329&lt;Variables!$C$7,Variables!$C$38,IF(D329&gt;Variables!$C$6,Variables!$C$36,Variables!$C$37)))</f>
        <v>123.81763640560305</v>
      </c>
      <c r="AB329" s="64">
        <f t="shared" si="13"/>
        <v>122</v>
      </c>
      <c r="AC329" s="66">
        <f t="shared" si="2"/>
        <v>2</v>
      </c>
      <c r="AD329" s="62">
        <f>AC329*Variables!$E$41</f>
        <v>1075200</v>
      </c>
      <c r="AE329" s="71">
        <f>ROUND((H329/(3.14*Variables!$C$35^2)),0)</f>
        <v>15</v>
      </c>
      <c r="AF329" s="57">
        <f t="shared" si="14"/>
        <v>15</v>
      </c>
      <c r="AG329" s="57">
        <f t="shared" si="3"/>
        <v>0</v>
      </c>
      <c r="AH329" s="58">
        <f>AG329*Variables!$E$42*Variables!$C$18</f>
        <v>0</v>
      </c>
      <c r="AI329" s="73">
        <f t="shared" si="4"/>
        <v>1</v>
      </c>
      <c r="AJ329" s="66">
        <f t="shared" si="15"/>
        <v>1</v>
      </c>
      <c r="AK329" s="66">
        <f t="shared" si="5"/>
        <v>0</v>
      </c>
      <c r="AL329" s="62">
        <f>IF(AK329*Variables!$E$43*Variables!$C$18&lt;0,0,AK329*Variables!$E$43*Variables!$C$18)</f>
        <v>0</v>
      </c>
      <c r="AM329" s="58">
        <f>AA329*Variables!$E$39*Variables!$C$18</f>
        <v>35789774.391825192</v>
      </c>
      <c r="AN329" s="1"/>
      <c r="AO329" s="76">
        <f t="shared" si="16"/>
        <v>0.67714285714285716</v>
      </c>
      <c r="AP329" s="76">
        <f t="shared" si="6"/>
        <v>118.59479999999999</v>
      </c>
      <c r="AQ329" s="75">
        <f>VLOOKUP(B329,'Household Information'!$B$2:$E$48,4,FALSE)</f>
        <v>40.760000000000005</v>
      </c>
      <c r="AR329" s="79">
        <f>IF(12*(AP329-Variables!$C$45*AQ329*F329)*(G329/5)&lt;0,0,12*(AP329-Variables!$C$45*AQ329*F329)*(G329/5))</f>
        <v>8547025.3116761465</v>
      </c>
      <c r="AS329" s="1"/>
      <c r="AT329" s="62">
        <v>0</v>
      </c>
      <c r="AU329" s="1"/>
    </row>
    <row r="330" spans="1:47" ht="14.25" customHeight="1">
      <c r="A330" s="1">
        <v>45</v>
      </c>
      <c r="B330" s="3" t="s">
        <v>242</v>
      </c>
      <c r="C330" s="1">
        <v>2025</v>
      </c>
      <c r="D330" s="13">
        <f>VLOOKUP(B330,Population!$B$1:$O$48,9,FALSE)</f>
        <v>26210.097463088416</v>
      </c>
      <c r="E330" s="13" t="str">
        <f t="shared" si="21"/>
        <v>Small</v>
      </c>
      <c r="F330" s="54">
        <f>VLOOKUP(B330,'Household Information'!$B$1:$E$48,2,FALSE)</f>
        <v>2.377290114757399</v>
      </c>
      <c r="G330" s="54">
        <f t="shared" si="0"/>
        <v>11025.199364766273</v>
      </c>
      <c r="H330" s="55">
        <f>IF(D330&gt;Variables!$C$6,H283,H283*(1+Variables!$C$9))</f>
        <v>4.6172727066915353</v>
      </c>
      <c r="I330" s="1"/>
      <c r="J330" s="13">
        <f>H330*Variables!$C$21</f>
        <v>83.11090872044764</v>
      </c>
      <c r="K330" s="13">
        <f t="shared" si="12"/>
        <v>80.455865169842838</v>
      </c>
      <c r="L330" s="54">
        <f t="shared" si="1"/>
        <v>2.6550435506048018</v>
      </c>
      <c r="M330" s="56"/>
      <c r="N330" s="57"/>
      <c r="O330" s="57"/>
      <c r="P330" s="57"/>
      <c r="Q330" s="57"/>
      <c r="R330" s="57"/>
      <c r="S330" s="58">
        <v>0</v>
      </c>
      <c r="T330" s="59">
        <f>$L330*Variables!$C$22/100</f>
        <v>0.14416526066632407</v>
      </c>
      <c r="U330" s="59">
        <f>$L330*Variables!$C$23/100</f>
        <v>0.25228920616606715</v>
      </c>
      <c r="V330" s="59">
        <f>$L330*Variables!$C$24/100</f>
        <v>0.26430297788826079</v>
      </c>
      <c r="W330" s="59">
        <f>$L330*Variables!$C$25/100</f>
        <v>1.9222034755509876</v>
      </c>
      <c r="X330" s="62">
        <f>T330*Variables!$E$26*Variables!$C$18+'Cost Calculations'!U330*Variables!$E$27*Variables!$C$18+'Cost Calculations'!V330*Variables!$E$28*Variables!$C$18+W330*Variables!$E$29*Variables!$C$18</f>
        <v>3018062.2851230362</v>
      </c>
      <c r="Y330" s="58">
        <f>J330*Variables!$E$30</f>
        <v>54437.645211893207</v>
      </c>
      <c r="Z330" s="1"/>
      <c r="AA330" s="245">
        <f>D330*(IF(D330&lt;Variables!$C$7,Variables!$C$38,IF(D330&gt;Variables!$C$6,Variables!$C$36,Variables!$C$37)))</f>
        <v>13.105048731544208</v>
      </c>
      <c r="AB330" s="64">
        <f t="shared" si="13"/>
        <v>13</v>
      </c>
      <c r="AC330" s="66">
        <f t="shared" si="2"/>
        <v>0</v>
      </c>
      <c r="AD330" s="62">
        <f>AC330*Variables!$E$41</f>
        <v>0</v>
      </c>
      <c r="AE330" s="71">
        <f>ROUND((H330/(3.14*Variables!$C$35^2)),0)</f>
        <v>6</v>
      </c>
      <c r="AF330" s="57">
        <f t="shared" si="14"/>
        <v>6</v>
      </c>
      <c r="AG330" s="57">
        <f t="shared" si="3"/>
        <v>0</v>
      </c>
      <c r="AH330" s="58">
        <f>AG330*Variables!$E$42*Variables!$C$18</f>
        <v>0</v>
      </c>
      <c r="AI330" s="73">
        <f t="shared" si="4"/>
        <v>0</v>
      </c>
      <c r="AJ330" s="66">
        <f t="shared" si="15"/>
        <v>0</v>
      </c>
      <c r="AK330" s="66">
        <f t="shared" si="5"/>
        <v>0</v>
      </c>
      <c r="AL330" s="62">
        <f>IF(AK330*Variables!$E$43*Variables!$C$18&lt;0,0,AK330*Variables!$E$43*Variables!$C$18)</f>
        <v>0</v>
      </c>
      <c r="AM330" s="58">
        <f>AA330*Variables!$E$39*Variables!$C$18</f>
        <v>3788044.6688499181</v>
      </c>
      <c r="AN330" s="1"/>
      <c r="AO330" s="76">
        <f t="shared" si="16"/>
        <v>0.67714285714285716</v>
      </c>
      <c r="AP330" s="76">
        <f t="shared" si="6"/>
        <v>96.585901233857754</v>
      </c>
      <c r="AQ330" s="75">
        <f>VLOOKUP(B330,'Household Information'!$B$2:$E$48,4,FALSE)</f>
        <v>40.760000000000005</v>
      </c>
      <c r="AR330" s="79">
        <f>IF(12*(AP330-Variables!$C$45*AQ330*F330)*(G330/5)&lt;0,0,12*(AP330-Variables!$C$45*AQ330*F330)*(G330/5))</f>
        <v>2171112.6744950013</v>
      </c>
      <c r="AS330" s="1"/>
      <c r="AT330" s="62">
        <v>0</v>
      </c>
      <c r="AU330" s="1"/>
    </row>
    <row r="331" spans="1:47" ht="14.25" customHeight="1">
      <c r="A331" s="1">
        <v>46</v>
      </c>
      <c r="B331" s="3" t="s">
        <v>243</v>
      </c>
      <c r="C331" s="1">
        <v>2025</v>
      </c>
      <c r="D331" s="13">
        <f>VLOOKUP(B331,Population!$B$1:$O$48,9,FALSE)</f>
        <v>33498.449006114402</v>
      </c>
      <c r="E331" s="13" t="str">
        <f t="shared" si="21"/>
        <v>Small</v>
      </c>
      <c r="F331" s="54">
        <f>VLOOKUP(B331,'Household Information'!$B$1:$E$48,2,FALSE)</f>
        <v>2.6682284299858559</v>
      </c>
      <c r="G331" s="54">
        <f t="shared" si="0"/>
        <v>12554.565654744925</v>
      </c>
      <c r="H331" s="55">
        <f>IF(D331&gt;Variables!$C$6,H284,H284*(1+Variables!$C$9))</f>
        <v>4.5003073084562688</v>
      </c>
      <c r="I331" s="1"/>
      <c r="J331" s="13">
        <f>H331*Variables!$C$21</f>
        <v>81.005531552212844</v>
      </c>
      <c r="K331" s="13">
        <f t="shared" si="12"/>
        <v>78.417745936314475</v>
      </c>
      <c r="L331" s="54">
        <f t="shared" si="1"/>
        <v>2.587785615898369</v>
      </c>
      <c r="M331" s="56"/>
      <c r="N331" s="57"/>
      <c r="O331" s="57"/>
      <c r="P331" s="57"/>
      <c r="Q331" s="57"/>
      <c r="R331" s="57"/>
      <c r="S331" s="58">
        <v>0</v>
      </c>
      <c r="T331" s="59">
        <f>$L331*Variables!$C$22/100</f>
        <v>0.14051324611212862</v>
      </c>
      <c r="U331" s="59">
        <f>$L331*Variables!$C$23/100</f>
        <v>0.2458981806962251</v>
      </c>
      <c r="V331" s="59">
        <f>$L331*Variables!$C$24/100</f>
        <v>0.25760761787223585</v>
      </c>
      <c r="W331" s="59">
        <f>$L331*Variables!$C$25/100</f>
        <v>1.873509948161715</v>
      </c>
      <c r="X331" s="62">
        <f>T331*Variables!$E$26*Variables!$C$18+'Cost Calculations'!U331*Variables!$E$27*Variables!$C$18+'Cost Calculations'!V331*Variables!$E$28*Variables!$C$18+W331*Variables!$E$29*Variables!$C$18</f>
        <v>2941608.3090417348</v>
      </c>
      <c r="Y331" s="58">
        <f>J331*Variables!$E$30</f>
        <v>53058.623166699414</v>
      </c>
      <c r="Z331" s="1"/>
      <c r="AA331" s="245">
        <f>D331*(IF(D331&lt;Variables!$C$7,Variables!$C$38,IF(D331&gt;Variables!$C$6,Variables!$C$36,Variables!$C$37)))</f>
        <v>16.749224503057203</v>
      </c>
      <c r="AB331" s="64">
        <f t="shared" si="13"/>
        <v>17</v>
      </c>
      <c r="AC331" s="66">
        <f t="shared" si="2"/>
        <v>0</v>
      </c>
      <c r="AD331" s="62">
        <f>AC331*Variables!$E$41</f>
        <v>0</v>
      </c>
      <c r="AE331" s="71">
        <f>ROUND((H331/(3.14*Variables!$C$35^2)),0)</f>
        <v>6</v>
      </c>
      <c r="AF331" s="57">
        <f t="shared" si="14"/>
        <v>6</v>
      </c>
      <c r="AG331" s="57">
        <f t="shared" si="3"/>
        <v>0</v>
      </c>
      <c r="AH331" s="58">
        <f>AG331*Variables!$E$42*Variables!$C$18</f>
        <v>0</v>
      </c>
      <c r="AI331" s="73">
        <f t="shared" si="4"/>
        <v>0</v>
      </c>
      <c r="AJ331" s="66">
        <f t="shared" si="15"/>
        <v>0</v>
      </c>
      <c r="AK331" s="66">
        <f t="shared" si="5"/>
        <v>0</v>
      </c>
      <c r="AL331" s="62">
        <f>IF(AK331*Variables!$E$43*Variables!$C$18&lt;0,0,AK331*Variables!$E$43*Variables!$C$18)</f>
        <v>0</v>
      </c>
      <c r="AM331" s="58">
        <f>AA331*Variables!$E$39*Variables!$C$18</f>
        <v>4841402.1104292469</v>
      </c>
      <c r="AN331" s="1"/>
      <c r="AO331" s="76">
        <f t="shared" si="16"/>
        <v>0.67714285714285716</v>
      </c>
      <c r="AP331" s="76">
        <f t="shared" si="6"/>
        <v>108.40630935542534</v>
      </c>
      <c r="AQ331" s="75">
        <f>VLOOKUP(B331,'Household Information'!$B$2:$E$48,4,FALSE)</f>
        <v>40.760000000000005</v>
      </c>
      <c r="AR331" s="79">
        <f>IF(12*(AP331-Variables!$C$45*AQ331*F331)*(G331/5)&lt;0,0,12*(AP331-Variables!$C$45*AQ331*F331)*(G331/5))</f>
        <v>2774843.0663229427</v>
      </c>
      <c r="AS331" s="1"/>
      <c r="AT331" s="62">
        <v>0</v>
      </c>
      <c r="AU331" s="1"/>
    </row>
    <row r="332" spans="1:47" ht="14.25" customHeight="1">
      <c r="A332" s="1">
        <v>47</v>
      </c>
      <c r="B332" s="3" t="s">
        <v>244</v>
      </c>
      <c r="C332" s="1">
        <v>2025</v>
      </c>
      <c r="D332" s="13">
        <f>VLOOKUP(B332,Population!$B$1:$O$48,9,FALSE)</f>
        <v>70990.120008849393</v>
      </c>
      <c r="E332" s="13" t="str">
        <f t="shared" si="21"/>
        <v>Small</v>
      </c>
      <c r="F332" s="54">
        <f>VLOOKUP(B332,'Household Information'!$B$1:$E$48,2,FALSE)</f>
        <v>3.4580000000000002</v>
      </c>
      <c r="G332" s="54">
        <f t="shared" si="0"/>
        <v>20529.242339169865</v>
      </c>
      <c r="H332" s="55">
        <f>IF(D332&gt;Variables!$C$6,H285,H285*(1+Variables!$C$9))</f>
        <v>5.103301412659067</v>
      </c>
      <c r="I332" s="1"/>
      <c r="J332" s="13">
        <f>H332*Variables!$C$21</f>
        <v>91.859425427863201</v>
      </c>
      <c r="K332" s="13">
        <f t="shared" si="12"/>
        <v>94.147999999999996</v>
      </c>
      <c r="L332" s="54">
        <f t="shared" si="1"/>
        <v>0</v>
      </c>
      <c r="M332" s="56"/>
      <c r="N332" s="57"/>
      <c r="O332" s="57"/>
      <c r="P332" s="57"/>
      <c r="Q332" s="57"/>
      <c r="R332" s="57"/>
      <c r="S332" s="58">
        <v>0</v>
      </c>
      <c r="T332" s="59">
        <f>$L332*Variables!$C$22/100</f>
        <v>0</v>
      </c>
      <c r="U332" s="59">
        <f>$L332*Variables!$C$23/100</f>
        <v>0</v>
      </c>
      <c r="V332" s="59">
        <f>$L332*Variables!$C$24/100</f>
        <v>0</v>
      </c>
      <c r="W332" s="59">
        <f>$L332*Variables!$C$25/100</f>
        <v>0</v>
      </c>
      <c r="X332" s="62">
        <f>T332*Variables!$E$26*Variables!$C$18+'Cost Calculations'!U332*Variables!$E$27*Variables!$C$18+'Cost Calculations'!V332*Variables!$E$28*Variables!$C$18+W332*Variables!$E$29*Variables!$C$18</f>
        <v>0</v>
      </c>
      <c r="Y332" s="58">
        <f>J332*Variables!$E$30</f>
        <v>60167.923655250393</v>
      </c>
      <c r="Z332" s="1"/>
      <c r="AA332" s="245">
        <f>D332*(IF(D332&lt;Variables!$C$7,Variables!$C$38,IF(D332&gt;Variables!$C$6,Variables!$C$36,Variables!$C$37)))</f>
        <v>56.792096007079515</v>
      </c>
      <c r="AB332" s="64">
        <f t="shared" si="13"/>
        <v>56</v>
      </c>
      <c r="AC332" s="66">
        <f t="shared" si="2"/>
        <v>1</v>
      </c>
      <c r="AD332" s="62">
        <f>AC332*Variables!$E$41</f>
        <v>537600</v>
      </c>
      <c r="AE332" s="71">
        <f>ROUND((H332/(3.14*Variables!$C$35^2)),0)</f>
        <v>7</v>
      </c>
      <c r="AF332" s="57">
        <f t="shared" si="14"/>
        <v>6</v>
      </c>
      <c r="AG332" s="57">
        <f t="shared" si="3"/>
        <v>1</v>
      </c>
      <c r="AH332" s="58">
        <f>AG332*Variables!$E$42*Variables!$C$18</f>
        <v>1148.2560000000001</v>
      </c>
      <c r="AI332" s="73">
        <f t="shared" si="4"/>
        <v>0</v>
      </c>
      <c r="AJ332" s="66">
        <f t="shared" si="15"/>
        <v>0</v>
      </c>
      <c r="AK332" s="66">
        <f t="shared" si="5"/>
        <v>0</v>
      </c>
      <c r="AL332" s="62">
        <f>IF(AK332*Variables!$E$43*Variables!$C$18&lt;0,0,AK332*Variables!$E$43*Variables!$C$18)</f>
        <v>0</v>
      </c>
      <c r="AM332" s="58">
        <f>AA332*Variables!$E$39*Variables!$C$18</f>
        <v>16415886.802053936</v>
      </c>
      <c r="AN332" s="1"/>
      <c r="AO332" s="76">
        <f t="shared" si="16"/>
        <v>0.67714285714285716</v>
      </c>
      <c r="AP332" s="76">
        <f t="shared" si="6"/>
        <v>140.49359999999999</v>
      </c>
      <c r="AQ332" s="75">
        <f>VLOOKUP(B332,'Household Information'!$B$2:$E$48,4,FALSE)</f>
        <v>40.760000000000005</v>
      </c>
      <c r="AR332" s="79">
        <f>IF(12*(AP332-Variables!$C$45*AQ332*F332)*(G332/5)&lt;0,0,12*(AP332-Variables!$C$45*AQ332*F332)*(G332/5))</f>
        <v>5880464.5626438949</v>
      </c>
      <c r="AS332" s="1"/>
      <c r="AT332" s="62">
        <v>0</v>
      </c>
      <c r="AU332" s="1"/>
    </row>
    <row r="333" spans="1:47" ht="14.25" customHeight="1">
      <c r="A333" s="1">
        <v>1</v>
      </c>
      <c r="B333" s="3" t="s">
        <v>76</v>
      </c>
      <c r="C333" s="1">
        <v>2026</v>
      </c>
      <c r="D333" s="13">
        <f>VLOOKUP(B333,Population!$B$1:$O$48,10,FALSE)</f>
        <v>8089871.5893640034</v>
      </c>
      <c r="E333" s="13" t="str">
        <f t="shared" si="21"/>
        <v>Large</v>
      </c>
      <c r="F333" s="54">
        <f>VLOOKUP(B333,'Household Information'!$B$1:$E$48,2,FALSE)</f>
        <v>2.8458153079093123</v>
      </c>
      <c r="G333" s="54">
        <f t="shared" si="0"/>
        <v>2842725.4456323995</v>
      </c>
      <c r="H333" s="55">
        <f>IF(D333&gt;Variables!$C$6,H286,H286*(1+Variables!$C$9))</f>
        <v>418.2688494446499</v>
      </c>
      <c r="I333" s="1"/>
      <c r="J333" s="13">
        <f>H333*Variables!$C$21</f>
        <v>7528.8392900036979</v>
      </c>
      <c r="K333" s="13">
        <f t="shared" si="12"/>
        <v>13984</v>
      </c>
      <c r="L333" s="54">
        <f t="shared" si="1"/>
        <v>0</v>
      </c>
      <c r="M333" s="56"/>
      <c r="N333" s="57"/>
      <c r="O333" s="57"/>
      <c r="P333" s="57"/>
      <c r="Q333" s="57"/>
      <c r="R333" s="57"/>
      <c r="S333" s="58">
        <v>0</v>
      </c>
      <c r="T333" s="59">
        <f>$L333*Variables!$C$22/100</f>
        <v>0</v>
      </c>
      <c r="U333" s="59">
        <f>$L333*Variables!$C$23/100</f>
        <v>0</v>
      </c>
      <c r="V333" s="59">
        <f>$L333*Variables!$C$24/100</f>
        <v>0</v>
      </c>
      <c r="W333" s="59">
        <f>$L333*Variables!$C$25/100</f>
        <v>0</v>
      </c>
      <c r="X333" s="62">
        <f>T333*Variables!$E$26*Variables!$C$18+'Cost Calculations'!U333*Variables!$E$27*Variables!$C$18+'Cost Calculations'!V333*Variables!$E$28*Variables!$C$18+W333*Variables!$E$29*Variables!$C$18</f>
        <v>0</v>
      </c>
      <c r="Y333" s="58">
        <f>J333*Variables!$E$30</f>
        <v>4931389.7349524219</v>
      </c>
      <c r="Z333" s="1"/>
      <c r="AA333" s="245">
        <f>D333*(IF(D333&lt;Variables!$C$7,Variables!$C$38,IF(D333&gt;Variables!$C$6,Variables!$C$36,Variables!$C$37)))</f>
        <v>9707.8459072368041</v>
      </c>
      <c r="AB333" s="64">
        <f t="shared" si="13"/>
        <v>9564</v>
      </c>
      <c r="AC333" s="66">
        <f t="shared" si="2"/>
        <v>144</v>
      </c>
      <c r="AD333" s="62">
        <f>AC333*Variables!$E$41</f>
        <v>77414400</v>
      </c>
      <c r="AE333" s="71">
        <f>ROUND((H333/(3.14*Variables!$C$35^2)),0)</f>
        <v>533</v>
      </c>
      <c r="AF333" s="57">
        <f t="shared" si="14"/>
        <v>853</v>
      </c>
      <c r="AG333" s="57">
        <f t="shared" si="3"/>
        <v>0</v>
      </c>
      <c r="AH333" s="58">
        <f>AG333*Variables!$E$42*Variables!$C$18</f>
        <v>0</v>
      </c>
      <c r="AI333" s="73">
        <f t="shared" si="4"/>
        <v>81</v>
      </c>
      <c r="AJ333" s="66">
        <f t="shared" si="15"/>
        <v>80</v>
      </c>
      <c r="AK333" s="66">
        <f t="shared" si="5"/>
        <v>1</v>
      </c>
      <c r="AL333" s="62">
        <f>IF(AK333*Variables!$E$43*Variables!$C$18&lt;0,0,AK333*Variables!$E$43*Variables!$C$18)</f>
        <v>945381.49199999997</v>
      </c>
      <c r="AM333" s="58">
        <f>AA333*Variables!$E$39*Variables!$C$18</f>
        <v>2806075329.3049145</v>
      </c>
      <c r="AN333" s="1"/>
      <c r="AO333" s="76">
        <f t="shared" si="16"/>
        <v>0.68340000000000001</v>
      </c>
      <c r="AP333" s="76">
        <f t="shared" si="6"/>
        <v>116.68981088551344</v>
      </c>
      <c r="AQ333" s="75">
        <f>VLOOKUP(B333,'Household Information'!$B$2:$E$48,4,FALSE)</f>
        <v>91.36</v>
      </c>
      <c r="AR333" s="79">
        <f>IF(12*(AP333-Variables!$C$45*AQ333*F333)*(G333/5)&lt;0,0,12*(AP333-Variables!$C$45*AQ333*F333)*(G333/5))</f>
        <v>530048386.53512961</v>
      </c>
      <c r="AS333" s="1"/>
      <c r="AT333" s="62">
        <v>0</v>
      </c>
      <c r="AU333" s="1"/>
    </row>
    <row r="334" spans="1:47" ht="14.25" customHeight="1">
      <c r="A334" s="1">
        <v>2</v>
      </c>
      <c r="B334" s="3" t="s">
        <v>87</v>
      </c>
      <c r="C334" s="1">
        <v>2026</v>
      </c>
      <c r="D334" s="13">
        <f>VLOOKUP(B334,Population!$B$1:$O$48,10,FALSE)</f>
        <v>2672412.1579576414</v>
      </c>
      <c r="E334" s="13" t="str">
        <f t="shared" si="21"/>
        <v>Large</v>
      </c>
      <c r="F334" s="54">
        <f>VLOOKUP(B334,'Household Information'!$B$1:$E$48,2,FALSE)</f>
        <v>2.6591126390039355</v>
      </c>
      <c r="G334" s="54">
        <f t="shared" si="0"/>
        <v>1005001.4876235885</v>
      </c>
      <c r="H334" s="55">
        <f>IF(D334&gt;Variables!$C$6,H287,H287*(1+Variables!$C$9))</f>
        <v>119.58406164038337</v>
      </c>
      <c r="I334" s="1"/>
      <c r="J334" s="13">
        <f>H334*Variables!$C$21</f>
        <v>2152.5131095269007</v>
      </c>
      <c r="K334" s="13">
        <f t="shared" si="12"/>
        <v>2152.5131095269007</v>
      </c>
      <c r="L334" s="54">
        <f t="shared" si="1"/>
        <v>0</v>
      </c>
      <c r="M334" s="56"/>
      <c r="N334" s="57"/>
      <c r="O334" s="57"/>
      <c r="P334" s="57"/>
      <c r="Q334" s="57"/>
      <c r="R334" s="57"/>
      <c r="S334" s="58">
        <v>0</v>
      </c>
      <c r="T334" s="59">
        <f>$L334*Variables!$C$22/100</f>
        <v>0</v>
      </c>
      <c r="U334" s="59">
        <f>$L334*Variables!$C$23/100</f>
        <v>0</v>
      </c>
      <c r="V334" s="59">
        <f>$L334*Variables!$C$24/100</f>
        <v>0</v>
      </c>
      <c r="W334" s="59">
        <f>$L334*Variables!$C$25/100</f>
        <v>0</v>
      </c>
      <c r="X334" s="62">
        <f>T334*Variables!$E$26*Variables!$C$18+'Cost Calculations'!U334*Variables!$E$27*Variables!$C$18+'Cost Calculations'!V334*Variables!$E$28*Variables!$C$18+W334*Variables!$E$29*Variables!$C$18</f>
        <v>0</v>
      </c>
      <c r="Y334" s="58">
        <f>J334*Variables!$E$30</f>
        <v>1409896.0867401201</v>
      </c>
      <c r="Z334" s="1"/>
      <c r="AA334" s="245">
        <f>D334*(IF(D334&lt;Variables!$C$7,Variables!$C$38,IF(D334&gt;Variables!$C$6,Variables!$C$36,Variables!$C$37)))</f>
        <v>3206.8945895491693</v>
      </c>
      <c r="AB334" s="64">
        <f t="shared" si="13"/>
        <v>4664</v>
      </c>
      <c r="AC334" s="66">
        <f t="shared" si="2"/>
        <v>0</v>
      </c>
      <c r="AD334" s="62">
        <f>AC334*Variables!$E$41</f>
        <v>0</v>
      </c>
      <c r="AE334" s="71">
        <f>ROUND((H334/(3.14*Variables!$C$35^2)),0)</f>
        <v>152</v>
      </c>
      <c r="AF334" s="57">
        <f t="shared" si="14"/>
        <v>152</v>
      </c>
      <c r="AG334" s="57">
        <f t="shared" si="3"/>
        <v>0</v>
      </c>
      <c r="AH334" s="58">
        <f>AG334*Variables!$E$42*Variables!$C$18</f>
        <v>0</v>
      </c>
      <c r="AI334" s="73">
        <f t="shared" si="4"/>
        <v>27</v>
      </c>
      <c r="AJ334" s="66">
        <f t="shared" si="15"/>
        <v>26</v>
      </c>
      <c r="AK334" s="66">
        <f t="shared" si="5"/>
        <v>1</v>
      </c>
      <c r="AL334" s="62">
        <f>IF(AK334*Variables!$E$43*Variables!$C$18&lt;0,0,AK334*Variables!$E$43*Variables!$C$18)</f>
        <v>945381.49199999997</v>
      </c>
      <c r="AM334" s="58">
        <f>AA334*Variables!$E$39*Variables!$C$18</f>
        <v>926960303.7999506</v>
      </c>
      <c r="AN334" s="1"/>
      <c r="AO334" s="76">
        <f t="shared" si="16"/>
        <v>0.75480000000000003</v>
      </c>
      <c r="AP334" s="76">
        <f t="shared" si="6"/>
        <v>120.42589319521024</v>
      </c>
      <c r="AQ334" s="75">
        <f>VLOOKUP(B334,'Household Information'!$B$2:$E$48,4,FALSE)</f>
        <v>73.64</v>
      </c>
      <c r="AR334" s="79">
        <f>IF(12*(AP334-Variables!$C$45*AQ334*F334)*(G334/5)&lt;0,0,12*(AP334-Variables!$C$45*AQ334*F334)*(G334/5))</f>
        <v>219620969.07068536</v>
      </c>
      <c r="AS334" s="1"/>
      <c r="AT334" s="62">
        <v>0</v>
      </c>
      <c r="AU334" s="1"/>
    </row>
    <row r="335" spans="1:47" ht="14.25" customHeight="1">
      <c r="A335" s="1">
        <v>3</v>
      </c>
      <c r="B335" s="3" t="s">
        <v>103</v>
      </c>
      <c r="C335" s="1">
        <v>2026</v>
      </c>
      <c r="D335" s="13">
        <f>VLOOKUP(B335,Population!$B$1:$O$48,10,FALSE)</f>
        <v>2053448.4148343983</v>
      </c>
      <c r="E335" s="13" t="str">
        <f t="shared" si="21"/>
        <v>Large</v>
      </c>
      <c r="F335" s="54">
        <f>VLOOKUP(B335,'Household Information'!$B$1:$E$48,2,FALSE)</f>
        <v>2.6407866430045996</v>
      </c>
      <c r="G335" s="54">
        <f t="shared" si="0"/>
        <v>777589.67021207465</v>
      </c>
      <c r="H335" s="55">
        <f>IF(D335&gt;Variables!$C$6,H288,H288*(1+Variables!$C$9))</f>
        <v>224.70642399999997</v>
      </c>
      <c r="I335" s="1"/>
      <c r="J335" s="13">
        <f>H335*Variables!$C$21</f>
        <v>4044.7156319999995</v>
      </c>
      <c r="K335" s="13">
        <f t="shared" si="12"/>
        <v>4044.7156319999995</v>
      </c>
      <c r="L335" s="54">
        <f t="shared" si="1"/>
        <v>0</v>
      </c>
      <c r="M335" s="56"/>
      <c r="N335" s="57"/>
      <c r="O335" s="57"/>
      <c r="P335" s="57"/>
      <c r="Q335" s="57"/>
      <c r="R335" s="57"/>
      <c r="S335" s="58">
        <v>0</v>
      </c>
      <c r="T335" s="59">
        <f>$L335*Variables!$C$22/100</f>
        <v>0</v>
      </c>
      <c r="U335" s="59">
        <f>$L335*Variables!$C$23/100</f>
        <v>0</v>
      </c>
      <c r="V335" s="59">
        <f>$L335*Variables!$C$24/100</f>
        <v>0</v>
      </c>
      <c r="W335" s="59">
        <f>$L335*Variables!$C$25/100</f>
        <v>0</v>
      </c>
      <c r="X335" s="62">
        <f>T335*Variables!$E$26*Variables!$C$18+'Cost Calculations'!U335*Variables!$E$27*Variables!$C$18+'Cost Calculations'!V335*Variables!$E$28*Variables!$C$18+W335*Variables!$E$29*Variables!$C$18</f>
        <v>0</v>
      </c>
      <c r="Y335" s="58">
        <f>J335*Variables!$E$30</f>
        <v>2649288.7389599998</v>
      </c>
      <c r="Z335" s="1"/>
      <c r="AA335" s="245">
        <f>D335*(IF(D335&lt;Variables!$C$7,Variables!$C$38,IF(D335&gt;Variables!$C$6,Variables!$C$36,Variables!$C$37)))</f>
        <v>2464.1380978012776</v>
      </c>
      <c r="AB335" s="64">
        <f t="shared" si="13"/>
        <v>2428</v>
      </c>
      <c r="AC335" s="66">
        <f t="shared" si="2"/>
        <v>36</v>
      </c>
      <c r="AD335" s="62">
        <f>AC335*Variables!$E$41</f>
        <v>19353600</v>
      </c>
      <c r="AE335" s="71">
        <f>ROUND((H335/(3.14*Variables!$C$35^2)),0)</f>
        <v>286</v>
      </c>
      <c r="AF335" s="57">
        <f t="shared" si="14"/>
        <v>286</v>
      </c>
      <c r="AG335" s="57">
        <f t="shared" si="3"/>
        <v>0</v>
      </c>
      <c r="AH335" s="58">
        <f>AG335*Variables!$E$42*Variables!$C$18</f>
        <v>0</v>
      </c>
      <c r="AI335" s="73">
        <f t="shared" si="4"/>
        <v>21</v>
      </c>
      <c r="AJ335" s="66">
        <f t="shared" si="15"/>
        <v>20</v>
      </c>
      <c r="AK335" s="66">
        <f t="shared" si="5"/>
        <v>1</v>
      </c>
      <c r="AL335" s="62">
        <f>IF(AK335*Variables!$E$43*Variables!$C$18&lt;0,0,AK335*Variables!$E$43*Variables!$C$18)</f>
        <v>945381.49199999997</v>
      </c>
      <c r="AM335" s="58">
        <f>AA335*Variables!$E$39*Variables!$C$18</f>
        <v>712264820.67314076</v>
      </c>
      <c r="AN335" s="1"/>
      <c r="AO335" s="76">
        <f t="shared" si="16"/>
        <v>0.61199999999999999</v>
      </c>
      <c r="AP335" s="76">
        <f t="shared" si="6"/>
        <v>96.969685531128903</v>
      </c>
      <c r="AQ335" s="75">
        <f>VLOOKUP(B335,'Household Information'!$B$2:$E$48,4,FALSE)</f>
        <v>61.12</v>
      </c>
      <c r="AR335" s="79">
        <f>IF(12*(AP335-Variables!$C$45*AQ335*F335)*(G335/5)&lt;0,0,12*(AP335-Variables!$C$45*AQ335*F335)*(G335/5))</f>
        <v>135783865.74124163</v>
      </c>
      <c r="AS335" s="1"/>
      <c r="AT335" s="62">
        <v>0</v>
      </c>
      <c r="AU335" s="1"/>
    </row>
    <row r="336" spans="1:47" ht="14.25" customHeight="1">
      <c r="A336" s="1">
        <v>4</v>
      </c>
      <c r="B336" s="3" t="s">
        <v>104</v>
      </c>
      <c r="C336" s="1">
        <v>2026</v>
      </c>
      <c r="D336" s="13">
        <f>VLOOKUP(B336,Population!$B$1:$O$48,10,FALSE)</f>
        <v>1261787.7257231618</v>
      </c>
      <c r="E336" s="13" t="str">
        <f t="shared" si="21"/>
        <v>Large</v>
      </c>
      <c r="F336" s="54">
        <f>VLOOKUP(B336,'Household Information'!$B$1:$E$48,2,FALSE)</f>
        <v>3.2280741697119208</v>
      </c>
      <c r="G336" s="54">
        <f t="shared" si="0"/>
        <v>390879.40963753196</v>
      </c>
      <c r="H336" s="55">
        <f>IF(D336&gt;Variables!$C$6,H289,H289*(1+Variables!$C$9))</f>
        <v>154</v>
      </c>
      <c r="I336" s="1"/>
      <c r="J336" s="13">
        <f>H336*Variables!$C$21</f>
        <v>2772</v>
      </c>
      <c r="K336" s="13">
        <f t="shared" si="12"/>
        <v>3916</v>
      </c>
      <c r="L336" s="54">
        <f t="shared" si="1"/>
        <v>0</v>
      </c>
      <c r="M336" s="56"/>
      <c r="N336" s="57"/>
      <c r="O336" s="57"/>
      <c r="P336" s="57"/>
      <c r="Q336" s="57"/>
      <c r="R336" s="57"/>
      <c r="S336" s="58">
        <v>0</v>
      </c>
      <c r="T336" s="59">
        <f>$L336*Variables!$C$22/100</f>
        <v>0</v>
      </c>
      <c r="U336" s="59">
        <f>$L336*Variables!$C$23/100</f>
        <v>0</v>
      </c>
      <c r="V336" s="59">
        <f>$L336*Variables!$C$24/100</f>
        <v>0</v>
      </c>
      <c r="W336" s="59">
        <f>$L336*Variables!$C$25/100</f>
        <v>0</v>
      </c>
      <c r="X336" s="62">
        <f>T336*Variables!$E$26*Variables!$C$18+'Cost Calculations'!U336*Variables!$E$27*Variables!$C$18+'Cost Calculations'!V336*Variables!$E$28*Variables!$C$18+W336*Variables!$E$29*Variables!$C$18</f>
        <v>0</v>
      </c>
      <c r="Y336" s="58">
        <f>J336*Variables!$E$30</f>
        <v>1815660</v>
      </c>
      <c r="Z336" s="1"/>
      <c r="AA336" s="245">
        <f>D336*(IF(D336&lt;Variables!$C$7,Variables!$C$38,IF(D336&gt;Variables!$C$6,Variables!$C$36,Variables!$C$37)))</f>
        <v>1514.1452708677941</v>
      </c>
      <c r="AB336" s="64">
        <f t="shared" si="13"/>
        <v>2043</v>
      </c>
      <c r="AC336" s="66">
        <f t="shared" si="2"/>
        <v>0</v>
      </c>
      <c r="AD336" s="62">
        <f>AC336*Variables!$E$41</f>
        <v>0</v>
      </c>
      <c r="AE336" s="71">
        <f>ROUND((H336/(3.14*Variables!$C$35^2)),0)</f>
        <v>196</v>
      </c>
      <c r="AF336" s="57">
        <f t="shared" si="14"/>
        <v>196</v>
      </c>
      <c r="AG336" s="57">
        <f t="shared" si="3"/>
        <v>0</v>
      </c>
      <c r="AH336" s="58">
        <f>AG336*Variables!$E$42*Variables!$C$18</f>
        <v>0</v>
      </c>
      <c r="AI336" s="73">
        <f t="shared" si="4"/>
        <v>13</v>
      </c>
      <c r="AJ336" s="66">
        <f t="shared" si="15"/>
        <v>12</v>
      </c>
      <c r="AK336" s="66">
        <f t="shared" si="5"/>
        <v>1</v>
      </c>
      <c r="AL336" s="62">
        <f>IF(AK336*Variables!$E$43*Variables!$C$18&lt;0,0,AK336*Variables!$E$43*Variables!$C$18)</f>
        <v>945381.49199999997</v>
      </c>
      <c r="AM336" s="58">
        <f>AA336*Variables!$E$39*Variables!$C$18</f>
        <v>437667195.19090354</v>
      </c>
      <c r="AN336" s="1"/>
      <c r="AO336" s="76">
        <f t="shared" si="16"/>
        <v>0.6804</v>
      </c>
      <c r="AP336" s="76">
        <f t="shared" si="6"/>
        <v>131.78289990431946</v>
      </c>
      <c r="AQ336" s="75">
        <f>VLOOKUP(B336,'Household Information'!$B$2:$E$48,4,FALSE)</f>
        <v>42.71</v>
      </c>
      <c r="AR336" s="79">
        <f>IF(12*(AP336-Variables!$C$45*AQ336*F336)*(G336/5)&lt;0,0,12*(AP336-Variables!$C$45*AQ336*F336)*(G336/5))</f>
        <v>104226189.72018462</v>
      </c>
      <c r="AS336" s="1"/>
      <c r="AT336" s="62">
        <v>0</v>
      </c>
      <c r="AU336" s="1"/>
    </row>
    <row r="337" spans="1:47" ht="14.25" customHeight="1">
      <c r="A337" s="1">
        <v>5</v>
      </c>
      <c r="B337" s="3" t="s">
        <v>105</v>
      </c>
      <c r="C337" s="1">
        <v>2026</v>
      </c>
      <c r="D337" s="13">
        <f>VLOOKUP(B337,Population!$B$1:$O$48,10,FALSE)</f>
        <v>595751.23688386043</v>
      </c>
      <c r="E337" s="13" t="str">
        <f t="shared" si="21"/>
        <v>Medium</v>
      </c>
      <c r="F337" s="54">
        <f>VLOOKUP(B337,'Household Information'!$B$1:$E$48,2,FALSE)</f>
        <v>2.791645991913092</v>
      </c>
      <c r="G337" s="54">
        <f t="shared" si="0"/>
        <v>213405.00858978793</v>
      </c>
      <c r="H337" s="55">
        <f>IF(D337&gt;Variables!$C$6,H290,H290*(1+Variables!$C$9))</f>
        <v>76.806648999999993</v>
      </c>
      <c r="I337" s="1"/>
      <c r="J337" s="13">
        <f>H337*Variables!$C$21</f>
        <v>1382.5196819999999</v>
      </c>
      <c r="K337" s="13">
        <f t="shared" si="12"/>
        <v>1382.5196819999999</v>
      </c>
      <c r="L337" s="54">
        <f t="shared" si="1"/>
        <v>0</v>
      </c>
      <c r="M337" s="56"/>
      <c r="N337" s="57"/>
      <c r="O337" s="57"/>
      <c r="P337" s="57"/>
      <c r="Q337" s="57"/>
      <c r="R337" s="57"/>
      <c r="S337" s="58">
        <v>0</v>
      </c>
      <c r="T337" s="59">
        <f>$L337*Variables!$C$22/100</f>
        <v>0</v>
      </c>
      <c r="U337" s="59">
        <f>$L337*Variables!$C$23/100</f>
        <v>0</v>
      </c>
      <c r="V337" s="59">
        <f>$L337*Variables!$C$24/100</f>
        <v>0</v>
      </c>
      <c r="W337" s="59">
        <f>$L337*Variables!$C$25/100</f>
        <v>0</v>
      </c>
      <c r="X337" s="62">
        <f>T337*Variables!$E$26*Variables!$C$18+'Cost Calculations'!U337*Variables!$E$27*Variables!$C$18+'Cost Calculations'!V337*Variables!$E$28*Variables!$C$18+W337*Variables!$E$29*Variables!$C$18</f>
        <v>0</v>
      </c>
      <c r="Y337" s="58">
        <f>J337*Variables!$E$30</f>
        <v>905550.39170999988</v>
      </c>
      <c r="Z337" s="1"/>
      <c r="AA337" s="245">
        <f>D337*(IF(D337&lt;Variables!$C$7,Variables!$C$38,IF(D337&gt;Variables!$C$6,Variables!$C$36,Variables!$C$37)))</f>
        <v>714.9014842606324</v>
      </c>
      <c r="AB337" s="64">
        <f t="shared" si="13"/>
        <v>704</v>
      </c>
      <c r="AC337" s="66">
        <f t="shared" si="2"/>
        <v>11</v>
      </c>
      <c r="AD337" s="62">
        <f>AC337*Variables!$E$41</f>
        <v>5913600</v>
      </c>
      <c r="AE337" s="71">
        <f>ROUND((H337/(3.14*Variables!$C$35^2)),0)</f>
        <v>98</v>
      </c>
      <c r="AF337" s="57">
        <f t="shared" si="14"/>
        <v>98</v>
      </c>
      <c r="AG337" s="57">
        <f t="shared" si="3"/>
        <v>0</v>
      </c>
      <c r="AH337" s="58">
        <f>AG337*Variables!$E$42*Variables!$C$18</f>
        <v>0</v>
      </c>
      <c r="AI337" s="73">
        <f t="shared" si="4"/>
        <v>6</v>
      </c>
      <c r="AJ337" s="66">
        <f t="shared" si="15"/>
        <v>6</v>
      </c>
      <c r="AK337" s="66">
        <f t="shared" si="5"/>
        <v>0</v>
      </c>
      <c r="AL337" s="62">
        <f>IF(AK337*Variables!$E$43*Variables!$C$18&lt;0,0,AK337*Variables!$E$43*Variables!$C$18)</f>
        <v>0</v>
      </c>
      <c r="AM337" s="58">
        <f>AA337*Variables!$E$39*Variables!$C$18</f>
        <v>206643928.73930815</v>
      </c>
      <c r="AN337" s="1"/>
      <c r="AO337" s="76">
        <f t="shared" si="16"/>
        <v>0.71399999999999997</v>
      </c>
      <c r="AP337" s="76">
        <f t="shared" si="6"/>
        <v>119.59411429355686</v>
      </c>
      <c r="AQ337" s="75">
        <f>VLOOKUP(B337,'Household Information'!$B$2:$E$48,4,FALSE)</f>
        <v>61.2</v>
      </c>
      <c r="AR337" s="79">
        <f>IF(12*(AP337-Variables!$C$45*AQ337*F337)*(G337/5)&lt;0,0,12*(AP337-Variables!$C$45*AQ337*F337)*(G337/5))</f>
        <v>48127167.92042578</v>
      </c>
      <c r="AS337" s="1"/>
      <c r="AT337" s="62">
        <v>0</v>
      </c>
      <c r="AU337" s="1"/>
    </row>
    <row r="338" spans="1:47" ht="14.25" customHeight="1">
      <c r="A338" s="1">
        <v>6</v>
      </c>
      <c r="B338" s="3" t="s">
        <v>106</v>
      </c>
      <c r="C338" s="1">
        <v>2026</v>
      </c>
      <c r="D338" s="13">
        <f>VLOOKUP(B338,Population!$B$1:$O$48,10,FALSE)</f>
        <v>1000264.5862969554</v>
      </c>
      <c r="E338" s="13" t="str">
        <f t="shared" si="21"/>
        <v>Large</v>
      </c>
      <c r="F338" s="54">
        <f>VLOOKUP(B338,'Household Information'!$B$1:$E$48,2,FALSE)</f>
        <v>3.0151582035627214</v>
      </c>
      <c r="G338" s="54">
        <f t="shared" si="0"/>
        <v>331745.30779679795</v>
      </c>
      <c r="H338" s="55">
        <f>IF(D338&gt;Variables!$C$6,H291,H291*(1+Variables!$C$9))</f>
        <v>116.91803899999999</v>
      </c>
      <c r="I338" s="1"/>
      <c r="J338" s="13">
        <f>H338*Variables!$C$21</f>
        <v>2104.5247019999997</v>
      </c>
      <c r="K338" s="13">
        <f t="shared" si="12"/>
        <v>2104.5247019999997</v>
      </c>
      <c r="L338" s="54">
        <f t="shared" si="1"/>
        <v>0</v>
      </c>
      <c r="M338" s="56"/>
      <c r="N338" s="57"/>
      <c r="O338" s="57"/>
      <c r="P338" s="57"/>
      <c r="Q338" s="57"/>
      <c r="R338" s="57"/>
      <c r="S338" s="58">
        <v>0</v>
      </c>
      <c r="T338" s="59">
        <f>$L338*Variables!$C$22/100</f>
        <v>0</v>
      </c>
      <c r="U338" s="59">
        <f>$L338*Variables!$C$23/100</f>
        <v>0</v>
      </c>
      <c r="V338" s="59">
        <f>$L338*Variables!$C$24/100</f>
        <v>0</v>
      </c>
      <c r="W338" s="59">
        <f>$L338*Variables!$C$25/100</f>
        <v>0</v>
      </c>
      <c r="X338" s="62">
        <f>T338*Variables!$E$26*Variables!$C$18+'Cost Calculations'!U338*Variables!$E$27*Variables!$C$18+'Cost Calculations'!V338*Variables!$E$28*Variables!$C$18+W338*Variables!$E$29*Variables!$C$18</f>
        <v>0</v>
      </c>
      <c r="Y338" s="58">
        <f>J338*Variables!$E$30</f>
        <v>1378463.6798099999</v>
      </c>
      <c r="Z338" s="1"/>
      <c r="AA338" s="245">
        <f>D338*(IF(D338&lt;Variables!$C$7,Variables!$C$38,IF(D338&gt;Variables!$C$6,Variables!$C$36,Variables!$C$37)))</f>
        <v>1200.3175035563463</v>
      </c>
      <c r="AB338" s="64">
        <f t="shared" si="13"/>
        <v>1183</v>
      </c>
      <c r="AC338" s="66">
        <f t="shared" si="2"/>
        <v>17</v>
      </c>
      <c r="AD338" s="62">
        <f>AC338*Variables!$E$41</f>
        <v>9139200</v>
      </c>
      <c r="AE338" s="71">
        <f>ROUND((H338/(3.14*Variables!$C$35^2)),0)</f>
        <v>149</v>
      </c>
      <c r="AF338" s="57">
        <f t="shared" si="14"/>
        <v>149</v>
      </c>
      <c r="AG338" s="57">
        <f t="shared" si="3"/>
        <v>0</v>
      </c>
      <c r="AH338" s="58">
        <f>AG338*Variables!$E$42*Variables!$C$18</f>
        <v>0</v>
      </c>
      <c r="AI338" s="73">
        <f t="shared" si="4"/>
        <v>10</v>
      </c>
      <c r="AJ338" s="66">
        <f t="shared" si="15"/>
        <v>10</v>
      </c>
      <c r="AK338" s="66">
        <f t="shared" si="5"/>
        <v>0</v>
      </c>
      <c r="AL338" s="62">
        <f>IF(AK338*Variables!$E$43*Variables!$C$18&lt;0,0,AK338*Variables!$E$43*Variables!$C$18)</f>
        <v>0</v>
      </c>
      <c r="AM338" s="58">
        <f>AA338*Variables!$E$39*Variables!$C$18</f>
        <v>346954552.66255158</v>
      </c>
      <c r="AN338" s="1"/>
      <c r="AO338" s="76">
        <f t="shared" si="16"/>
        <v>0.68340000000000001</v>
      </c>
      <c r="AP338" s="76">
        <f t="shared" si="6"/>
        <v>123.63354697888582</v>
      </c>
      <c r="AQ338" s="75">
        <f>VLOOKUP(B338,'Household Information'!$B$2:$E$48,4,FALSE)</f>
        <v>55.55</v>
      </c>
      <c r="AR338" s="79">
        <f>IF(12*(AP338-Variables!$C$45*AQ338*F338)*(G338/5)&lt;0,0,12*(AP338-Variables!$C$45*AQ338*F338)*(G338/5))</f>
        <v>78432346.634882331</v>
      </c>
      <c r="AS338" s="1"/>
      <c r="AT338" s="62">
        <v>0</v>
      </c>
      <c r="AU338" s="1"/>
    </row>
    <row r="339" spans="1:47" ht="14.25" customHeight="1">
      <c r="A339" s="1">
        <v>7</v>
      </c>
      <c r="B339" s="3" t="s">
        <v>107</v>
      </c>
      <c r="C339" s="1">
        <v>2026</v>
      </c>
      <c r="D339" s="13">
        <f>VLOOKUP(B339,Population!$B$1:$O$48,10,FALSE)</f>
        <v>709030.20489929779</v>
      </c>
      <c r="E339" s="13" t="str">
        <f t="shared" si="21"/>
        <v>Medium</v>
      </c>
      <c r="F339" s="54">
        <f>VLOOKUP(B339,'Household Information'!$B$1:$E$48,2,FALSE)</f>
        <v>2.7144187891908675</v>
      </c>
      <c r="G339" s="54">
        <f t="shared" si="0"/>
        <v>261208.84799454632</v>
      </c>
      <c r="H339" s="55">
        <f>IF(D339&gt;Variables!$C$6,H292,H292*(1+Variables!$C$9))</f>
        <v>92.766498999999996</v>
      </c>
      <c r="I339" s="1"/>
      <c r="J339" s="13">
        <f>H339*Variables!$C$21</f>
        <v>1669.7969819999998</v>
      </c>
      <c r="K339" s="13">
        <f t="shared" si="12"/>
        <v>1669.7969819999998</v>
      </c>
      <c r="L339" s="54">
        <f t="shared" si="1"/>
        <v>0</v>
      </c>
      <c r="M339" s="56"/>
      <c r="N339" s="57"/>
      <c r="O339" s="57"/>
      <c r="P339" s="57"/>
      <c r="Q339" s="57"/>
      <c r="R339" s="57"/>
      <c r="S339" s="58">
        <v>0</v>
      </c>
      <c r="T339" s="59">
        <f>$L339*Variables!$C$22/100</f>
        <v>0</v>
      </c>
      <c r="U339" s="59">
        <f>$L339*Variables!$C$23/100</f>
        <v>0</v>
      </c>
      <c r="V339" s="59">
        <f>$L339*Variables!$C$24/100</f>
        <v>0</v>
      </c>
      <c r="W339" s="59">
        <f>$L339*Variables!$C$25/100</f>
        <v>0</v>
      </c>
      <c r="X339" s="62">
        <f>T339*Variables!$E$26*Variables!$C$18+'Cost Calculations'!U339*Variables!$E$27*Variables!$C$18+'Cost Calculations'!V339*Variables!$E$28*Variables!$C$18+W339*Variables!$E$29*Variables!$C$18</f>
        <v>0</v>
      </c>
      <c r="Y339" s="58">
        <f>J339*Variables!$E$30</f>
        <v>1093717.0232099998</v>
      </c>
      <c r="Z339" s="1"/>
      <c r="AA339" s="245">
        <f>D339*(IF(D339&lt;Variables!$C$7,Variables!$C$38,IF(D339&gt;Variables!$C$6,Variables!$C$36,Variables!$C$37)))</f>
        <v>850.83624587915733</v>
      </c>
      <c r="AB339" s="64">
        <f t="shared" si="13"/>
        <v>838</v>
      </c>
      <c r="AC339" s="66">
        <f t="shared" si="2"/>
        <v>13</v>
      </c>
      <c r="AD339" s="62">
        <f>AC339*Variables!$E$41</f>
        <v>6988800</v>
      </c>
      <c r="AE339" s="71">
        <f>ROUND((H339/(3.14*Variables!$C$35^2)),0)</f>
        <v>118</v>
      </c>
      <c r="AF339" s="57">
        <f t="shared" si="14"/>
        <v>118</v>
      </c>
      <c r="AG339" s="57">
        <f t="shared" si="3"/>
        <v>0</v>
      </c>
      <c r="AH339" s="58">
        <f>AG339*Variables!$E$42*Variables!$C$18</f>
        <v>0</v>
      </c>
      <c r="AI339" s="73">
        <f t="shared" si="4"/>
        <v>7</v>
      </c>
      <c r="AJ339" s="66">
        <f t="shared" si="15"/>
        <v>7</v>
      </c>
      <c r="AK339" s="66">
        <f t="shared" si="5"/>
        <v>0</v>
      </c>
      <c r="AL339" s="62">
        <f>IF(AK339*Variables!$E$43*Variables!$C$18&lt;0,0,AK339*Variables!$E$43*Variables!$C$18)</f>
        <v>0</v>
      </c>
      <c r="AM339" s="58">
        <f>AA339*Variables!$E$39*Variables!$C$18</f>
        <v>245936186.22027379</v>
      </c>
      <c r="AN339" s="1"/>
      <c r="AO339" s="76">
        <f t="shared" si="16"/>
        <v>0.67714285714285716</v>
      </c>
      <c r="AP339" s="76">
        <f t="shared" si="6"/>
        <v>110.28295766369753</v>
      </c>
      <c r="AQ339" s="75">
        <f>VLOOKUP(B339,'Household Information'!$B$2:$E$48,4,FALSE)</f>
        <v>59.47</v>
      </c>
      <c r="AR339" s="79">
        <f>IF(12*(AP339-Variables!$C$45*AQ339*F339)*(G339/5)&lt;0,0,12*(AP339-Variables!$C$45*AQ339*F339)*(G339/5))</f>
        <v>53956752.916707769</v>
      </c>
      <c r="AS339" s="1"/>
      <c r="AT339" s="62">
        <v>0</v>
      </c>
      <c r="AU339" s="1"/>
    </row>
    <row r="340" spans="1:47" ht="14.25" customHeight="1">
      <c r="A340" s="1">
        <v>8</v>
      </c>
      <c r="B340" s="3" t="s">
        <v>108</v>
      </c>
      <c r="C340" s="1">
        <v>2026</v>
      </c>
      <c r="D340" s="13">
        <f>VLOOKUP(B340,Population!$B$1:$O$48,10,FALSE)</f>
        <v>461490.21795049892</v>
      </c>
      <c r="E340" s="13" t="str">
        <f t="shared" si="21"/>
        <v>Medium</v>
      </c>
      <c r="F340" s="54">
        <f>VLOOKUP(B340,'Household Information'!$B$1:$E$48,2,FALSE)</f>
        <v>2.3617684870776379</v>
      </c>
      <c r="G340" s="54">
        <f t="shared" si="0"/>
        <v>195400.27757823514</v>
      </c>
      <c r="H340" s="55">
        <f>IF(D340&gt;Variables!$C$6,H293,H293*(1+Variables!$C$9))</f>
        <v>39.199250999999997</v>
      </c>
      <c r="I340" s="1"/>
      <c r="J340" s="13">
        <f>H340*Variables!$C$21</f>
        <v>705.58651799999996</v>
      </c>
      <c r="K340" s="13">
        <f t="shared" si="12"/>
        <v>705.58651799999996</v>
      </c>
      <c r="L340" s="54">
        <f t="shared" si="1"/>
        <v>0</v>
      </c>
      <c r="M340" s="56"/>
      <c r="N340" s="57"/>
      <c r="O340" s="57"/>
      <c r="P340" s="57"/>
      <c r="Q340" s="57"/>
      <c r="R340" s="57"/>
      <c r="S340" s="58">
        <v>0</v>
      </c>
      <c r="T340" s="59">
        <f>$L340*Variables!$C$22/100</f>
        <v>0</v>
      </c>
      <c r="U340" s="59">
        <f>$L340*Variables!$C$23/100</f>
        <v>0</v>
      </c>
      <c r="V340" s="59">
        <f>$L340*Variables!$C$24/100</f>
        <v>0</v>
      </c>
      <c r="W340" s="59">
        <f>$L340*Variables!$C$25/100</f>
        <v>0</v>
      </c>
      <c r="X340" s="62">
        <f>T340*Variables!$E$26*Variables!$C$18+'Cost Calculations'!U340*Variables!$E$27*Variables!$C$18+'Cost Calculations'!V340*Variables!$E$28*Variables!$C$18+W340*Variables!$E$29*Variables!$C$18</f>
        <v>0</v>
      </c>
      <c r="Y340" s="58">
        <f>J340*Variables!$E$30</f>
        <v>462159.16928999999</v>
      </c>
      <c r="Z340" s="1"/>
      <c r="AA340" s="245">
        <f>D340*(IF(D340&lt;Variables!$C$7,Variables!$C$38,IF(D340&gt;Variables!$C$6,Variables!$C$36,Variables!$C$37)))</f>
        <v>553.78826154059868</v>
      </c>
      <c r="AB340" s="64">
        <f t="shared" si="13"/>
        <v>978</v>
      </c>
      <c r="AC340" s="66">
        <f t="shared" si="2"/>
        <v>0</v>
      </c>
      <c r="AD340" s="62">
        <f>AC340*Variables!$E$41</f>
        <v>0</v>
      </c>
      <c r="AE340" s="71">
        <f>ROUND((H340/(3.14*Variables!$C$35^2)),0)</f>
        <v>50</v>
      </c>
      <c r="AF340" s="57">
        <f t="shared" si="14"/>
        <v>50</v>
      </c>
      <c r="AG340" s="57">
        <f t="shared" si="3"/>
        <v>0</v>
      </c>
      <c r="AH340" s="58">
        <f>AG340*Variables!$E$42*Variables!$C$18</f>
        <v>0</v>
      </c>
      <c r="AI340" s="73">
        <f t="shared" si="4"/>
        <v>5</v>
      </c>
      <c r="AJ340" s="66">
        <f t="shared" si="15"/>
        <v>5</v>
      </c>
      <c r="AK340" s="66">
        <f t="shared" si="5"/>
        <v>0</v>
      </c>
      <c r="AL340" s="62">
        <f>IF(AK340*Variables!$E$43*Variables!$C$18&lt;0,0,AK340*Variables!$E$43*Variables!$C$18)</f>
        <v>0</v>
      </c>
      <c r="AM340" s="58">
        <f>AA340*Variables!$E$39*Variables!$C$18</f>
        <v>160073778.79878676</v>
      </c>
      <c r="AN340" s="1"/>
      <c r="AO340" s="76">
        <f t="shared" si="16"/>
        <v>0.61199999999999999</v>
      </c>
      <c r="AP340" s="76">
        <f t="shared" si="6"/>
        <v>86.724138845490856</v>
      </c>
      <c r="AQ340" s="75">
        <f>VLOOKUP(B340,'Household Information'!$B$2:$E$48,4,FALSE)</f>
        <v>75.66</v>
      </c>
      <c r="AR340" s="79">
        <f>IF(12*(AP340-Variables!$C$45*AQ340*F340)*(G340/5)&lt;0,0,12*(AP340-Variables!$C$45*AQ340*F340)*(G340/5))</f>
        <v>28100323.967093058</v>
      </c>
      <c r="AS340" s="1"/>
      <c r="AT340" s="62">
        <v>0</v>
      </c>
      <c r="AU340" s="1"/>
    </row>
    <row r="341" spans="1:47" ht="14.25" customHeight="1">
      <c r="A341" s="1">
        <v>9</v>
      </c>
      <c r="B341" s="3" t="s">
        <v>109</v>
      </c>
      <c r="C341" s="1">
        <v>2026</v>
      </c>
      <c r="D341" s="13">
        <f>VLOOKUP(B341,Population!$B$1:$O$48,10,FALSE)</f>
        <v>540550.8471555172</v>
      </c>
      <c r="E341" s="13" t="str">
        <f t="shared" si="21"/>
        <v>Medium</v>
      </c>
      <c r="F341" s="54">
        <f>VLOOKUP(B341,'Household Information'!$B$1:$E$48,2,FALSE)</f>
        <v>2.7429262269780841</v>
      </c>
      <c r="G341" s="54">
        <f t="shared" si="0"/>
        <v>197070.86608415598</v>
      </c>
      <c r="H341" s="55">
        <f>IF(D341&gt;Variables!$C$6,H294,H294*(1+Variables!$C$9))</f>
        <v>47.234957999999992</v>
      </c>
      <c r="I341" s="1"/>
      <c r="J341" s="13">
        <f>H341*Variables!$C$21</f>
        <v>850.22924399999988</v>
      </c>
      <c r="K341" s="13">
        <f t="shared" si="12"/>
        <v>850.22924399999988</v>
      </c>
      <c r="L341" s="54">
        <f t="shared" si="1"/>
        <v>0</v>
      </c>
      <c r="M341" s="56"/>
      <c r="N341" s="57"/>
      <c r="O341" s="57"/>
      <c r="P341" s="57"/>
      <c r="Q341" s="57"/>
      <c r="R341" s="57"/>
      <c r="S341" s="58">
        <v>0</v>
      </c>
      <c r="T341" s="59">
        <f>$L341*Variables!$C$22/100</f>
        <v>0</v>
      </c>
      <c r="U341" s="59">
        <f>$L341*Variables!$C$23/100</f>
        <v>0</v>
      </c>
      <c r="V341" s="59">
        <f>$L341*Variables!$C$24/100</f>
        <v>0</v>
      </c>
      <c r="W341" s="59">
        <f>$L341*Variables!$C$25/100</f>
        <v>0</v>
      </c>
      <c r="X341" s="62">
        <f>T341*Variables!$E$26*Variables!$C$18+'Cost Calculations'!U341*Variables!$E$27*Variables!$C$18+'Cost Calculations'!V341*Variables!$E$28*Variables!$C$18+W341*Variables!$E$29*Variables!$C$18</f>
        <v>0</v>
      </c>
      <c r="Y341" s="58">
        <f>J341*Variables!$E$30</f>
        <v>556900.15481999994</v>
      </c>
      <c r="Z341" s="1"/>
      <c r="AA341" s="245">
        <f>D341*(IF(D341&lt;Variables!$C$7,Variables!$C$38,IF(D341&gt;Variables!$C$6,Variables!$C$36,Variables!$C$37)))</f>
        <v>648.66101658662058</v>
      </c>
      <c r="AB341" s="64">
        <f t="shared" si="13"/>
        <v>639</v>
      </c>
      <c r="AC341" s="66">
        <f t="shared" si="2"/>
        <v>10</v>
      </c>
      <c r="AD341" s="62">
        <f>AC341*Variables!$E$41</f>
        <v>5376000</v>
      </c>
      <c r="AE341" s="71">
        <f>ROUND((H341/(3.14*Variables!$C$35^2)),0)</f>
        <v>60</v>
      </c>
      <c r="AF341" s="57">
        <f t="shared" si="14"/>
        <v>60</v>
      </c>
      <c r="AG341" s="57">
        <f t="shared" si="3"/>
        <v>0</v>
      </c>
      <c r="AH341" s="58">
        <f>AG341*Variables!$E$42*Variables!$C$18</f>
        <v>0</v>
      </c>
      <c r="AI341" s="73">
        <f t="shared" si="4"/>
        <v>5</v>
      </c>
      <c r="AJ341" s="66">
        <f t="shared" si="15"/>
        <v>5</v>
      </c>
      <c r="AK341" s="66">
        <f t="shared" si="5"/>
        <v>0</v>
      </c>
      <c r="AL341" s="62">
        <f>IF(AK341*Variables!$E$43*Variables!$C$18&lt;0,0,AK341*Variables!$E$43*Variables!$C$18)</f>
        <v>0</v>
      </c>
      <c r="AM341" s="58">
        <f>AA341*Variables!$E$39*Variables!$C$18</f>
        <v>187496968.23768938</v>
      </c>
      <c r="AN341" s="1"/>
      <c r="AO341" s="76">
        <f t="shared" si="16"/>
        <v>0.67714285714285716</v>
      </c>
      <c r="AP341" s="76">
        <f t="shared" si="6"/>
        <v>111.44117413608102</v>
      </c>
      <c r="AQ341" s="75">
        <f>VLOOKUP(B341,'Household Information'!$B$2:$E$48,4,FALSE)</f>
        <v>65.935833333333335</v>
      </c>
      <c r="AR341" s="79">
        <f>IF(12*(AP341-Variables!$C$45*AQ341*F341)*(G341/5)&lt;0,0,12*(AP341-Variables!$C$45*AQ341*F341)*(G341/5))</f>
        <v>39877339.486792751</v>
      </c>
      <c r="AS341" s="1"/>
      <c r="AT341" s="62">
        <v>0</v>
      </c>
      <c r="AU341" s="1"/>
    </row>
    <row r="342" spans="1:47" ht="14.25" customHeight="1">
      <c r="A342" s="1">
        <v>10</v>
      </c>
      <c r="B342" s="3" t="s">
        <v>110</v>
      </c>
      <c r="C342" s="1">
        <v>2026</v>
      </c>
      <c r="D342" s="13">
        <f>VLOOKUP(B342,Population!$B$1:$O$48,10,FALSE)</f>
        <v>564019.06721205718</v>
      </c>
      <c r="E342" s="13" t="str">
        <f t="shared" si="21"/>
        <v>Medium</v>
      </c>
      <c r="F342" s="54">
        <f>VLOOKUP(B342,'Household Information'!$B$1:$E$48,2,FALSE)</f>
        <v>2.5116430728482135</v>
      </c>
      <c r="G342" s="54">
        <f t="shared" si="0"/>
        <v>224561.79116742781</v>
      </c>
      <c r="H342" s="55">
        <f>IF(D342&gt;Variables!$C$6,H295,H295*(1+Variables!$C$9))</f>
        <v>27.319750999999997</v>
      </c>
      <c r="I342" s="1"/>
      <c r="J342" s="13">
        <f>H342*Variables!$C$21</f>
        <v>491.75551799999994</v>
      </c>
      <c r="K342" s="13">
        <f t="shared" si="12"/>
        <v>491.75551799999994</v>
      </c>
      <c r="L342" s="54">
        <f t="shared" si="1"/>
        <v>0</v>
      </c>
      <c r="M342" s="56"/>
      <c r="N342" s="57"/>
      <c r="O342" s="57"/>
      <c r="P342" s="57"/>
      <c r="Q342" s="57"/>
      <c r="R342" s="57"/>
      <c r="S342" s="58">
        <v>0</v>
      </c>
      <c r="T342" s="59">
        <f>$L342*Variables!$C$22/100</f>
        <v>0</v>
      </c>
      <c r="U342" s="59">
        <f>$L342*Variables!$C$23/100</f>
        <v>0</v>
      </c>
      <c r="V342" s="59">
        <f>$L342*Variables!$C$24/100</f>
        <v>0</v>
      </c>
      <c r="W342" s="59">
        <f>$L342*Variables!$C$25/100</f>
        <v>0</v>
      </c>
      <c r="X342" s="62">
        <f>T342*Variables!$E$26*Variables!$C$18+'Cost Calculations'!U342*Variables!$E$27*Variables!$C$18+'Cost Calculations'!V342*Variables!$E$28*Variables!$C$18+W342*Variables!$E$29*Variables!$C$18</f>
        <v>0</v>
      </c>
      <c r="Y342" s="58">
        <f>J342*Variables!$E$30</f>
        <v>322099.86428999994</v>
      </c>
      <c r="Z342" s="1"/>
      <c r="AA342" s="245">
        <f>D342*(IF(D342&lt;Variables!$C$7,Variables!$C$38,IF(D342&gt;Variables!$C$6,Variables!$C$36,Variables!$C$37)))</f>
        <v>676.82288065446858</v>
      </c>
      <c r="AB342" s="64">
        <f t="shared" si="13"/>
        <v>667</v>
      </c>
      <c r="AC342" s="66">
        <f t="shared" si="2"/>
        <v>10</v>
      </c>
      <c r="AD342" s="62">
        <f>AC342*Variables!$E$41</f>
        <v>5376000</v>
      </c>
      <c r="AE342" s="71">
        <f>ROUND((H342/(3.14*Variables!$C$35^2)),0)</f>
        <v>35</v>
      </c>
      <c r="AF342" s="57">
        <f t="shared" si="14"/>
        <v>35</v>
      </c>
      <c r="AG342" s="57">
        <f t="shared" si="3"/>
        <v>0</v>
      </c>
      <c r="AH342" s="58">
        <f>AG342*Variables!$E$42*Variables!$C$18</f>
        <v>0</v>
      </c>
      <c r="AI342" s="73">
        <f t="shared" si="4"/>
        <v>6</v>
      </c>
      <c r="AJ342" s="66">
        <f t="shared" si="15"/>
        <v>6</v>
      </c>
      <c r="AK342" s="66">
        <f t="shared" si="5"/>
        <v>0</v>
      </c>
      <c r="AL342" s="62">
        <f>IF(AK342*Variables!$E$43*Variables!$C$18&lt;0,0,AK342*Variables!$E$43*Variables!$C$18)</f>
        <v>0</v>
      </c>
      <c r="AM342" s="58">
        <f>AA342*Variables!$E$39*Variables!$C$18</f>
        <v>195637220.23006162</v>
      </c>
      <c r="AN342" s="1"/>
      <c r="AO342" s="76">
        <f t="shared" si="16"/>
        <v>0.67714285714285716</v>
      </c>
      <c r="AP342" s="76">
        <f t="shared" si="6"/>
        <v>102.04446998829027</v>
      </c>
      <c r="AQ342" s="75">
        <f>VLOOKUP(B342,'Household Information'!$B$2:$E$48,4,FALSE)</f>
        <v>62.81</v>
      </c>
      <c r="AR342" s="79">
        <f>IF(12*(AP342-Variables!$C$45*AQ342*F342)*(G342/5)&lt;0,0,12*(AP342-Variables!$C$45*AQ342*F342)*(G342/5))</f>
        <v>42243319.962150961</v>
      </c>
      <c r="AS342" s="1"/>
      <c r="AT342" s="62">
        <v>0</v>
      </c>
      <c r="AU342" s="1"/>
    </row>
    <row r="343" spans="1:47" ht="14.25" customHeight="1">
      <c r="A343" s="1">
        <v>11</v>
      </c>
      <c r="B343" s="3" t="s">
        <v>125</v>
      </c>
      <c r="C343" s="1">
        <v>2026</v>
      </c>
      <c r="D343" s="13">
        <f>VLOOKUP(B343,Population!$B$1:$O$48,10,FALSE)</f>
        <v>396892.62706477765</v>
      </c>
      <c r="E343" s="13" t="str">
        <f t="shared" si="21"/>
        <v>Medium</v>
      </c>
      <c r="F343" s="54">
        <f>VLOOKUP(B343,'Household Information'!$B$1:$E$48,2,FALSE)</f>
        <v>2.693850400263019</v>
      </c>
      <c r="G343" s="54">
        <f t="shared" si="0"/>
        <v>147332.83890821342</v>
      </c>
      <c r="H343" s="55">
        <f>IF(D343&gt;Variables!$C$6,H296,H296*(1+Variables!$C$9))</f>
        <v>28.674206300180991</v>
      </c>
      <c r="I343" s="1"/>
      <c r="J343" s="13">
        <f>H343*Variables!$C$21</f>
        <v>516.1357134032578</v>
      </c>
      <c r="K343" s="13">
        <f t="shared" si="12"/>
        <v>516.1357134032578</v>
      </c>
      <c r="L343" s="54">
        <f t="shared" si="1"/>
        <v>0</v>
      </c>
      <c r="M343" s="56"/>
      <c r="N343" s="57"/>
      <c r="O343" s="57"/>
      <c r="P343" s="57"/>
      <c r="Q343" s="57"/>
      <c r="R343" s="57"/>
      <c r="S343" s="58">
        <v>0</v>
      </c>
      <c r="T343" s="59">
        <f>$L343*Variables!$C$22/100</f>
        <v>0</v>
      </c>
      <c r="U343" s="59">
        <f>$L343*Variables!$C$23/100</f>
        <v>0</v>
      </c>
      <c r="V343" s="59">
        <f>$L343*Variables!$C$24/100</f>
        <v>0</v>
      </c>
      <c r="W343" s="59">
        <f>$L343*Variables!$C$25/100</f>
        <v>0</v>
      </c>
      <c r="X343" s="62">
        <f>T343*Variables!$E$26*Variables!$C$18+'Cost Calculations'!U343*Variables!$E$27*Variables!$C$18+'Cost Calculations'!V343*Variables!$E$28*Variables!$C$18+W343*Variables!$E$29*Variables!$C$18</f>
        <v>0</v>
      </c>
      <c r="Y343" s="58">
        <f>J343*Variables!$E$30</f>
        <v>338068.89227913384</v>
      </c>
      <c r="Z343" s="1"/>
      <c r="AA343" s="245">
        <f>D343*(IF(D343&lt;Variables!$C$7,Variables!$C$38,IF(D343&gt;Variables!$C$6,Variables!$C$36,Variables!$C$37)))</f>
        <v>476.27115247773315</v>
      </c>
      <c r="AB343" s="64">
        <f t="shared" si="13"/>
        <v>469</v>
      </c>
      <c r="AC343" s="66">
        <f t="shared" si="2"/>
        <v>7</v>
      </c>
      <c r="AD343" s="62">
        <f>AC343*Variables!$E$41</f>
        <v>3763200</v>
      </c>
      <c r="AE343" s="71">
        <f>ROUND((H343/(3.14*Variables!$C$35^2)),0)</f>
        <v>37</v>
      </c>
      <c r="AF343" s="57">
        <f t="shared" si="14"/>
        <v>37</v>
      </c>
      <c r="AG343" s="57">
        <f t="shared" si="3"/>
        <v>0</v>
      </c>
      <c r="AH343" s="58">
        <f>AG343*Variables!$E$42*Variables!$C$18</f>
        <v>0</v>
      </c>
      <c r="AI343" s="73">
        <f t="shared" si="4"/>
        <v>4</v>
      </c>
      <c r="AJ343" s="66">
        <f t="shared" si="15"/>
        <v>4</v>
      </c>
      <c r="AK343" s="66">
        <f t="shared" si="5"/>
        <v>0</v>
      </c>
      <c r="AL343" s="62">
        <f>IF(AK343*Variables!$E$43*Variables!$C$18&lt;0,0,AK343*Variables!$E$43*Variables!$C$18)</f>
        <v>0</v>
      </c>
      <c r="AM343" s="58">
        <f>AA343*Variables!$E$39*Variables!$C$18</f>
        <v>137667279.0027616</v>
      </c>
      <c r="AN343" s="1"/>
      <c r="AO343" s="76">
        <f t="shared" si="16"/>
        <v>0.67714285714285716</v>
      </c>
      <c r="AP343" s="76">
        <f t="shared" si="6"/>
        <v>109.4472934049718</v>
      </c>
      <c r="AQ343" s="75">
        <f>VLOOKUP(B343,'Household Information'!$B$2:$E$48,4,FALSE)</f>
        <v>65.935833333333335</v>
      </c>
      <c r="AR343" s="79">
        <f>IF(12*(AP343-Variables!$C$45*AQ343*F343)*(G343/5)&lt;0,0,12*(AP343-Variables!$C$45*AQ343*F343)*(G343/5))</f>
        <v>29279432.47624531</v>
      </c>
      <c r="AS343" s="1"/>
      <c r="AT343" s="62">
        <v>0</v>
      </c>
      <c r="AU343" s="1"/>
    </row>
    <row r="344" spans="1:47" ht="14.25" customHeight="1">
      <c r="A344" s="1">
        <v>12</v>
      </c>
      <c r="B344" s="3" t="s">
        <v>152</v>
      </c>
      <c r="C344" s="1">
        <v>2026</v>
      </c>
      <c r="D344" s="13">
        <f>VLOOKUP(B344,Population!$B$1:$O$48,10,FALSE)</f>
        <v>451088.18540587783</v>
      </c>
      <c r="E344" s="13" t="str">
        <f t="shared" si="21"/>
        <v>Medium</v>
      </c>
      <c r="F344" s="54">
        <f>VLOOKUP(B344,'Household Information'!$B$1:$E$48,2,FALSE)</f>
        <v>2.5280688906285511</v>
      </c>
      <c r="G344" s="54">
        <f t="shared" si="0"/>
        <v>178431.91974635006</v>
      </c>
      <c r="H344" s="55">
        <f>IF(D344&gt;Variables!$C$6,H297,H297*(1+Variables!$C$9))</f>
        <v>17.374026999999998</v>
      </c>
      <c r="I344" s="1"/>
      <c r="J344" s="13">
        <f>H344*Variables!$C$21</f>
        <v>312.73248599999999</v>
      </c>
      <c r="K344" s="13">
        <f t="shared" si="12"/>
        <v>639</v>
      </c>
      <c r="L344" s="54">
        <f t="shared" si="1"/>
        <v>0</v>
      </c>
      <c r="M344" s="56"/>
      <c r="N344" s="57"/>
      <c r="O344" s="57"/>
      <c r="P344" s="57"/>
      <c r="Q344" s="57"/>
      <c r="R344" s="57"/>
      <c r="S344" s="58">
        <v>0</v>
      </c>
      <c r="T344" s="59">
        <f>$L344*Variables!$C$22/100</f>
        <v>0</v>
      </c>
      <c r="U344" s="59">
        <f>$L344*Variables!$C$23/100</f>
        <v>0</v>
      </c>
      <c r="V344" s="59">
        <f>$L344*Variables!$C$24/100</f>
        <v>0</v>
      </c>
      <c r="W344" s="59">
        <f>$L344*Variables!$C$25/100</f>
        <v>0</v>
      </c>
      <c r="X344" s="62">
        <f>T344*Variables!$E$26*Variables!$C$18+'Cost Calculations'!U344*Variables!$E$27*Variables!$C$18+'Cost Calculations'!V344*Variables!$E$28*Variables!$C$18+W344*Variables!$E$29*Variables!$C$18</f>
        <v>0</v>
      </c>
      <c r="Y344" s="58">
        <f>J344*Variables!$E$30</f>
        <v>204839.77833</v>
      </c>
      <c r="Z344" s="1"/>
      <c r="AA344" s="245">
        <f>D344*(IF(D344&lt;Variables!$C$7,Variables!$C$38,IF(D344&gt;Variables!$C$6,Variables!$C$36,Variables!$C$37)))</f>
        <v>541.30582248705332</v>
      </c>
      <c r="AB344" s="64">
        <f t="shared" si="13"/>
        <v>533</v>
      </c>
      <c r="AC344" s="66">
        <f t="shared" si="2"/>
        <v>8</v>
      </c>
      <c r="AD344" s="62">
        <f>AC344*Variables!$E$41</f>
        <v>4300800</v>
      </c>
      <c r="AE344" s="71">
        <f>ROUND((H344/(3.14*Variables!$C$35^2)),0)</f>
        <v>22</v>
      </c>
      <c r="AF344" s="57">
        <f t="shared" si="14"/>
        <v>22</v>
      </c>
      <c r="AG344" s="57">
        <f t="shared" si="3"/>
        <v>0</v>
      </c>
      <c r="AH344" s="58">
        <f>AG344*Variables!$E$42*Variables!$C$18</f>
        <v>0</v>
      </c>
      <c r="AI344" s="73">
        <f t="shared" si="4"/>
        <v>5</v>
      </c>
      <c r="AJ344" s="66">
        <f t="shared" si="15"/>
        <v>4</v>
      </c>
      <c r="AK344" s="66">
        <f t="shared" si="5"/>
        <v>1</v>
      </c>
      <c r="AL344" s="62">
        <f>IF(AK344*Variables!$E$43*Variables!$C$18&lt;0,0,AK344*Variables!$E$43*Variables!$C$18)</f>
        <v>945381.49199999997</v>
      </c>
      <c r="AM344" s="58">
        <f>AA344*Variables!$E$39*Variables!$C$18</f>
        <v>156465700.8984572</v>
      </c>
      <c r="AN344" s="1"/>
      <c r="AO344" s="76">
        <f t="shared" si="16"/>
        <v>0.67714285714285716</v>
      </c>
      <c r="AP344" s="76">
        <f t="shared" si="6"/>
        <v>102.71182749925141</v>
      </c>
      <c r="AQ344" s="75">
        <f>VLOOKUP(B344,'Household Information'!$B$2:$E$48,4,FALSE)</f>
        <v>89.08</v>
      </c>
      <c r="AR344" s="79">
        <f>IF(12*(AP344-Variables!$C$45*AQ344*F344)*(G344/5)&lt;0,0,12*(AP344-Variables!$C$45*AQ344*F344)*(G344/5))</f>
        <v>29519107.747089691</v>
      </c>
      <c r="AS344" s="1"/>
      <c r="AT344" s="62">
        <v>0</v>
      </c>
      <c r="AU344" s="1"/>
    </row>
    <row r="345" spans="1:47" ht="14.25" customHeight="1">
      <c r="A345" s="1">
        <v>13</v>
      </c>
      <c r="B345" s="3" t="s">
        <v>181</v>
      </c>
      <c r="C345" s="1">
        <v>2026</v>
      </c>
      <c r="D345" s="13">
        <f>VLOOKUP(B345,Population!$B$1:$O$48,10,FALSE)</f>
        <v>508286.97298284108</v>
      </c>
      <c r="E345" s="13" t="str">
        <f t="shared" si="21"/>
        <v>Medium</v>
      </c>
      <c r="F345" s="54">
        <f>VLOOKUP(B345,'Household Information'!$B$1:$E$48,2,FALSE)</f>
        <v>2.4075040417460345</v>
      </c>
      <c r="G345" s="54">
        <f t="shared" si="0"/>
        <v>211126.11408710558</v>
      </c>
      <c r="H345" s="55">
        <f>IF(D345&gt;Variables!$C$6,H298,H298*(1+Variables!$C$9))</f>
        <v>82.9</v>
      </c>
      <c r="I345" s="1"/>
      <c r="J345" s="13">
        <f>H345*Variables!$C$21</f>
        <v>1492.2</v>
      </c>
      <c r="K345" s="13">
        <f t="shared" si="12"/>
        <v>1492.2</v>
      </c>
      <c r="L345" s="54">
        <f t="shared" si="1"/>
        <v>0</v>
      </c>
      <c r="M345" s="56"/>
      <c r="N345" s="57"/>
      <c r="O345" s="57"/>
      <c r="P345" s="57"/>
      <c r="Q345" s="57"/>
      <c r="R345" s="57"/>
      <c r="S345" s="58">
        <v>0</v>
      </c>
      <c r="T345" s="59">
        <f>$L345*Variables!$C$22/100</f>
        <v>0</v>
      </c>
      <c r="U345" s="59">
        <f>$L345*Variables!$C$23/100</f>
        <v>0</v>
      </c>
      <c r="V345" s="59">
        <f>$L345*Variables!$C$24/100</f>
        <v>0</v>
      </c>
      <c r="W345" s="59">
        <f>$L345*Variables!$C$25/100</f>
        <v>0</v>
      </c>
      <c r="X345" s="62">
        <f>T345*Variables!$E$26*Variables!$C$18+'Cost Calculations'!U345*Variables!$E$27*Variables!$C$18+'Cost Calculations'!V345*Variables!$E$28*Variables!$C$18+W345*Variables!$E$29*Variables!$C$18</f>
        <v>0</v>
      </c>
      <c r="Y345" s="58">
        <f>J345*Variables!$E$30</f>
        <v>977391</v>
      </c>
      <c r="Z345" s="1"/>
      <c r="AA345" s="245">
        <f>D345*(IF(D345&lt;Variables!$C$7,Variables!$C$38,IF(D345&gt;Variables!$C$6,Variables!$C$36,Variables!$C$37)))</f>
        <v>609.94436757940923</v>
      </c>
      <c r="AB345" s="64">
        <f t="shared" si="13"/>
        <v>601</v>
      </c>
      <c r="AC345" s="66">
        <f t="shared" si="2"/>
        <v>9</v>
      </c>
      <c r="AD345" s="62">
        <f>AC345*Variables!$E$41</f>
        <v>4838400</v>
      </c>
      <c r="AE345" s="71">
        <f>ROUND((H345/(3.14*Variables!$C$35^2)),0)</f>
        <v>106</v>
      </c>
      <c r="AF345" s="57">
        <f t="shared" si="14"/>
        <v>106</v>
      </c>
      <c r="AG345" s="57">
        <f t="shared" si="3"/>
        <v>0</v>
      </c>
      <c r="AH345" s="58">
        <f>AG345*Variables!$E$42*Variables!$C$18</f>
        <v>0</v>
      </c>
      <c r="AI345" s="73">
        <f t="shared" si="4"/>
        <v>5</v>
      </c>
      <c r="AJ345" s="66">
        <f t="shared" si="15"/>
        <v>5</v>
      </c>
      <c r="AK345" s="66">
        <f t="shared" si="5"/>
        <v>0</v>
      </c>
      <c r="AL345" s="62">
        <f>IF(AK345*Variables!$E$43*Variables!$C$18&lt;0,0,AK345*Variables!$E$43*Variables!$C$18)</f>
        <v>0</v>
      </c>
      <c r="AM345" s="58">
        <f>AA345*Variables!$E$39*Variables!$C$18</f>
        <v>176305831.22844768</v>
      </c>
      <c r="AN345" s="1"/>
      <c r="AO345" s="76">
        <f t="shared" si="16"/>
        <v>0.67714285714285716</v>
      </c>
      <c r="AP345" s="76">
        <f t="shared" si="6"/>
        <v>97.81344992465317</v>
      </c>
      <c r="AQ345" s="75">
        <f>VLOOKUP(B345,'Household Information'!$B$2:$E$48,4,FALSE)</f>
        <v>71.48</v>
      </c>
      <c r="AR345" s="79">
        <f>IF(12*(AP345-Variables!$C$45*AQ345*F345)*(G345/5)&lt;0,0,12*(AP345-Variables!$C$45*AQ345*F345)*(G345/5))</f>
        <v>36482689.592936866</v>
      </c>
      <c r="AS345" s="1"/>
      <c r="AT345" s="62">
        <v>0</v>
      </c>
      <c r="AU345" s="1"/>
    </row>
    <row r="346" spans="1:47" ht="14.25" customHeight="1">
      <c r="A346" s="1">
        <v>14</v>
      </c>
      <c r="B346" s="3" t="s">
        <v>206</v>
      </c>
      <c r="C346" s="1">
        <v>2026</v>
      </c>
      <c r="D346" s="13">
        <f>VLOOKUP(B346,Population!$B$1:$O$48,10,FALSE)</f>
        <v>354311.20729147515</v>
      </c>
      <c r="E346" s="13" t="str">
        <f t="shared" si="21"/>
        <v>Medium</v>
      </c>
      <c r="F346" s="54">
        <f>VLOOKUP(B346,'Household Information'!$B$1:$E$48,2,FALSE)</f>
        <v>2.4590017825311943</v>
      </c>
      <c r="G346" s="54">
        <f t="shared" si="0"/>
        <v>144087.41376623238</v>
      </c>
      <c r="H346" s="55">
        <f>IF(D346&gt;Variables!$C$6,H299,H299*(1+Variables!$C$9))</f>
        <v>25.496505999999997</v>
      </c>
      <c r="I346" s="1"/>
      <c r="J346" s="13">
        <f>H346*Variables!$C$21</f>
        <v>458.93710799999997</v>
      </c>
      <c r="K346" s="13">
        <f t="shared" si="12"/>
        <v>458.93710799999997</v>
      </c>
      <c r="L346" s="54">
        <f t="shared" si="1"/>
        <v>0</v>
      </c>
      <c r="M346" s="56"/>
      <c r="N346" s="57"/>
      <c r="O346" s="57"/>
      <c r="P346" s="57"/>
      <c r="Q346" s="57"/>
      <c r="R346" s="57"/>
      <c r="S346" s="58">
        <v>0</v>
      </c>
      <c r="T346" s="59">
        <f>$L346*Variables!$C$22/100</f>
        <v>0</v>
      </c>
      <c r="U346" s="59">
        <f>$L346*Variables!$C$23/100</f>
        <v>0</v>
      </c>
      <c r="V346" s="59">
        <f>$L346*Variables!$C$24/100</f>
        <v>0</v>
      </c>
      <c r="W346" s="59">
        <f>$L346*Variables!$C$25/100</f>
        <v>0</v>
      </c>
      <c r="X346" s="62">
        <f>T346*Variables!$E$26*Variables!$C$18+'Cost Calculations'!U346*Variables!$E$27*Variables!$C$18+'Cost Calculations'!V346*Variables!$E$28*Variables!$C$18+W346*Variables!$E$29*Variables!$C$18</f>
        <v>0</v>
      </c>
      <c r="Y346" s="58">
        <f>J346*Variables!$E$30</f>
        <v>300603.80573999998</v>
      </c>
      <c r="Z346" s="1"/>
      <c r="AA346" s="245">
        <f>D346*(IF(D346&lt;Variables!$C$7,Variables!$C$38,IF(D346&gt;Variables!$C$6,Variables!$C$36,Variables!$C$37)))</f>
        <v>425.17344874977016</v>
      </c>
      <c r="AB346" s="64">
        <f t="shared" si="13"/>
        <v>419</v>
      </c>
      <c r="AC346" s="66">
        <f t="shared" si="2"/>
        <v>6</v>
      </c>
      <c r="AD346" s="62">
        <f>AC346*Variables!$E$41</f>
        <v>3225600</v>
      </c>
      <c r="AE346" s="71">
        <f>ROUND((H346/(3.14*Variables!$C$35^2)),0)</f>
        <v>32</v>
      </c>
      <c r="AF346" s="57">
        <f t="shared" si="14"/>
        <v>32</v>
      </c>
      <c r="AG346" s="57">
        <f t="shared" si="3"/>
        <v>0</v>
      </c>
      <c r="AH346" s="58">
        <f>AG346*Variables!$E$42*Variables!$C$18</f>
        <v>0</v>
      </c>
      <c r="AI346" s="73">
        <f t="shared" si="4"/>
        <v>4</v>
      </c>
      <c r="AJ346" s="66">
        <f t="shared" si="15"/>
        <v>3</v>
      </c>
      <c r="AK346" s="66">
        <f t="shared" si="5"/>
        <v>1</v>
      </c>
      <c r="AL346" s="62">
        <f>IF(AK346*Variables!$E$43*Variables!$C$18&lt;0,0,AK346*Variables!$E$43*Variables!$C$18)</f>
        <v>945381.49199999997</v>
      </c>
      <c r="AM346" s="58">
        <f>AA346*Variables!$E$39*Variables!$C$18</f>
        <v>122897369.46924892</v>
      </c>
      <c r="AN346" s="1"/>
      <c r="AO346" s="76">
        <f t="shared" si="16"/>
        <v>0.67714285714285716</v>
      </c>
      <c r="AP346" s="76">
        <f t="shared" si="6"/>
        <v>99.905729564553084</v>
      </c>
      <c r="AQ346" s="75">
        <f>VLOOKUP(B346,'Household Information'!$B$2:$E$48,4,FALSE)</f>
        <v>65.935833333333335</v>
      </c>
      <c r="AR346" s="79">
        <f>IF(12*(AP346-Variables!$C$45*AQ346*F346)*(G346/5)&lt;0,0,12*(AP346-Variables!$C$45*AQ346*F346)*(G346/5))</f>
        <v>26138129.967767164</v>
      </c>
      <c r="AS346" s="1"/>
      <c r="AT346" s="62">
        <v>0</v>
      </c>
      <c r="AU346" s="1"/>
    </row>
    <row r="347" spans="1:47" ht="14.25" customHeight="1">
      <c r="A347" s="1">
        <v>15</v>
      </c>
      <c r="B347" s="3" t="s">
        <v>207</v>
      </c>
      <c r="C347" s="1">
        <v>2026</v>
      </c>
      <c r="D347" s="13">
        <f>VLOOKUP(B347,Population!$B$1:$O$48,10,FALSE)</f>
        <v>310507.54306171666</v>
      </c>
      <c r="E347" s="13" t="str">
        <f t="shared" si="21"/>
        <v>Medium</v>
      </c>
      <c r="F347" s="54">
        <f>VLOOKUP(B347,'Household Information'!$B$1:$E$48,2,FALSE)</f>
        <v>2.4536973570595619</v>
      </c>
      <c r="G347" s="54">
        <f t="shared" si="0"/>
        <v>126546.79770035685</v>
      </c>
      <c r="H347" s="55">
        <f>IF(D347&gt;Variables!$C$6,H300,H300*(1+Variables!$C$9))</f>
        <v>19.38</v>
      </c>
      <c r="I347" s="1"/>
      <c r="J347" s="13">
        <f>H347*Variables!$C$21</f>
        <v>348.84</v>
      </c>
      <c r="K347" s="13">
        <f t="shared" si="12"/>
        <v>348.84</v>
      </c>
      <c r="L347" s="54">
        <f t="shared" si="1"/>
        <v>0</v>
      </c>
      <c r="M347" s="56"/>
      <c r="N347" s="57"/>
      <c r="O347" s="57"/>
      <c r="P347" s="57"/>
      <c r="Q347" s="57"/>
      <c r="R347" s="57"/>
      <c r="S347" s="58">
        <v>0</v>
      </c>
      <c r="T347" s="59">
        <f>$L347*Variables!$C$22/100</f>
        <v>0</v>
      </c>
      <c r="U347" s="59">
        <f>$L347*Variables!$C$23/100</f>
        <v>0</v>
      </c>
      <c r="V347" s="59">
        <f>$L347*Variables!$C$24/100</f>
        <v>0</v>
      </c>
      <c r="W347" s="59">
        <f>$L347*Variables!$C$25/100</f>
        <v>0</v>
      </c>
      <c r="X347" s="62">
        <f>T347*Variables!$E$26*Variables!$C$18+'Cost Calculations'!U347*Variables!$E$27*Variables!$C$18+'Cost Calculations'!V347*Variables!$E$28*Variables!$C$18+W347*Variables!$E$29*Variables!$C$18</f>
        <v>0</v>
      </c>
      <c r="Y347" s="58">
        <f>J347*Variables!$E$30</f>
        <v>228490.19999999998</v>
      </c>
      <c r="Z347" s="1"/>
      <c r="AA347" s="245">
        <f>D347*(IF(D347&lt;Variables!$C$7,Variables!$C$38,IF(D347&gt;Variables!$C$6,Variables!$C$36,Variables!$C$37)))</f>
        <v>372.60905167405997</v>
      </c>
      <c r="AB347" s="64">
        <f t="shared" si="13"/>
        <v>367</v>
      </c>
      <c r="AC347" s="66">
        <f t="shared" si="2"/>
        <v>6</v>
      </c>
      <c r="AD347" s="62">
        <f>AC347*Variables!$E$41</f>
        <v>3225600</v>
      </c>
      <c r="AE347" s="71">
        <f>ROUND((H347/(3.14*Variables!$C$35^2)),0)</f>
        <v>25</v>
      </c>
      <c r="AF347" s="57">
        <f t="shared" si="14"/>
        <v>25</v>
      </c>
      <c r="AG347" s="57">
        <f t="shared" si="3"/>
        <v>0</v>
      </c>
      <c r="AH347" s="58">
        <f>AG347*Variables!$E$42*Variables!$C$18</f>
        <v>0</v>
      </c>
      <c r="AI347" s="73">
        <f t="shared" si="4"/>
        <v>3</v>
      </c>
      <c r="AJ347" s="66">
        <f t="shared" si="15"/>
        <v>3</v>
      </c>
      <c r="AK347" s="66">
        <f t="shared" si="5"/>
        <v>0</v>
      </c>
      <c r="AL347" s="62">
        <f>IF(AK347*Variables!$E$43*Variables!$C$18&lt;0,0,AK347*Variables!$E$43*Variables!$C$18)</f>
        <v>0</v>
      </c>
      <c r="AM347" s="58">
        <f>AA347*Variables!$E$39*Variables!$C$18</f>
        <v>107703508.82875578</v>
      </c>
      <c r="AN347" s="1"/>
      <c r="AO347" s="76">
        <f t="shared" si="16"/>
        <v>0.67714285714285716</v>
      </c>
      <c r="AP347" s="76">
        <f t="shared" si="6"/>
        <v>99.690218335391336</v>
      </c>
      <c r="AQ347" s="75">
        <f>VLOOKUP(B347,'Household Information'!$B$2:$E$48,4,FALSE)</f>
        <v>65.935833333333335</v>
      </c>
      <c r="AR347" s="79">
        <f>IF(12*(AP347-Variables!$C$45*AQ347*F347)*(G347/5)&lt;0,0,12*(AP347-Variables!$C$45*AQ347*F347)*(G347/5))</f>
        <v>22906660.442841955</v>
      </c>
      <c r="AS347" s="1"/>
      <c r="AT347" s="62">
        <v>0</v>
      </c>
      <c r="AU347" s="1"/>
    </row>
    <row r="348" spans="1:47" ht="14.25" customHeight="1">
      <c r="A348" s="1">
        <v>16</v>
      </c>
      <c r="B348" s="3" t="s">
        <v>208</v>
      </c>
      <c r="C348" s="1">
        <v>2026</v>
      </c>
      <c r="D348" s="13">
        <f>VLOOKUP(B348,Population!$B$1:$O$48,10,FALSE)</f>
        <v>517453.24315996707</v>
      </c>
      <c r="E348" s="13" t="str">
        <f t="shared" si="21"/>
        <v>Medium</v>
      </c>
      <c r="F348" s="54">
        <f>VLOOKUP(B348,'Household Information'!$B$1:$E$48,2,FALSE)</f>
        <v>3.2379076029492619</v>
      </c>
      <c r="G348" s="54">
        <f t="shared" si="0"/>
        <v>159810.99728992963</v>
      </c>
      <c r="H348" s="55">
        <f>IF(D348&gt;Variables!$C$6,H301,H301*(1+Variables!$C$9))</f>
        <v>31.656284999999997</v>
      </c>
      <c r="I348" s="1"/>
      <c r="J348" s="13">
        <f>H348*Variables!$C$21</f>
        <v>569.81313</v>
      </c>
      <c r="K348" s="13">
        <f t="shared" si="12"/>
        <v>582</v>
      </c>
      <c r="L348" s="54">
        <f t="shared" si="1"/>
        <v>0</v>
      </c>
      <c r="M348" s="56"/>
      <c r="N348" s="57"/>
      <c r="O348" s="57"/>
      <c r="P348" s="57"/>
      <c r="Q348" s="57"/>
      <c r="R348" s="57"/>
      <c r="S348" s="58">
        <v>0</v>
      </c>
      <c r="T348" s="59">
        <f>$L348*Variables!$C$22/100</f>
        <v>0</v>
      </c>
      <c r="U348" s="59">
        <f>$L348*Variables!$C$23/100</f>
        <v>0</v>
      </c>
      <c r="V348" s="59">
        <f>$L348*Variables!$C$24/100</f>
        <v>0</v>
      </c>
      <c r="W348" s="59">
        <f>$L348*Variables!$C$25/100</f>
        <v>0</v>
      </c>
      <c r="X348" s="62">
        <f>T348*Variables!$E$26*Variables!$C$18+'Cost Calculations'!U348*Variables!$E$27*Variables!$C$18+'Cost Calculations'!V348*Variables!$E$28*Variables!$C$18+W348*Variables!$E$29*Variables!$C$18</f>
        <v>0</v>
      </c>
      <c r="Y348" s="58">
        <f>J348*Variables!$E$30</f>
        <v>373227.60015000001</v>
      </c>
      <c r="Z348" s="1"/>
      <c r="AA348" s="245">
        <f>D348*(IF(D348&lt;Variables!$C$7,Variables!$C$38,IF(D348&gt;Variables!$C$6,Variables!$C$36,Variables!$C$37)))</f>
        <v>620.94389179196048</v>
      </c>
      <c r="AB348" s="64">
        <f t="shared" si="13"/>
        <v>612</v>
      </c>
      <c r="AC348" s="66">
        <f t="shared" si="2"/>
        <v>9</v>
      </c>
      <c r="AD348" s="62">
        <f>AC348*Variables!$E$41</f>
        <v>4838400</v>
      </c>
      <c r="AE348" s="71">
        <f>ROUND((H348/(3.14*Variables!$C$35^2)),0)</f>
        <v>40</v>
      </c>
      <c r="AF348" s="57">
        <f t="shared" si="14"/>
        <v>40</v>
      </c>
      <c r="AG348" s="57">
        <f t="shared" si="3"/>
        <v>0</v>
      </c>
      <c r="AH348" s="58">
        <f>AG348*Variables!$E$42*Variables!$C$18</f>
        <v>0</v>
      </c>
      <c r="AI348" s="73">
        <f t="shared" si="4"/>
        <v>5</v>
      </c>
      <c r="AJ348" s="66">
        <f t="shared" si="15"/>
        <v>5</v>
      </c>
      <c r="AK348" s="66">
        <f t="shared" si="5"/>
        <v>0</v>
      </c>
      <c r="AL348" s="62">
        <f>IF(AK348*Variables!$E$43*Variables!$C$18&lt;0,0,AK348*Variables!$E$43*Variables!$C$18)</f>
        <v>0</v>
      </c>
      <c r="AM348" s="58">
        <f>AA348*Variables!$E$39*Variables!$C$18</f>
        <v>179485269.16162741</v>
      </c>
      <c r="AN348" s="1"/>
      <c r="AO348" s="76">
        <f t="shared" si="16"/>
        <v>0.67714285714285716</v>
      </c>
      <c r="AP348" s="76">
        <f t="shared" si="6"/>
        <v>131.55156032553859</v>
      </c>
      <c r="AQ348" s="75">
        <f>VLOOKUP(B348,'Household Information'!$B$2:$E$48,4,FALSE)</f>
        <v>65.935833333333335</v>
      </c>
      <c r="AR348" s="79">
        <f>IF(12*(AP348-Variables!$C$45*AQ348*F348)*(G348/5)&lt;0,0,12*(AP348-Variables!$C$45*AQ348*F348)*(G348/5))</f>
        <v>38173390.634045765</v>
      </c>
      <c r="AS348" s="1"/>
      <c r="AT348" s="62">
        <v>0</v>
      </c>
      <c r="AU348" s="1"/>
    </row>
    <row r="349" spans="1:47" ht="14.25" customHeight="1">
      <c r="A349" s="1">
        <v>17</v>
      </c>
      <c r="B349" s="3" t="s">
        <v>209</v>
      </c>
      <c r="C349" s="1">
        <v>2026</v>
      </c>
      <c r="D349" s="13">
        <f>VLOOKUP(B349,Population!$B$1:$O$48,10,FALSE)</f>
        <v>488585.74413587578</v>
      </c>
      <c r="E349" s="13" t="str">
        <f t="shared" si="21"/>
        <v>Medium</v>
      </c>
      <c r="F349" s="54">
        <f>VLOOKUP(B349,'Household Information'!$B$1:$E$48,2,FALSE)</f>
        <v>3.2463324451363733</v>
      </c>
      <c r="G349" s="54">
        <f t="shared" si="0"/>
        <v>150503.9155394792</v>
      </c>
      <c r="H349" s="55">
        <f>IF(D349&gt;Variables!$C$6,H302,H302*(1+Variables!$C$9))</f>
        <v>25.896000000000001</v>
      </c>
      <c r="I349" s="1"/>
      <c r="J349" s="13">
        <f>H349*Variables!$C$21</f>
        <v>466.12800000000004</v>
      </c>
      <c r="K349" s="13">
        <f t="shared" si="12"/>
        <v>961.78647000000012</v>
      </c>
      <c r="L349" s="54">
        <f t="shared" si="1"/>
        <v>0</v>
      </c>
      <c r="M349" s="56"/>
      <c r="N349" s="57"/>
      <c r="O349" s="57"/>
      <c r="P349" s="57"/>
      <c r="Q349" s="57"/>
      <c r="R349" s="57"/>
      <c r="S349" s="58">
        <v>0</v>
      </c>
      <c r="T349" s="59">
        <f>$L349*Variables!$C$22/100</f>
        <v>0</v>
      </c>
      <c r="U349" s="59">
        <f>$L349*Variables!$C$23/100</f>
        <v>0</v>
      </c>
      <c r="V349" s="59">
        <f>$L349*Variables!$C$24/100</f>
        <v>0</v>
      </c>
      <c r="W349" s="59">
        <f>$L349*Variables!$C$25/100</f>
        <v>0</v>
      </c>
      <c r="X349" s="62">
        <f>T349*Variables!$E$26*Variables!$C$18+'Cost Calculations'!U349*Variables!$E$27*Variables!$C$18+'Cost Calculations'!V349*Variables!$E$28*Variables!$C$18+W349*Variables!$E$29*Variables!$C$18</f>
        <v>0</v>
      </c>
      <c r="Y349" s="58">
        <f>J349*Variables!$E$30</f>
        <v>305313.84000000003</v>
      </c>
      <c r="Z349" s="1"/>
      <c r="AA349" s="245">
        <f>D349*(IF(D349&lt;Variables!$C$7,Variables!$C$38,IF(D349&gt;Variables!$C$6,Variables!$C$36,Variables!$C$37)))</f>
        <v>586.30289296305091</v>
      </c>
      <c r="AB349" s="64">
        <f t="shared" si="13"/>
        <v>578</v>
      </c>
      <c r="AC349" s="66">
        <f t="shared" si="2"/>
        <v>8</v>
      </c>
      <c r="AD349" s="62">
        <f>AC349*Variables!$E$41</f>
        <v>4300800</v>
      </c>
      <c r="AE349" s="71">
        <f>ROUND((H349/(3.14*Variables!$C$35^2)),0)</f>
        <v>33</v>
      </c>
      <c r="AF349" s="57">
        <f t="shared" si="14"/>
        <v>33</v>
      </c>
      <c r="AG349" s="57">
        <f t="shared" si="3"/>
        <v>0</v>
      </c>
      <c r="AH349" s="58">
        <f>AG349*Variables!$E$42*Variables!$C$18</f>
        <v>0</v>
      </c>
      <c r="AI349" s="73">
        <f t="shared" si="4"/>
        <v>5</v>
      </c>
      <c r="AJ349" s="66">
        <f t="shared" si="15"/>
        <v>5</v>
      </c>
      <c r="AK349" s="66">
        <f t="shared" si="5"/>
        <v>0</v>
      </c>
      <c r="AL349" s="62">
        <f>IF(AK349*Variables!$E$43*Variables!$C$18&lt;0,0,AK349*Variables!$E$43*Variables!$C$18)</f>
        <v>0</v>
      </c>
      <c r="AM349" s="58">
        <f>AA349*Variables!$E$39*Variables!$C$18</f>
        <v>169472208.26993966</v>
      </c>
      <c r="AN349" s="1"/>
      <c r="AO349" s="76">
        <f t="shared" si="16"/>
        <v>0.67714285714285716</v>
      </c>
      <c r="AP349" s="76">
        <f t="shared" si="6"/>
        <v>131.89384962811206</v>
      </c>
      <c r="AQ349" s="75">
        <f>VLOOKUP(B349,'Household Information'!$B$2:$E$48,4,FALSE)</f>
        <v>47.15</v>
      </c>
      <c r="AR349" s="79">
        <f>IF(12*(AP349-Variables!$C$45*AQ349*F349)*(G349/5)&lt;0,0,12*(AP349-Variables!$C$45*AQ349*F349)*(G349/5))</f>
        <v>39348043.5100924</v>
      </c>
      <c r="AS349" s="1"/>
      <c r="AT349" s="62">
        <v>0</v>
      </c>
      <c r="AU349" s="1"/>
    </row>
    <row r="350" spans="1:47" ht="14.25" customHeight="1">
      <c r="A350" s="1">
        <v>18</v>
      </c>
      <c r="B350" s="3" t="s">
        <v>210</v>
      </c>
      <c r="C350" s="1">
        <v>2026</v>
      </c>
      <c r="D350" s="13">
        <f>VLOOKUP(B350,Population!$B$1:$O$48,10,FALSE)</f>
        <v>309359.64711597603</v>
      </c>
      <c r="E350" s="13" t="str">
        <f t="shared" si="21"/>
        <v>Medium</v>
      </c>
      <c r="F350" s="54">
        <f>VLOOKUP(B350,'Household Information'!$B$1:$E$48,2,FALSE)</f>
        <v>3.2199371541131225</v>
      </c>
      <c r="G350" s="54">
        <f t="shared" si="0"/>
        <v>96076.299725540433</v>
      </c>
      <c r="H350" s="55">
        <f>IF(D350&gt;Variables!$C$6,H303,H303*(1+Variables!$C$9))</f>
        <v>16.261485999999998</v>
      </c>
      <c r="I350" s="1"/>
      <c r="J350" s="13">
        <f>H350*Variables!$C$21</f>
        <v>292.70674799999995</v>
      </c>
      <c r="K350" s="13">
        <f t="shared" si="12"/>
        <v>512</v>
      </c>
      <c r="L350" s="54">
        <f t="shared" si="1"/>
        <v>0</v>
      </c>
      <c r="M350" s="56"/>
      <c r="N350" s="57"/>
      <c r="O350" s="57"/>
      <c r="P350" s="57"/>
      <c r="Q350" s="57"/>
      <c r="R350" s="57"/>
      <c r="S350" s="58">
        <v>0</v>
      </c>
      <c r="T350" s="59">
        <f>$L350*Variables!$C$22/100</f>
        <v>0</v>
      </c>
      <c r="U350" s="59">
        <f>$L350*Variables!$C$23/100</f>
        <v>0</v>
      </c>
      <c r="V350" s="59">
        <f>$L350*Variables!$C$24/100</f>
        <v>0</v>
      </c>
      <c r="W350" s="59">
        <f>$L350*Variables!$C$25/100</f>
        <v>0</v>
      </c>
      <c r="X350" s="62">
        <f>T350*Variables!$E$26*Variables!$C$18+'Cost Calculations'!U350*Variables!$E$27*Variables!$C$18+'Cost Calculations'!V350*Variables!$E$28*Variables!$C$18+W350*Variables!$E$29*Variables!$C$18</f>
        <v>0</v>
      </c>
      <c r="Y350" s="58">
        <f>J350*Variables!$E$30</f>
        <v>191722.91993999996</v>
      </c>
      <c r="Z350" s="1"/>
      <c r="AA350" s="245">
        <f>D350*(IF(D350&lt;Variables!$C$7,Variables!$C$38,IF(D350&gt;Variables!$C$6,Variables!$C$36,Variables!$C$37)))</f>
        <v>371.23157653917121</v>
      </c>
      <c r="AB350" s="64">
        <f t="shared" si="13"/>
        <v>366</v>
      </c>
      <c r="AC350" s="66">
        <f t="shared" si="2"/>
        <v>5</v>
      </c>
      <c r="AD350" s="62">
        <f>AC350*Variables!$E$41</f>
        <v>2688000</v>
      </c>
      <c r="AE350" s="71">
        <f>ROUND((H350/(3.14*Variables!$C$35^2)),0)</f>
        <v>21</v>
      </c>
      <c r="AF350" s="57">
        <f t="shared" si="14"/>
        <v>21</v>
      </c>
      <c r="AG350" s="57">
        <f t="shared" si="3"/>
        <v>0</v>
      </c>
      <c r="AH350" s="58">
        <f>AG350*Variables!$E$42*Variables!$C$18</f>
        <v>0</v>
      </c>
      <c r="AI350" s="73">
        <f t="shared" si="4"/>
        <v>3</v>
      </c>
      <c r="AJ350" s="66">
        <f t="shared" si="15"/>
        <v>3</v>
      </c>
      <c r="AK350" s="66">
        <f t="shared" si="5"/>
        <v>0</v>
      </c>
      <c r="AL350" s="62">
        <f>IF(AK350*Variables!$E$43*Variables!$C$18&lt;0,0,AK350*Variables!$E$43*Variables!$C$18)</f>
        <v>0</v>
      </c>
      <c r="AM350" s="58">
        <f>AA350*Variables!$E$39*Variables!$C$18</f>
        <v>107305346.45270684</v>
      </c>
      <c r="AN350" s="1"/>
      <c r="AO350" s="76">
        <f t="shared" si="16"/>
        <v>0.67714285714285716</v>
      </c>
      <c r="AP350" s="76">
        <f t="shared" si="6"/>
        <v>130.82144666139601</v>
      </c>
      <c r="AQ350" s="75">
        <f>VLOOKUP(B350,'Household Information'!$B$2:$E$48,4,FALSE)</f>
        <v>65.935833333333335</v>
      </c>
      <c r="AR350" s="79">
        <f>IF(12*(AP350-Variables!$C$45*AQ350*F350)*(G350/5)&lt;0,0,12*(AP350-Variables!$C$45*AQ350*F350)*(G350/5))</f>
        <v>22821978.240298588</v>
      </c>
      <c r="AS350" s="1"/>
      <c r="AT350" s="62">
        <v>0</v>
      </c>
      <c r="AU350" s="1"/>
    </row>
    <row r="351" spans="1:47" ht="14.25" customHeight="1">
      <c r="A351" s="1">
        <v>19</v>
      </c>
      <c r="B351" s="3" t="s">
        <v>211</v>
      </c>
      <c r="C351" s="1">
        <v>2026</v>
      </c>
      <c r="D351" s="13">
        <f>VLOOKUP(B351,Population!$B$1:$O$48,10,FALSE)</f>
        <v>312342.5994852804</v>
      </c>
      <c r="E351" s="13" t="str">
        <f t="shared" si="21"/>
        <v>Medium</v>
      </c>
      <c r="F351" s="54">
        <f>VLOOKUP(B351,'Household Information'!$B$1:$E$48,2,FALSE)</f>
        <v>2.5344143617118515</v>
      </c>
      <c r="G351" s="54">
        <f t="shared" si="0"/>
        <v>123240.54195869964</v>
      </c>
      <c r="H351" s="55">
        <f>IF(D351&gt;Variables!$C$6,H304,H304*(1+Variables!$C$9))</f>
        <v>33.110705594037988</v>
      </c>
      <c r="I351" s="1"/>
      <c r="J351" s="13">
        <f>H351*Variables!$C$21</f>
        <v>595.9927006926838</v>
      </c>
      <c r="K351" s="13">
        <f t="shared" si="12"/>
        <v>595.9927006926838</v>
      </c>
      <c r="L351" s="54">
        <f t="shared" si="1"/>
        <v>0</v>
      </c>
      <c r="M351" s="56"/>
      <c r="N351" s="57"/>
      <c r="O351" s="57"/>
      <c r="P351" s="57"/>
      <c r="Q351" s="57"/>
      <c r="R351" s="57"/>
      <c r="S351" s="58">
        <v>0</v>
      </c>
      <c r="T351" s="59">
        <f>$L351*Variables!$C$22/100</f>
        <v>0</v>
      </c>
      <c r="U351" s="59">
        <f>$L351*Variables!$C$23/100</f>
        <v>0</v>
      </c>
      <c r="V351" s="59">
        <f>$L351*Variables!$C$24/100</f>
        <v>0</v>
      </c>
      <c r="W351" s="59">
        <f>$L351*Variables!$C$25/100</f>
        <v>0</v>
      </c>
      <c r="X351" s="62">
        <f>T351*Variables!$E$26*Variables!$C$18+'Cost Calculations'!U351*Variables!$E$27*Variables!$C$18+'Cost Calculations'!V351*Variables!$E$28*Variables!$C$18+W351*Variables!$E$29*Variables!$C$18</f>
        <v>0</v>
      </c>
      <c r="Y351" s="58">
        <f>J351*Variables!$E$30</f>
        <v>390375.2189537079</v>
      </c>
      <c r="Z351" s="1"/>
      <c r="AA351" s="245">
        <f>D351*(IF(D351&lt;Variables!$C$7,Variables!$C$38,IF(D351&gt;Variables!$C$6,Variables!$C$36,Variables!$C$37)))</f>
        <v>374.81111938233647</v>
      </c>
      <c r="AB351" s="64">
        <f t="shared" si="13"/>
        <v>369</v>
      </c>
      <c r="AC351" s="66">
        <f t="shared" si="2"/>
        <v>6</v>
      </c>
      <c r="AD351" s="62">
        <f>AC351*Variables!$E$41</f>
        <v>3225600</v>
      </c>
      <c r="AE351" s="71">
        <f>ROUND((H351/(3.14*Variables!$C$35^2)),0)</f>
        <v>42</v>
      </c>
      <c r="AF351" s="57">
        <f t="shared" si="14"/>
        <v>42</v>
      </c>
      <c r="AG351" s="57">
        <f t="shared" si="3"/>
        <v>0</v>
      </c>
      <c r="AH351" s="58">
        <f>AG351*Variables!$E$42*Variables!$C$18</f>
        <v>0</v>
      </c>
      <c r="AI351" s="73">
        <f t="shared" si="4"/>
        <v>3</v>
      </c>
      <c r="AJ351" s="66">
        <f t="shared" si="15"/>
        <v>3</v>
      </c>
      <c r="AK351" s="66">
        <f t="shared" si="5"/>
        <v>0</v>
      </c>
      <c r="AL351" s="62">
        <f>IF(AK351*Variables!$E$43*Variables!$C$18&lt;0,0,AK351*Variables!$E$43*Variables!$C$18)</f>
        <v>0</v>
      </c>
      <c r="AM351" s="58">
        <f>AA351*Variables!$E$39*Variables!$C$18</f>
        <v>108340021.59674762</v>
      </c>
      <c r="AN351" s="1"/>
      <c r="AO351" s="76">
        <f t="shared" si="16"/>
        <v>0.67714285714285716</v>
      </c>
      <c r="AP351" s="76">
        <f t="shared" si="6"/>
        <v>102.96963492440722</v>
      </c>
      <c r="AQ351" s="75">
        <f>VLOOKUP(B351,'Household Information'!$B$2:$E$48,4,FALSE)</f>
        <v>65.935833333333335</v>
      </c>
      <c r="AR351" s="79">
        <f>IF(12*(AP351-Variables!$C$45*AQ351*F351)*(G351/5)&lt;0,0,12*(AP351-Variables!$C$45*AQ351*F351)*(G351/5))</f>
        <v>23042035.622373991</v>
      </c>
      <c r="AS351" s="1"/>
      <c r="AT351" s="62">
        <v>0</v>
      </c>
      <c r="AU351" s="1"/>
    </row>
    <row r="352" spans="1:47" ht="14.25" customHeight="1">
      <c r="A352" s="1">
        <v>20</v>
      </c>
      <c r="B352" s="3" t="s">
        <v>212</v>
      </c>
      <c r="C352" s="1">
        <v>2026</v>
      </c>
      <c r="D352" s="13">
        <f>VLOOKUP(B352,Population!$B$1:$O$48,10,FALSE)</f>
        <v>189240.61611473199</v>
      </c>
      <c r="E352" s="13" t="str">
        <f t="shared" si="21"/>
        <v>Medium</v>
      </c>
      <c r="F352" s="54">
        <f>VLOOKUP(B352,'Household Information'!$B$1:$E$48,2,FALSE)</f>
        <v>2.6024941905499612</v>
      </c>
      <c r="G352" s="54">
        <f t="shared" si="0"/>
        <v>72715.096464726987</v>
      </c>
      <c r="H352" s="55">
        <f>IF(D352&gt;Variables!$C$6,H305,H305*(1+Variables!$C$9))</f>
        <v>15</v>
      </c>
      <c r="I352" s="1"/>
      <c r="J352" s="13">
        <f>H352*Variables!$C$21</f>
        <v>270</v>
      </c>
      <c r="K352" s="13">
        <f t="shared" si="12"/>
        <v>270</v>
      </c>
      <c r="L352" s="54">
        <f t="shared" si="1"/>
        <v>0</v>
      </c>
      <c r="M352" s="56"/>
      <c r="N352" s="57"/>
      <c r="O352" s="57"/>
      <c r="P352" s="57"/>
      <c r="Q352" s="57"/>
      <c r="R352" s="57"/>
      <c r="S352" s="58">
        <v>0</v>
      </c>
      <c r="T352" s="59">
        <f>$L352*Variables!$C$22/100</f>
        <v>0</v>
      </c>
      <c r="U352" s="59">
        <f>$L352*Variables!$C$23/100</f>
        <v>0</v>
      </c>
      <c r="V352" s="59">
        <f>$L352*Variables!$C$24/100</f>
        <v>0</v>
      </c>
      <c r="W352" s="59">
        <f>$L352*Variables!$C$25/100</f>
        <v>0</v>
      </c>
      <c r="X352" s="62">
        <f>T352*Variables!$E$26*Variables!$C$18+'Cost Calculations'!U352*Variables!$E$27*Variables!$C$18+'Cost Calculations'!V352*Variables!$E$28*Variables!$C$18+W352*Variables!$E$29*Variables!$C$18</f>
        <v>0</v>
      </c>
      <c r="Y352" s="58">
        <f>J352*Variables!$E$30</f>
        <v>176850</v>
      </c>
      <c r="Z352" s="1"/>
      <c r="AA352" s="245">
        <f>D352*(IF(D352&lt;Variables!$C$7,Variables!$C$38,IF(D352&gt;Variables!$C$6,Variables!$C$36,Variables!$C$37)))</f>
        <v>227.08873933767836</v>
      </c>
      <c r="AB352" s="64">
        <f t="shared" si="13"/>
        <v>224</v>
      </c>
      <c r="AC352" s="66">
        <f t="shared" si="2"/>
        <v>3</v>
      </c>
      <c r="AD352" s="62">
        <f>AC352*Variables!$E$41</f>
        <v>1612800</v>
      </c>
      <c r="AE352" s="71">
        <f>ROUND((H352/(3.14*Variables!$C$35^2)),0)</f>
        <v>19</v>
      </c>
      <c r="AF352" s="57">
        <f t="shared" si="14"/>
        <v>19</v>
      </c>
      <c r="AG352" s="57">
        <f t="shared" si="3"/>
        <v>0</v>
      </c>
      <c r="AH352" s="58">
        <f>AG352*Variables!$E$42*Variables!$C$18</f>
        <v>0</v>
      </c>
      <c r="AI352" s="73">
        <f t="shared" si="4"/>
        <v>2</v>
      </c>
      <c r="AJ352" s="66">
        <f t="shared" si="15"/>
        <v>2</v>
      </c>
      <c r="AK352" s="66">
        <f t="shared" si="5"/>
        <v>0</v>
      </c>
      <c r="AL352" s="62">
        <f>IF(AK352*Variables!$E$43*Variables!$C$18&lt;0,0,AK352*Variables!$E$43*Variables!$C$18)</f>
        <v>0</v>
      </c>
      <c r="AM352" s="58">
        <f>AA352*Variables!$E$39*Variables!$C$18</f>
        <v>65640525.72604043</v>
      </c>
      <c r="AN352" s="1"/>
      <c r="AO352" s="76">
        <f t="shared" si="16"/>
        <v>0.67714285714285716</v>
      </c>
      <c r="AP352" s="76">
        <f t="shared" si="6"/>
        <v>105.73562111320128</v>
      </c>
      <c r="AQ352" s="75">
        <f>VLOOKUP(B352,'Household Information'!$B$2:$E$48,4,FALSE)</f>
        <v>65.935833333333335</v>
      </c>
      <c r="AR352" s="79">
        <f>IF(12*(AP352-Variables!$C$45*AQ352*F352)*(G352/5)&lt;0,0,12*(AP352-Variables!$C$45*AQ352*F352)*(G352/5))</f>
        <v>13960596.552956427</v>
      </c>
      <c r="AS352" s="1"/>
      <c r="AT352" s="62">
        <v>0</v>
      </c>
      <c r="AU352" s="1"/>
    </row>
    <row r="353" spans="1:47" ht="14.25" customHeight="1">
      <c r="A353" s="1">
        <v>21</v>
      </c>
      <c r="B353" s="3" t="s">
        <v>213</v>
      </c>
      <c r="C353" s="1">
        <v>2026</v>
      </c>
      <c r="D353" s="13">
        <f>VLOOKUP(B353,Population!$B$1:$O$48,10,FALSE)</f>
        <v>200034.66807948821</v>
      </c>
      <c r="E353" s="13" t="str">
        <f t="shared" si="21"/>
        <v>Medium</v>
      </c>
      <c r="F353" s="54">
        <f>VLOOKUP(B353,'Household Information'!$B$1:$E$48,2,FALSE)</f>
        <v>3.3084232295567606</v>
      </c>
      <c r="G353" s="54">
        <f t="shared" si="0"/>
        <v>60462.236600329838</v>
      </c>
      <c r="H353" s="55">
        <f>IF(D353&gt;Variables!$C$6,H306,H306*(1+Variables!$C$9))</f>
        <v>35.084811999999992</v>
      </c>
      <c r="I353" s="1"/>
      <c r="J353" s="13">
        <f>H353*Variables!$C$21</f>
        <v>631.52661599999988</v>
      </c>
      <c r="K353" s="13">
        <f t="shared" si="12"/>
        <v>631.52661599999988</v>
      </c>
      <c r="L353" s="54">
        <f t="shared" si="1"/>
        <v>0</v>
      </c>
      <c r="M353" s="56"/>
      <c r="N353" s="57"/>
      <c r="O353" s="57"/>
      <c r="P353" s="57"/>
      <c r="Q353" s="57"/>
      <c r="R353" s="57"/>
      <c r="S353" s="58">
        <v>0</v>
      </c>
      <c r="T353" s="59">
        <f>$L353*Variables!$C$22/100</f>
        <v>0</v>
      </c>
      <c r="U353" s="59">
        <f>$L353*Variables!$C$23/100</f>
        <v>0</v>
      </c>
      <c r="V353" s="59">
        <f>$L353*Variables!$C$24/100</f>
        <v>0</v>
      </c>
      <c r="W353" s="59">
        <f>$L353*Variables!$C$25/100</f>
        <v>0</v>
      </c>
      <c r="X353" s="62">
        <f>T353*Variables!$E$26*Variables!$C$18+'Cost Calculations'!U353*Variables!$E$27*Variables!$C$18+'Cost Calculations'!V353*Variables!$E$28*Variables!$C$18+W353*Variables!$E$29*Variables!$C$18</f>
        <v>0</v>
      </c>
      <c r="Y353" s="58">
        <f>J353*Variables!$E$30</f>
        <v>413649.93347999989</v>
      </c>
      <c r="Z353" s="1"/>
      <c r="AA353" s="245">
        <f>D353*(IF(D353&lt;Variables!$C$7,Variables!$C$38,IF(D353&gt;Variables!$C$6,Variables!$C$36,Variables!$C$37)))</f>
        <v>240.04160169538582</v>
      </c>
      <c r="AB353" s="64">
        <f t="shared" si="13"/>
        <v>236</v>
      </c>
      <c r="AC353" s="66">
        <f t="shared" si="2"/>
        <v>4</v>
      </c>
      <c r="AD353" s="62">
        <f>AC353*Variables!$E$41</f>
        <v>2150400</v>
      </c>
      <c r="AE353" s="71">
        <f>ROUND((H353/(3.14*Variables!$C$35^2)),0)</f>
        <v>45</v>
      </c>
      <c r="AF353" s="57">
        <f t="shared" si="14"/>
        <v>45</v>
      </c>
      <c r="AG353" s="57">
        <f t="shared" si="3"/>
        <v>0</v>
      </c>
      <c r="AH353" s="58">
        <f>AG353*Variables!$E$42*Variables!$C$18</f>
        <v>0</v>
      </c>
      <c r="AI353" s="73">
        <f t="shared" si="4"/>
        <v>2</v>
      </c>
      <c r="AJ353" s="66">
        <f t="shared" si="15"/>
        <v>2</v>
      </c>
      <c r="AK353" s="66">
        <f t="shared" si="5"/>
        <v>0</v>
      </c>
      <c r="AL353" s="62">
        <f>IF(AK353*Variables!$E$43*Variables!$C$18&lt;0,0,AK353*Variables!$E$43*Variables!$C$18)</f>
        <v>0</v>
      </c>
      <c r="AM353" s="58">
        <f>AA353*Variables!$E$39*Variables!$C$18</f>
        <v>69384580.571281657</v>
      </c>
      <c r="AN353" s="1"/>
      <c r="AO353" s="76">
        <f t="shared" si="16"/>
        <v>0.67714285714285716</v>
      </c>
      <c r="AP353" s="76">
        <f t="shared" si="6"/>
        <v>134.4165094979918</v>
      </c>
      <c r="AQ353" s="75">
        <f>VLOOKUP(B353,'Household Information'!$B$2:$E$48,4,FALSE)</f>
        <v>65.935833333333335</v>
      </c>
      <c r="AR353" s="79">
        <f>IF(12*(AP353-Variables!$C$45*AQ353*F353)*(G353/5)&lt;0,0,12*(AP353-Variables!$C$45*AQ353*F353)*(G353/5))</f>
        <v>14756891.807883345</v>
      </c>
      <c r="AS353" s="1"/>
      <c r="AT353" s="62">
        <v>0</v>
      </c>
      <c r="AU353" s="1"/>
    </row>
    <row r="354" spans="1:47" ht="14.25" customHeight="1">
      <c r="A354" s="1">
        <v>22</v>
      </c>
      <c r="B354" s="3" t="s">
        <v>214</v>
      </c>
      <c r="C354" s="1">
        <v>2026</v>
      </c>
      <c r="D354" s="13">
        <f>VLOOKUP(B354,Population!$B$1:$O$48,10,FALSE)</f>
        <v>176621.64615969139</v>
      </c>
      <c r="E354" s="13" t="str">
        <f t="shared" si="21"/>
        <v>Medium</v>
      </c>
      <c r="F354" s="54">
        <f>VLOOKUP(B354,'Household Information'!$B$1:$E$48,2,FALSE)</f>
        <v>2.4748082204754236</v>
      </c>
      <c r="G354" s="54">
        <f t="shared" si="0"/>
        <v>71367.811331158999</v>
      </c>
      <c r="H354" s="55">
        <f>IF(D354&gt;Variables!$C$6,H307,H307*(1+Variables!$C$9))</f>
        <v>31.3</v>
      </c>
      <c r="I354" s="1"/>
      <c r="J354" s="13">
        <f>H354*Variables!$C$21</f>
        <v>563.4</v>
      </c>
      <c r="K354" s="13">
        <f t="shared" si="12"/>
        <v>563.4</v>
      </c>
      <c r="L354" s="54">
        <f t="shared" si="1"/>
        <v>0</v>
      </c>
      <c r="M354" s="56"/>
      <c r="N354" s="57"/>
      <c r="O354" s="57"/>
      <c r="P354" s="57"/>
      <c r="Q354" s="57"/>
      <c r="R354" s="57"/>
      <c r="S354" s="58">
        <v>0</v>
      </c>
      <c r="T354" s="59">
        <f>$L354*Variables!$C$22/100</f>
        <v>0</v>
      </c>
      <c r="U354" s="59">
        <f>$L354*Variables!$C$23/100</f>
        <v>0</v>
      </c>
      <c r="V354" s="59">
        <f>$L354*Variables!$C$24/100</f>
        <v>0</v>
      </c>
      <c r="W354" s="59">
        <f>$L354*Variables!$C$25/100</f>
        <v>0</v>
      </c>
      <c r="X354" s="62">
        <f>T354*Variables!$E$26*Variables!$C$18+'Cost Calculations'!U354*Variables!$E$27*Variables!$C$18+'Cost Calculations'!V354*Variables!$E$28*Variables!$C$18+W354*Variables!$E$29*Variables!$C$18</f>
        <v>0</v>
      </c>
      <c r="Y354" s="58">
        <f>J354*Variables!$E$30</f>
        <v>369027</v>
      </c>
      <c r="Z354" s="1"/>
      <c r="AA354" s="245">
        <f>D354*(IF(D354&lt;Variables!$C$7,Variables!$C$38,IF(D354&gt;Variables!$C$6,Variables!$C$36,Variables!$C$37)))</f>
        <v>211.94597539162964</v>
      </c>
      <c r="AB354" s="64">
        <f t="shared" si="13"/>
        <v>209</v>
      </c>
      <c r="AC354" s="66">
        <f t="shared" si="2"/>
        <v>3</v>
      </c>
      <c r="AD354" s="62">
        <f>AC354*Variables!$E$41</f>
        <v>1612800</v>
      </c>
      <c r="AE354" s="71">
        <f>ROUND((H354/(3.14*Variables!$C$35^2)),0)</f>
        <v>40</v>
      </c>
      <c r="AF354" s="57">
        <f t="shared" si="14"/>
        <v>40</v>
      </c>
      <c r="AG354" s="57">
        <f t="shared" si="3"/>
        <v>0</v>
      </c>
      <c r="AH354" s="58">
        <f>AG354*Variables!$E$42*Variables!$C$18</f>
        <v>0</v>
      </c>
      <c r="AI354" s="73">
        <f t="shared" si="4"/>
        <v>2</v>
      </c>
      <c r="AJ354" s="66">
        <f t="shared" si="15"/>
        <v>2</v>
      </c>
      <c r="AK354" s="66">
        <f t="shared" si="5"/>
        <v>0</v>
      </c>
      <c r="AL354" s="62">
        <f>IF(AK354*Variables!$E$43*Variables!$C$18&lt;0,0,AK354*Variables!$E$43*Variables!$C$18)</f>
        <v>0</v>
      </c>
      <c r="AM354" s="58">
        <f>AA354*Variables!$E$39*Variables!$C$18</f>
        <v>61263474.757934377</v>
      </c>
      <c r="AN354" s="1"/>
      <c r="AO354" s="76">
        <f t="shared" si="16"/>
        <v>0.67714285714285716</v>
      </c>
      <c r="AP354" s="76">
        <f t="shared" si="6"/>
        <v>100.5479225576015</v>
      </c>
      <c r="AQ354" s="75">
        <f>VLOOKUP(B354,'Household Information'!$B$2:$E$48,4,FALSE)</f>
        <v>65.935833333333335</v>
      </c>
      <c r="AR354" s="79">
        <f>IF(12*(AP354-Variables!$C$45*AQ354*F354)*(G354/5)&lt;0,0,12*(AP354-Variables!$C$45*AQ354*F354)*(G354/5))</f>
        <v>13029674.047666155</v>
      </c>
      <c r="AS354" s="1"/>
      <c r="AT354" s="62">
        <v>0</v>
      </c>
      <c r="AU354" s="1"/>
    </row>
    <row r="355" spans="1:47" ht="14.25" customHeight="1">
      <c r="A355" s="1">
        <v>23</v>
      </c>
      <c r="B355" s="3" t="s">
        <v>215</v>
      </c>
      <c r="C355" s="1">
        <v>2026</v>
      </c>
      <c r="D355" s="13">
        <f>VLOOKUP(B355,Population!$B$1:$O$48,10,FALSE)</f>
        <v>135943.9988577349</v>
      </c>
      <c r="E355" s="13" t="str">
        <f t="shared" si="21"/>
        <v>Medium</v>
      </c>
      <c r="F355" s="54">
        <f>VLOOKUP(B355,'Household Information'!$B$1:$E$48,2,FALSE)</f>
        <v>2.7568018275271275</v>
      </c>
      <c r="G355" s="54">
        <f t="shared" si="0"/>
        <v>49312.212978209507</v>
      </c>
      <c r="H355" s="55">
        <f>IF(D355&gt;Variables!$C$6,H308,H308*(1+Variables!$C$9))</f>
        <v>14.881089649499996</v>
      </c>
      <c r="I355" s="1"/>
      <c r="J355" s="13">
        <f>H355*Variables!$C$21</f>
        <v>267.85961369099994</v>
      </c>
      <c r="K355" s="13">
        <f t="shared" si="12"/>
        <v>267.85961369099994</v>
      </c>
      <c r="L355" s="54">
        <f t="shared" si="1"/>
        <v>0</v>
      </c>
      <c r="M355" s="56"/>
      <c r="N355" s="57"/>
      <c r="O355" s="57"/>
      <c r="P355" s="57"/>
      <c r="Q355" s="57"/>
      <c r="R355" s="57"/>
      <c r="S355" s="58">
        <v>0</v>
      </c>
      <c r="T355" s="59">
        <f>$L355*Variables!$C$22/100</f>
        <v>0</v>
      </c>
      <c r="U355" s="59">
        <f>$L355*Variables!$C$23/100</f>
        <v>0</v>
      </c>
      <c r="V355" s="59">
        <f>$L355*Variables!$C$24/100</f>
        <v>0</v>
      </c>
      <c r="W355" s="59">
        <f>$L355*Variables!$C$25/100</f>
        <v>0</v>
      </c>
      <c r="X355" s="62">
        <f>T355*Variables!$E$26*Variables!$C$18+'Cost Calculations'!U355*Variables!$E$27*Variables!$C$18+'Cost Calculations'!V355*Variables!$E$28*Variables!$C$18+W355*Variables!$E$29*Variables!$C$18</f>
        <v>0</v>
      </c>
      <c r="Y355" s="58">
        <f>J355*Variables!$E$30</f>
        <v>175448.04696760495</v>
      </c>
      <c r="Z355" s="1"/>
      <c r="AA355" s="245">
        <f>D355*(IF(D355&lt;Variables!$C$7,Variables!$C$38,IF(D355&gt;Variables!$C$6,Variables!$C$36,Variables!$C$37)))</f>
        <v>163.13279862928187</v>
      </c>
      <c r="AB355" s="64">
        <f t="shared" si="13"/>
        <v>161</v>
      </c>
      <c r="AC355" s="66">
        <f t="shared" si="2"/>
        <v>2</v>
      </c>
      <c r="AD355" s="62">
        <f>AC355*Variables!$E$41</f>
        <v>1075200</v>
      </c>
      <c r="AE355" s="71">
        <f>ROUND((H355/(3.14*Variables!$C$35^2)),0)</f>
        <v>19</v>
      </c>
      <c r="AF355" s="57">
        <f t="shared" si="14"/>
        <v>19</v>
      </c>
      <c r="AG355" s="57">
        <f t="shared" si="3"/>
        <v>0</v>
      </c>
      <c r="AH355" s="58">
        <f>AG355*Variables!$E$42*Variables!$C$18</f>
        <v>0</v>
      </c>
      <c r="AI355" s="73">
        <f t="shared" si="4"/>
        <v>1</v>
      </c>
      <c r="AJ355" s="66">
        <f t="shared" si="15"/>
        <v>1</v>
      </c>
      <c r="AK355" s="66">
        <f t="shared" si="5"/>
        <v>0</v>
      </c>
      <c r="AL355" s="62">
        <f>IF(AK355*Variables!$E$43*Variables!$C$18&lt;0,0,AK355*Variables!$E$43*Variables!$C$18)</f>
        <v>0</v>
      </c>
      <c r="AM355" s="58">
        <f>AA355*Variables!$E$39*Variables!$C$18</f>
        <v>47153913.031607844</v>
      </c>
      <c r="AN355" s="1"/>
      <c r="AO355" s="76">
        <f t="shared" si="16"/>
        <v>0.67714285714285716</v>
      </c>
      <c r="AP355" s="76">
        <f t="shared" si="6"/>
        <v>112.00491996410214</v>
      </c>
      <c r="AQ355" s="75">
        <f>VLOOKUP(B355,'Household Information'!$B$2:$E$48,4,FALSE)</f>
        <v>65.935833333333335</v>
      </c>
      <c r="AR355" s="79">
        <f>IF(12*(AP355-Variables!$C$45*AQ355*F355)*(G355/5)&lt;0,0,12*(AP355-Variables!$C$45*AQ355*F355)*(G355/5))</f>
        <v>10028816.01641891</v>
      </c>
      <c r="AS355" s="1"/>
      <c r="AT355" s="62">
        <v>0</v>
      </c>
      <c r="AU355" s="1"/>
    </row>
    <row r="356" spans="1:47" ht="14.25" customHeight="1">
      <c r="A356" s="1">
        <v>24</v>
      </c>
      <c r="B356" s="3" t="s">
        <v>216</v>
      </c>
      <c r="C356" s="1">
        <v>2026</v>
      </c>
      <c r="D356" s="13">
        <f>VLOOKUP(B356,Population!$B$1:$O$48,10,FALSE)</f>
        <v>85314.916045795471</v>
      </c>
      <c r="E356" s="13" t="str">
        <f t="shared" si="21"/>
        <v>Small</v>
      </c>
      <c r="F356" s="54">
        <f>VLOOKUP(B356,'Household Information'!$B$1:$E$48,2,FALSE)</f>
        <v>2.845682723378673</v>
      </c>
      <c r="G356" s="54">
        <f t="shared" si="0"/>
        <v>29980.473699647464</v>
      </c>
      <c r="H356" s="55">
        <f>IF(D356&gt;Variables!$C$6,H309,H309*(1+Variables!$C$9))</f>
        <v>10.667375754966777</v>
      </c>
      <c r="I356" s="1"/>
      <c r="J356" s="13">
        <f>H356*Variables!$C$21</f>
        <v>192.01276358940197</v>
      </c>
      <c r="K356" s="13">
        <f t="shared" si="12"/>
        <v>185.8787643653456</v>
      </c>
      <c r="L356" s="54">
        <f t="shared" si="1"/>
        <v>6.1339992240563674</v>
      </c>
      <c r="M356" s="56"/>
      <c r="N356" s="57"/>
      <c r="O356" s="57"/>
      <c r="P356" s="57"/>
      <c r="Q356" s="57"/>
      <c r="R356" s="57"/>
      <c r="S356" s="58">
        <v>0</v>
      </c>
      <c r="T356" s="59">
        <f>$L356*Variables!$C$22/100</f>
        <v>0.3330678311704815</v>
      </c>
      <c r="U356" s="59">
        <f>$L356*Variables!$C$23/100</f>
        <v>0.58286870454834261</v>
      </c>
      <c r="V356" s="59">
        <f>$L356*Variables!$C$24/100</f>
        <v>0.6106243571458827</v>
      </c>
      <c r="W356" s="59">
        <f>$L356*Variables!$C$25/100</f>
        <v>4.4409044156064201</v>
      </c>
      <c r="X356" s="62">
        <f>T356*Variables!$E$26*Variables!$C$18+'Cost Calculations'!U356*Variables!$E$27*Variables!$C$18+'Cost Calculations'!V356*Variables!$E$28*Variables!$C$18+W356*Variables!$E$29*Variables!$C$18</f>
        <v>6972688.5311848838</v>
      </c>
      <c r="Y356" s="58">
        <f>J356*Variables!$E$30</f>
        <v>125768.3601510583</v>
      </c>
      <c r="Z356" s="1"/>
      <c r="AA356" s="245">
        <f>D356*(IF(D356&lt;Variables!$C$7,Variables!$C$38,IF(D356&gt;Variables!$C$6,Variables!$C$36,Variables!$C$37)))</f>
        <v>68.251932836636385</v>
      </c>
      <c r="AB356" s="64">
        <f t="shared" si="13"/>
        <v>67</v>
      </c>
      <c r="AC356" s="66">
        <f t="shared" si="2"/>
        <v>1</v>
      </c>
      <c r="AD356" s="62">
        <f>AC356*Variables!$E$41</f>
        <v>537600</v>
      </c>
      <c r="AE356" s="71">
        <f>ROUND((H356/(3.14*Variables!$C$35^2)),0)</f>
        <v>14</v>
      </c>
      <c r="AF356" s="57">
        <f t="shared" si="14"/>
        <v>13</v>
      </c>
      <c r="AG356" s="57">
        <f t="shared" si="3"/>
        <v>1</v>
      </c>
      <c r="AH356" s="58">
        <f>AG356*Variables!$E$42*Variables!$C$18</f>
        <v>1148.2560000000001</v>
      </c>
      <c r="AI356" s="73">
        <f t="shared" si="4"/>
        <v>1</v>
      </c>
      <c r="AJ356" s="66">
        <f t="shared" si="15"/>
        <v>1</v>
      </c>
      <c r="AK356" s="66">
        <f t="shared" si="5"/>
        <v>0</v>
      </c>
      <c r="AL356" s="62">
        <f>IF(AK356*Variables!$E$43*Variables!$C$18&lt;0,0,AK356*Variables!$E$43*Variables!$C$18)</f>
        <v>0</v>
      </c>
      <c r="AM356" s="58">
        <f>AA356*Variables!$E$39*Variables!$C$18</f>
        <v>19728379.162620511</v>
      </c>
      <c r="AN356" s="1"/>
      <c r="AO356" s="76">
        <f t="shared" si="16"/>
        <v>0.67714285714285716</v>
      </c>
      <c r="AP356" s="76">
        <f t="shared" si="6"/>
        <v>115.61602378984207</v>
      </c>
      <c r="AQ356" s="75">
        <f>VLOOKUP(B356,'Household Information'!$B$2:$E$48,4,FALSE)</f>
        <v>65.935833333333335</v>
      </c>
      <c r="AR356" s="79">
        <f>IF(12*(AP356-Variables!$C$45*AQ356*F356)*(G356/5)&lt;0,0,12*(AP356-Variables!$C$45*AQ356*F356)*(G356/5))</f>
        <v>6293823.9544865806</v>
      </c>
      <c r="AS356" s="1"/>
      <c r="AT356" s="62">
        <v>0</v>
      </c>
      <c r="AU356" s="1"/>
    </row>
    <row r="357" spans="1:47" ht="14.25" customHeight="1">
      <c r="A357" s="1">
        <v>25</v>
      </c>
      <c r="B357" s="3" t="s">
        <v>217</v>
      </c>
      <c r="C357" s="1">
        <v>2026</v>
      </c>
      <c r="D357" s="13">
        <f>VLOOKUP(B357,Population!$B$1:$O$48,10,FALSE)</f>
        <v>176793.99952544048</v>
      </c>
      <c r="E357" s="13" t="str">
        <f t="shared" si="21"/>
        <v>Medium</v>
      </c>
      <c r="F357" s="54">
        <f>VLOOKUP(B357,'Household Information'!$B$1:$E$48,2,FALSE)</f>
        <v>2.502264030612245</v>
      </c>
      <c r="G357" s="54">
        <f t="shared" si="0"/>
        <v>70653.615031257577</v>
      </c>
      <c r="H357" s="55">
        <f>IF(D357&gt;Variables!$C$6,H310,H310*(1+Variables!$C$9))</f>
        <v>22.498002944169993</v>
      </c>
      <c r="I357" s="1"/>
      <c r="J357" s="13">
        <f>H357*Variables!$C$21</f>
        <v>404.96405299505989</v>
      </c>
      <c r="K357" s="13">
        <f t="shared" si="12"/>
        <v>404.96405299505989</v>
      </c>
      <c r="L357" s="54">
        <f t="shared" si="1"/>
        <v>0</v>
      </c>
      <c r="M357" s="56"/>
      <c r="N357" s="57"/>
      <c r="O357" s="57"/>
      <c r="P357" s="57"/>
      <c r="Q357" s="57"/>
      <c r="R357" s="57"/>
      <c r="S357" s="58">
        <v>0</v>
      </c>
      <c r="T357" s="59">
        <f>$L357*Variables!$C$22/100</f>
        <v>0</v>
      </c>
      <c r="U357" s="59">
        <f>$L357*Variables!$C$23/100</f>
        <v>0</v>
      </c>
      <c r="V357" s="59">
        <f>$L357*Variables!$C$24/100</f>
        <v>0</v>
      </c>
      <c r="W357" s="59">
        <f>$L357*Variables!$C$25/100</f>
        <v>0</v>
      </c>
      <c r="X357" s="62">
        <f>T357*Variables!$E$26*Variables!$C$18+'Cost Calculations'!U357*Variables!$E$27*Variables!$C$18+'Cost Calculations'!V357*Variables!$E$28*Variables!$C$18+W357*Variables!$E$29*Variables!$C$18</f>
        <v>0</v>
      </c>
      <c r="Y357" s="58">
        <f>J357*Variables!$E$30</f>
        <v>265251.45471176424</v>
      </c>
      <c r="Z357" s="1"/>
      <c r="AA357" s="245">
        <f>D357*(IF(D357&lt;Variables!$C$7,Variables!$C$38,IF(D357&gt;Variables!$C$6,Variables!$C$36,Variables!$C$37)))</f>
        <v>212.15279943052855</v>
      </c>
      <c r="AB357" s="64">
        <f t="shared" si="13"/>
        <v>209</v>
      </c>
      <c r="AC357" s="66">
        <f t="shared" si="2"/>
        <v>3</v>
      </c>
      <c r="AD357" s="62">
        <f>AC357*Variables!$E$41</f>
        <v>1612800</v>
      </c>
      <c r="AE357" s="71">
        <f>ROUND((H357/(3.14*Variables!$C$35^2)),0)</f>
        <v>29</v>
      </c>
      <c r="AF357" s="57">
        <f t="shared" si="14"/>
        <v>29</v>
      </c>
      <c r="AG357" s="57">
        <f t="shared" si="3"/>
        <v>0</v>
      </c>
      <c r="AH357" s="58">
        <f>AG357*Variables!$E$42*Variables!$C$18</f>
        <v>0</v>
      </c>
      <c r="AI357" s="73">
        <f t="shared" si="4"/>
        <v>2</v>
      </c>
      <c r="AJ357" s="66">
        <f t="shared" si="15"/>
        <v>2</v>
      </c>
      <c r="AK357" s="66">
        <f t="shared" si="5"/>
        <v>0</v>
      </c>
      <c r="AL357" s="62">
        <f>IF(AK357*Variables!$E$43*Variables!$C$18&lt;0,0,AK357*Variables!$E$43*Variables!$C$18)</f>
        <v>0</v>
      </c>
      <c r="AM357" s="58">
        <f>AA357*Variables!$E$39*Variables!$C$18</f>
        <v>61323257.725093834</v>
      </c>
      <c r="AN357" s="1"/>
      <c r="AO357" s="76">
        <f t="shared" si="16"/>
        <v>0.67714285714285716</v>
      </c>
      <c r="AP357" s="76">
        <f t="shared" si="6"/>
        <v>101.66341290087463</v>
      </c>
      <c r="AQ357" s="75">
        <f>VLOOKUP(B357,'Household Information'!$B$2:$E$48,4,FALSE)</f>
        <v>65.935833333333335</v>
      </c>
      <c r="AR357" s="79">
        <f>IF(12*(AP357-Variables!$C$45*AQ357*F357)*(G357/5)&lt;0,0,12*(AP357-Variables!$C$45*AQ357*F357)*(G357/5))</f>
        <v>13042388.843533808</v>
      </c>
      <c r="AS357" s="1"/>
      <c r="AT357" s="62">
        <v>0</v>
      </c>
      <c r="AU357" s="1"/>
    </row>
    <row r="358" spans="1:47" ht="14.25" customHeight="1">
      <c r="A358" s="1">
        <v>26</v>
      </c>
      <c r="B358" s="3" t="s">
        <v>219</v>
      </c>
      <c r="C358" s="1">
        <v>2026</v>
      </c>
      <c r="D358" s="13">
        <f>VLOOKUP(B358,Population!$B$1:$O$48,10,FALSE)</f>
        <v>48263.448380089278</v>
      </c>
      <c r="E358" s="13" t="str">
        <f t="shared" si="21"/>
        <v>Small</v>
      </c>
      <c r="F358" s="54">
        <f>VLOOKUP(B358,'Household Information'!$B$1:$E$48,2,FALSE)</f>
        <v>3.6899491861166136</v>
      </c>
      <c r="G358" s="54">
        <f t="shared" si="0"/>
        <v>13079.705422958094</v>
      </c>
      <c r="H358" s="55">
        <f>IF(D358&gt;Variables!$C$6,H311,H311*(1+Variables!$C$9))</f>
        <v>4.6441257926962418</v>
      </c>
      <c r="I358" s="1"/>
      <c r="J358" s="13">
        <f>H358*Variables!$C$21</f>
        <v>83.594264268532356</v>
      </c>
      <c r="K358" s="13">
        <f t="shared" si="12"/>
        <v>80.923779543593767</v>
      </c>
      <c r="L358" s="54">
        <f t="shared" si="1"/>
        <v>2.6704847249385892</v>
      </c>
      <c r="M358" s="56"/>
      <c r="N358" s="57"/>
      <c r="O358" s="57"/>
      <c r="P358" s="57"/>
      <c r="Q358" s="57"/>
      <c r="R358" s="57"/>
      <c r="S358" s="58">
        <v>0</v>
      </c>
      <c r="T358" s="59">
        <f>$L358*Variables!$C$22/100</f>
        <v>0.14500369547177858</v>
      </c>
      <c r="U358" s="59">
        <f>$L358*Variables!$C$23/100</f>
        <v>0.25375646707561256</v>
      </c>
      <c r="V358" s="59">
        <f>$L358*Variables!$C$24/100</f>
        <v>0.26584010836492744</v>
      </c>
      <c r="W358" s="59">
        <f>$L358*Variables!$C$25/100</f>
        <v>1.9333826062903814</v>
      </c>
      <c r="X358" s="62">
        <f>T358*Variables!$E$26*Variables!$C$18+'Cost Calculations'!U358*Variables!$E$27*Variables!$C$18+'Cost Calculations'!V358*Variables!$E$28*Variables!$C$18+W358*Variables!$E$29*Variables!$C$18</f>
        <v>3035614.6999917859</v>
      </c>
      <c r="Y358" s="58">
        <f>J358*Variables!$E$30</f>
        <v>54754.243095888691</v>
      </c>
      <c r="Z358" s="1"/>
      <c r="AA358" s="245">
        <f>D358*(IF(D358&lt;Variables!$C$7,Variables!$C$38,IF(D358&gt;Variables!$C$6,Variables!$C$36,Variables!$C$37)))</f>
        <v>24.13172419004464</v>
      </c>
      <c r="AB358" s="64">
        <f t="shared" si="13"/>
        <v>24</v>
      </c>
      <c r="AC358" s="66">
        <f t="shared" si="2"/>
        <v>0</v>
      </c>
      <c r="AD358" s="62">
        <f>AC358*Variables!$E$41</f>
        <v>0</v>
      </c>
      <c r="AE358" s="71">
        <f>ROUND((H358/(3.14*Variables!$C$35^2)),0)</f>
        <v>6</v>
      </c>
      <c r="AF358" s="57">
        <f t="shared" si="14"/>
        <v>6</v>
      </c>
      <c r="AG358" s="57">
        <f t="shared" si="3"/>
        <v>0</v>
      </c>
      <c r="AH358" s="58">
        <f>AG358*Variables!$E$42*Variables!$C$18</f>
        <v>0</v>
      </c>
      <c r="AI358" s="73">
        <f t="shared" si="4"/>
        <v>0</v>
      </c>
      <c r="AJ358" s="66">
        <f t="shared" si="15"/>
        <v>0</v>
      </c>
      <c r="AK358" s="66">
        <f t="shared" si="5"/>
        <v>0</v>
      </c>
      <c r="AL358" s="62">
        <f>IF(AK358*Variables!$E$43*Variables!$C$18&lt;0,0,AK358*Variables!$E$43*Variables!$C$18)</f>
        <v>0</v>
      </c>
      <c r="AM358" s="58">
        <f>AA358*Variables!$E$39*Variables!$C$18</f>
        <v>6975330.7325156229</v>
      </c>
      <c r="AN358" s="1"/>
      <c r="AO358" s="76">
        <f t="shared" si="16"/>
        <v>0.67714285714285716</v>
      </c>
      <c r="AP358" s="76">
        <f t="shared" si="6"/>
        <v>149.91736407593783</v>
      </c>
      <c r="AQ358" s="75">
        <f>VLOOKUP(B358,'Household Information'!$B$2:$E$48,4,FALSE)</f>
        <v>65.935833333333335</v>
      </c>
      <c r="AR358" s="79">
        <f>IF(12*(AP358-Variables!$C$45*AQ358*F358)*(G358/5)&lt;0,0,12*(AP358-Variables!$C$45*AQ358*F358)*(G358/5))</f>
        <v>3560475.2559057628</v>
      </c>
      <c r="AS358" s="1"/>
      <c r="AT358" s="62">
        <v>0</v>
      </c>
      <c r="AU358" s="1"/>
    </row>
    <row r="359" spans="1:47" ht="14.25" customHeight="1">
      <c r="A359" s="1">
        <v>27</v>
      </c>
      <c r="B359" s="3" t="s">
        <v>220</v>
      </c>
      <c r="C359" s="1">
        <v>2026</v>
      </c>
      <c r="D359" s="13">
        <f>VLOOKUP(B359,Population!$B$1:$O$48,10,FALSE)</f>
        <v>9051.3679332932807</v>
      </c>
      <c r="E359" s="13" t="str">
        <f t="shared" si="21"/>
        <v>Small</v>
      </c>
      <c r="F359" s="54">
        <f>VLOOKUP(B359,'Household Information'!$B$1:$E$48,2,FALSE)</f>
        <v>2.667113684852179</v>
      </c>
      <c r="G359" s="54">
        <f t="shared" si="0"/>
        <v>3393.6940838706469</v>
      </c>
      <c r="H359" s="55">
        <f>IF(D359&gt;Variables!$C$6,H312,H312*(1+Variables!$C$9))</f>
        <v>0.75681641218765572</v>
      </c>
      <c r="I359" s="1"/>
      <c r="J359" s="13">
        <f>H359*Variables!$C$21</f>
        <v>13.622695419377802</v>
      </c>
      <c r="K359" s="13">
        <f t="shared" si="12"/>
        <v>13.187507666387033</v>
      </c>
      <c r="L359" s="54">
        <f t="shared" si="1"/>
        <v>0.43518775299076928</v>
      </c>
      <c r="M359" s="56"/>
      <c r="N359" s="57"/>
      <c r="O359" s="57"/>
      <c r="P359" s="57"/>
      <c r="Q359" s="57"/>
      <c r="R359" s="57"/>
      <c r="S359" s="58">
        <v>0</v>
      </c>
      <c r="T359" s="59">
        <f>$L359*Variables!$C$22/100</f>
        <v>2.3630104234792899E-2</v>
      </c>
      <c r="U359" s="59">
        <f>$L359*Variables!$C$23/100</f>
        <v>4.1352682410887576E-2</v>
      </c>
      <c r="V359" s="59">
        <f>$L359*Variables!$C$24/100</f>
        <v>4.332185776378699E-2</v>
      </c>
      <c r="W359" s="59">
        <f>$L359*Variables!$C$25/100</f>
        <v>0.31506805646390534</v>
      </c>
      <c r="X359" s="62">
        <f>T359*Variables!$E$26*Variables!$C$18+'Cost Calculations'!U359*Variables!$E$27*Variables!$C$18+'Cost Calculations'!V359*Variables!$E$28*Variables!$C$18+W359*Variables!$E$29*Variables!$C$18</f>
        <v>494690.09423581441</v>
      </c>
      <c r="Y359" s="58">
        <f>J359*Variables!$E$30</f>
        <v>8922.8654996924597</v>
      </c>
      <c r="Z359" s="1"/>
      <c r="AA359" s="245">
        <f>D359*(IF(D359&lt;Variables!$C$7,Variables!$C$38,IF(D359&gt;Variables!$C$6,Variables!$C$36,Variables!$C$37)))</f>
        <v>4.5256839666466409</v>
      </c>
      <c r="AB359" s="64">
        <f t="shared" si="13"/>
        <v>78</v>
      </c>
      <c r="AC359" s="66">
        <f t="shared" si="2"/>
        <v>0</v>
      </c>
      <c r="AD359" s="62">
        <f>AC359*Variables!$E$41</f>
        <v>0</v>
      </c>
      <c r="AE359" s="71">
        <f>ROUND((H359/(3.14*Variables!$C$35^2)),0)</f>
        <v>1</v>
      </c>
      <c r="AF359" s="57">
        <f t="shared" si="14"/>
        <v>1</v>
      </c>
      <c r="AG359" s="57">
        <f t="shared" si="3"/>
        <v>0</v>
      </c>
      <c r="AH359" s="58">
        <f>AG359*Variables!$E$42*Variables!$C$18</f>
        <v>0</v>
      </c>
      <c r="AI359" s="73">
        <f t="shared" si="4"/>
        <v>0</v>
      </c>
      <c r="AJ359" s="66">
        <f t="shared" si="15"/>
        <v>0</v>
      </c>
      <c r="AK359" s="66">
        <f t="shared" si="5"/>
        <v>0</v>
      </c>
      <c r="AL359" s="62">
        <f>IF(AK359*Variables!$E$43*Variables!$C$18&lt;0,0,AK359*Variables!$E$43*Variables!$C$18)</f>
        <v>0</v>
      </c>
      <c r="AM359" s="58">
        <f>AA359*Variables!$E$39*Variables!$C$18</f>
        <v>1308159.4257250263</v>
      </c>
      <c r="AN359" s="1"/>
      <c r="AO359" s="76">
        <f t="shared" si="16"/>
        <v>0.67714285714285716</v>
      </c>
      <c r="AP359" s="76">
        <f t="shared" si="6"/>
        <v>108.3610188531371</v>
      </c>
      <c r="AQ359" s="75">
        <f>VLOOKUP(B359,'Household Information'!$B$2:$E$48,4,FALSE)</f>
        <v>65.935833333333335</v>
      </c>
      <c r="AR359" s="79">
        <f>IF(12*(AP359-Variables!$C$45*AQ359*F359)*(G359/5)&lt;0,0,12*(AP359-Variables!$C$45*AQ359*F359)*(G359/5))</f>
        <v>667734.54115401953</v>
      </c>
      <c r="AS359" s="1"/>
      <c r="AT359" s="62">
        <v>0</v>
      </c>
      <c r="AU359" s="1"/>
    </row>
    <row r="360" spans="1:47" ht="14.25" customHeight="1">
      <c r="A360" s="1">
        <v>28</v>
      </c>
      <c r="B360" s="3" t="s">
        <v>221</v>
      </c>
      <c r="C360" s="1">
        <v>2026</v>
      </c>
      <c r="D360" s="13">
        <f>VLOOKUP(B360,Population!$B$1:$O$48,10,FALSE)</f>
        <v>54168.52251902187</v>
      </c>
      <c r="E360" s="13" t="str">
        <f t="shared" si="21"/>
        <v>Small</v>
      </c>
      <c r="F360" s="54">
        <f>VLOOKUP(B360,'Household Information'!$B$1:$E$48,2,FALSE)</f>
        <v>2.5363152064982328</v>
      </c>
      <c r="G360" s="54">
        <f t="shared" si="0"/>
        <v>21357.172949260403</v>
      </c>
      <c r="H360" s="55">
        <f>IF(D360&gt;Variables!$C$6,H313,H313*(1+Variables!$C$9))</f>
        <v>6.5268794924379625</v>
      </c>
      <c r="I360" s="1"/>
      <c r="J360" s="13">
        <f>H360*Variables!$C$21</f>
        <v>117.48383086388333</v>
      </c>
      <c r="K360" s="13">
        <f t="shared" si="12"/>
        <v>124.62</v>
      </c>
      <c r="L360" s="54">
        <f t="shared" si="1"/>
        <v>0</v>
      </c>
      <c r="M360" s="56"/>
      <c r="N360" s="57"/>
      <c r="O360" s="57"/>
      <c r="P360" s="57"/>
      <c r="Q360" s="57"/>
      <c r="R360" s="57"/>
      <c r="S360" s="58">
        <v>0</v>
      </c>
      <c r="T360" s="59">
        <f>$L360*Variables!$C$22/100</f>
        <v>0</v>
      </c>
      <c r="U360" s="59">
        <f>$L360*Variables!$C$23/100</f>
        <v>0</v>
      </c>
      <c r="V360" s="59">
        <f>$L360*Variables!$C$24/100</f>
        <v>0</v>
      </c>
      <c r="W360" s="59">
        <f>$L360*Variables!$C$25/100</f>
        <v>0</v>
      </c>
      <c r="X360" s="62">
        <f>T360*Variables!$E$26*Variables!$C$18+'Cost Calculations'!U360*Variables!$E$27*Variables!$C$18+'Cost Calculations'!V360*Variables!$E$28*Variables!$C$18+W360*Variables!$E$29*Variables!$C$18</f>
        <v>0</v>
      </c>
      <c r="Y360" s="58">
        <f>J360*Variables!$E$30</f>
        <v>76951.909215843581</v>
      </c>
      <c r="Z360" s="1"/>
      <c r="AA360" s="245">
        <f>D360*(IF(D360&lt;Variables!$C$7,Variables!$C$38,IF(D360&gt;Variables!$C$6,Variables!$C$36,Variables!$C$37)))</f>
        <v>43.3348180152175</v>
      </c>
      <c r="AB360" s="64">
        <f t="shared" si="13"/>
        <v>43</v>
      </c>
      <c r="AC360" s="66">
        <f t="shared" si="2"/>
        <v>0</v>
      </c>
      <c r="AD360" s="62">
        <f>AC360*Variables!$E$41</f>
        <v>0</v>
      </c>
      <c r="AE360" s="71">
        <f>ROUND((H360/(3.14*Variables!$C$35^2)),0)</f>
        <v>8</v>
      </c>
      <c r="AF360" s="57">
        <f t="shared" si="14"/>
        <v>8</v>
      </c>
      <c r="AG360" s="57">
        <f t="shared" si="3"/>
        <v>0</v>
      </c>
      <c r="AH360" s="58">
        <f>AG360*Variables!$E$42*Variables!$C$18</f>
        <v>0</v>
      </c>
      <c r="AI360" s="73">
        <f t="shared" si="4"/>
        <v>0</v>
      </c>
      <c r="AJ360" s="66">
        <f t="shared" si="15"/>
        <v>0</v>
      </c>
      <c r="AK360" s="66">
        <f t="shared" si="5"/>
        <v>0</v>
      </c>
      <c r="AL360" s="62">
        <f>IF(AK360*Variables!$E$43*Variables!$C$18&lt;0,0,AK360*Variables!$E$43*Variables!$C$18)</f>
        <v>0</v>
      </c>
      <c r="AM360" s="58">
        <f>AA360*Variables!$E$39*Variables!$C$18</f>
        <v>12526029.450237932</v>
      </c>
      <c r="AN360" s="1"/>
      <c r="AO360" s="76">
        <f t="shared" si="16"/>
        <v>0.67714285714285716</v>
      </c>
      <c r="AP360" s="76">
        <f t="shared" si="6"/>
        <v>103.04686353258533</v>
      </c>
      <c r="AQ360" s="75">
        <f>VLOOKUP(B360,'Household Information'!$B$2:$E$48,4,FALSE)</f>
        <v>65.935833333333335</v>
      </c>
      <c r="AR360" s="79">
        <f>IF(12*(AP360-Variables!$C$45*AQ360*F360)*(G360/5)&lt;0,0,12*(AP360-Variables!$C$45*AQ360*F360)*(G360/5))</f>
        <v>3996102.4450444528</v>
      </c>
      <c r="AS360" s="1"/>
      <c r="AT360" s="62">
        <v>0</v>
      </c>
      <c r="AU360" s="1"/>
    </row>
    <row r="361" spans="1:47" ht="14.25" customHeight="1">
      <c r="A361" s="1">
        <v>29</v>
      </c>
      <c r="B361" s="3" t="s">
        <v>222</v>
      </c>
      <c r="C361" s="1">
        <v>2026</v>
      </c>
      <c r="D361" s="13">
        <f>VLOOKUP(B361,Population!$B$1:$O$48,10,FALSE)</f>
        <v>54547.024028117892</v>
      </c>
      <c r="E361" s="13" t="str">
        <f t="shared" si="21"/>
        <v>Small</v>
      </c>
      <c r="F361" s="54">
        <f>VLOOKUP(B361,'Household Information'!$B$1:$E$48,2,FALSE)</f>
        <v>2.6066968130921619</v>
      </c>
      <c r="G361" s="54">
        <f t="shared" si="0"/>
        <v>20925.7262885944</v>
      </c>
      <c r="H361" s="55">
        <f>IF(D361&gt;Variables!$C$6,H314,H314*(1+Variables!$C$9))</f>
        <v>4.1169547567685605</v>
      </c>
      <c r="I361" s="1"/>
      <c r="J361" s="13">
        <f>H361*Variables!$C$21</f>
        <v>74.105185621834096</v>
      </c>
      <c r="K361" s="13">
        <f t="shared" si="12"/>
        <v>71.737837000807446</v>
      </c>
      <c r="L361" s="54">
        <f t="shared" si="1"/>
        <v>2.3673486210266503</v>
      </c>
      <c r="M361" s="56"/>
      <c r="N361" s="57"/>
      <c r="O361" s="57"/>
      <c r="P361" s="57"/>
      <c r="Q361" s="57"/>
      <c r="R361" s="57"/>
      <c r="S361" s="58">
        <v>0</v>
      </c>
      <c r="T361" s="59">
        <f>$L361*Variables!$C$22/100</f>
        <v>0.12854381652633395</v>
      </c>
      <c r="U361" s="59">
        <f>$L361*Variables!$C$23/100</f>
        <v>0.22495167892108442</v>
      </c>
      <c r="V361" s="59">
        <f>$L361*Variables!$C$24/100</f>
        <v>0.23566366363161226</v>
      </c>
      <c r="W361" s="59">
        <f>$L361*Variables!$C$25/100</f>
        <v>1.7139175536844526</v>
      </c>
      <c r="X361" s="62">
        <f>T361*Variables!$E$26*Variables!$C$18+'Cost Calculations'!U361*Variables!$E$27*Variables!$C$18+'Cost Calculations'!V361*Variables!$E$28*Variables!$C$18+W361*Variables!$E$29*Variables!$C$18</f>
        <v>2691031.4097224586</v>
      </c>
      <c r="Y361" s="58">
        <f>J361*Variables!$E$30</f>
        <v>48538.896582301335</v>
      </c>
      <c r="Z361" s="1"/>
      <c r="AA361" s="245">
        <f>D361*(IF(D361&lt;Variables!$C$7,Variables!$C$38,IF(D361&gt;Variables!$C$6,Variables!$C$36,Variables!$C$37)))</f>
        <v>43.637619222494315</v>
      </c>
      <c r="AB361" s="64">
        <f t="shared" si="13"/>
        <v>43</v>
      </c>
      <c r="AC361" s="66">
        <f t="shared" si="2"/>
        <v>1</v>
      </c>
      <c r="AD361" s="62">
        <f>AC361*Variables!$E$41</f>
        <v>537600</v>
      </c>
      <c r="AE361" s="71">
        <f>ROUND((H361/(3.14*Variables!$C$35^2)),0)</f>
        <v>5</v>
      </c>
      <c r="AF361" s="57">
        <f t="shared" si="14"/>
        <v>5</v>
      </c>
      <c r="AG361" s="57">
        <f t="shared" si="3"/>
        <v>0</v>
      </c>
      <c r="AH361" s="58">
        <f>AG361*Variables!$E$42*Variables!$C$18</f>
        <v>0</v>
      </c>
      <c r="AI361" s="73">
        <f t="shared" si="4"/>
        <v>0</v>
      </c>
      <c r="AJ361" s="66">
        <f t="shared" si="15"/>
        <v>0</v>
      </c>
      <c r="AK361" s="66">
        <f t="shared" si="5"/>
        <v>0</v>
      </c>
      <c r="AL361" s="62">
        <f>IF(AK361*Variables!$E$43*Variables!$C$18&lt;0,0,AK361*Variables!$E$43*Variables!$C$18)</f>
        <v>0</v>
      </c>
      <c r="AM361" s="58">
        <f>AA361*Variables!$E$39*Variables!$C$18</f>
        <v>12613554.840066155</v>
      </c>
      <c r="AN361" s="1"/>
      <c r="AO361" s="76">
        <f t="shared" si="16"/>
        <v>0.67714285714285716</v>
      </c>
      <c r="AP361" s="76">
        <f t="shared" si="6"/>
        <v>105.9063676633444</v>
      </c>
      <c r="AQ361" s="75">
        <f>VLOOKUP(B361,'Household Information'!$B$2:$E$48,4,FALSE)</f>
        <v>65.935833333333335</v>
      </c>
      <c r="AR361" s="79">
        <f>IF(12*(AP361-Variables!$C$45*AQ361*F361)*(G361/5)&lt;0,0,12*(AP361-Variables!$C$45*AQ361*F361)*(G361/5))</f>
        <v>4024025.1340087042</v>
      </c>
      <c r="AS361" s="1"/>
      <c r="AT361" s="62">
        <v>0</v>
      </c>
      <c r="AU361" s="1"/>
    </row>
    <row r="362" spans="1:47" ht="14.25" customHeight="1">
      <c r="A362" s="1">
        <v>30</v>
      </c>
      <c r="B362" s="3" t="s">
        <v>223</v>
      </c>
      <c r="C362" s="1">
        <v>2026</v>
      </c>
      <c r="D362" s="13">
        <f>VLOOKUP(B362,Population!$B$1:$O$48,10,FALSE)</f>
        <v>22291.035303547909</v>
      </c>
      <c r="E362" s="13" t="str">
        <f t="shared" si="21"/>
        <v>Small</v>
      </c>
      <c r="F362" s="54">
        <f>VLOOKUP(B362,'Household Information'!$B$1:$E$48,2,FALSE)</f>
        <v>2.8820273812991553</v>
      </c>
      <c r="G362" s="54">
        <f t="shared" si="0"/>
        <v>7734.4980995633687</v>
      </c>
      <c r="H362" s="55">
        <f>IF(D362&gt;Variables!$C$6,H315,H315*(1+Variables!$C$9))</f>
        <v>4.2675750527478975</v>
      </c>
      <c r="I362" s="1"/>
      <c r="J362" s="13">
        <f>H362*Variables!$C$21</f>
        <v>76.816350949462162</v>
      </c>
      <c r="K362" s="13">
        <f t="shared" si="12"/>
        <v>76.2</v>
      </c>
      <c r="L362" s="54">
        <f t="shared" si="1"/>
        <v>0.61635094946215929</v>
      </c>
      <c r="M362" s="56"/>
      <c r="N362" s="57"/>
      <c r="O362" s="57"/>
      <c r="P362" s="57"/>
      <c r="Q362" s="57"/>
      <c r="R362" s="57"/>
      <c r="S362" s="58">
        <v>0</v>
      </c>
      <c r="T362" s="59">
        <f>$L362*Variables!$C$22/100</f>
        <v>3.3467019880298238E-2</v>
      </c>
      <c r="U362" s="59">
        <f>$L362*Variables!$C$23/100</f>
        <v>5.8567284790521923E-2</v>
      </c>
      <c r="V362" s="59">
        <f>$L362*Variables!$C$24/100</f>
        <v>6.1356203113880105E-2</v>
      </c>
      <c r="W362" s="59">
        <f>$L362*Variables!$C$25/100</f>
        <v>0.44622693173730987</v>
      </c>
      <c r="X362" s="62">
        <f>T362*Variables!$E$26*Variables!$C$18+'Cost Calculations'!U362*Variables!$E$27*Variables!$C$18+'Cost Calculations'!V362*Variables!$E$28*Variables!$C$18+W362*Variables!$E$29*Variables!$C$18</f>
        <v>700623.3681356298</v>
      </c>
      <c r="Y362" s="58">
        <f>J362*Variables!$E$30</f>
        <v>50314.709871897714</v>
      </c>
      <c r="Z362" s="1"/>
      <c r="AA362" s="245">
        <f>D362*(IF(D362&lt;Variables!$C$7,Variables!$C$38,IF(D362&gt;Variables!$C$6,Variables!$C$36,Variables!$C$37)))</f>
        <v>11.145517651773956</v>
      </c>
      <c r="AB362" s="64">
        <f t="shared" si="13"/>
        <v>11</v>
      </c>
      <c r="AC362" s="66">
        <f t="shared" si="2"/>
        <v>0</v>
      </c>
      <c r="AD362" s="62">
        <f>AC362*Variables!$E$41</f>
        <v>0</v>
      </c>
      <c r="AE362" s="71">
        <f>ROUND((H362/(3.14*Variables!$C$35^2)),0)</f>
        <v>5</v>
      </c>
      <c r="AF362" s="57">
        <f t="shared" si="14"/>
        <v>5</v>
      </c>
      <c r="AG362" s="57">
        <f t="shared" si="3"/>
        <v>0</v>
      </c>
      <c r="AH362" s="58">
        <f>AG362*Variables!$E$42*Variables!$C$18</f>
        <v>0</v>
      </c>
      <c r="AI362" s="73">
        <f t="shared" si="4"/>
        <v>0</v>
      </c>
      <c r="AJ362" s="66">
        <f t="shared" si="15"/>
        <v>0</v>
      </c>
      <c r="AK362" s="66">
        <f t="shared" si="5"/>
        <v>0</v>
      </c>
      <c r="AL362" s="62">
        <f>IF(AK362*Variables!$E$43*Variables!$C$18&lt;0,0,AK362*Variables!$E$43*Variables!$C$18)</f>
        <v>0</v>
      </c>
      <c r="AM362" s="58">
        <f>AA362*Variables!$E$39*Variables!$C$18</f>
        <v>3221637.6747040227</v>
      </c>
      <c r="AN362" s="1"/>
      <c r="AO362" s="76">
        <f t="shared" si="16"/>
        <v>0.67714285714285716</v>
      </c>
      <c r="AP362" s="76">
        <f t="shared" si="6"/>
        <v>117.09265532021139</v>
      </c>
      <c r="AQ362" s="75">
        <f>VLOOKUP(B362,'Household Information'!$B$2:$E$48,4,FALSE)</f>
        <v>65.935833333333335</v>
      </c>
      <c r="AR362" s="79">
        <f>IF(12*(AP362-Variables!$C$45*AQ362*F362)*(G362/5)&lt;0,0,12*(AP362-Variables!$C$45*AQ362*F362)*(G362/5))</f>
        <v>1644446.9322160222</v>
      </c>
      <c r="AS362" s="1"/>
      <c r="AT362" s="62">
        <v>0</v>
      </c>
      <c r="AU362" s="1"/>
    </row>
    <row r="363" spans="1:47" ht="14.25" customHeight="1">
      <c r="A363" s="1">
        <v>31</v>
      </c>
      <c r="B363" s="3" t="s">
        <v>224</v>
      </c>
      <c r="C363" s="1">
        <v>2026</v>
      </c>
      <c r="D363" s="13">
        <f>VLOOKUP(B363,Population!$B$1:$O$48,10,FALSE)</f>
        <v>33911.932826865086</v>
      </c>
      <c r="E363" s="13" t="str">
        <f t="shared" si="21"/>
        <v>Small</v>
      </c>
      <c r="F363" s="54">
        <f>VLOOKUP(B363,'Household Information'!$B$1:$E$48,2,FALSE)</f>
        <v>3.407</v>
      </c>
      <c r="G363" s="54">
        <f t="shared" si="0"/>
        <v>9953.605173720307</v>
      </c>
      <c r="H363" s="55">
        <f>IF(D363&gt;Variables!$C$6,H316,H316*(1+Variables!$C$9))</f>
        <v>4.5562639533749616</v>
      </c>
      <c r="I363" s="1"/>
      <c r="J363" s="13">
        <f>H363*Variables!$C$21</f>
        <v>82.012751160749303</v>
      </c>
      <c r="K363" s="13">
        <f t="shared" si="12"/>
        <v>83</v>
      </c>
      <c r="L363" s="54">
        <f t="shared" si="1"/>
        <v>0</v>
      </c>
      <c r="M363" s="56"/>
      <c r="N363" s="57"/>
      <c r="O363" s="57"/>
      <c r="P363" s="57"/>
      <c r="Q363" s="57"/>
      <c r="R363" s="57"/>
      <c r="S363" s="58">
        <v>0</v>
      </c>
      <c r="T363" s="59">
        <f>$L363*Variables!$C$22/100</f>
        <v>0</v>
      </c>
      <c r="U363" s="59">
        <f>$L363*Variables!$C$23/100</f>
        <v>0</v>
      </c>
      <c r="V363" s="59">
        <f>$L363*Variables!$C$24/100</f>
        <v>0</v>
      </c>
      <c r="W363" s="59">
        <f>$L363*Variables!$C$25/100</f>
        <v>0</v>
      </c>
      <c r="X363" s="62">
        <f>T363*Variables!$E$26*Variables!$C$18+'Cost Calculations'!U363*Variables!$E$27*Variables!$C$18+'Cost Calculations'!V363*Variables!$E$28*Variables!$C$18+W363*Variables!$E$29*Variables!$C$18</f>
        <v>0</v>
      </c>
      <c r="Y363" s="58">
        <f>J363*Variables!$E$30</f>
        <v>53718.352010290793</v>
      </c>
      <c r="Z363" s="1"/>
      <c r="AA363" s="245">
        <f>D363*(IF(D363&lt;Variables!$C$7,Variables!$C$38,IF(D363&gt;Variables!$C$6,Variables!$C$36,Variables!$C$37)))</f>
        <v>16.955966413432542</v>
      </c>
      <c r="AB363" s="64">
        <f t="shared" si="13"/>
        <v>17</v>
      </c>
      <c r="AC363" s="66">
        <f t="shared" si="2"/>
        <v>0</v>
      </c>
      <c r="AD363" s="62">
        <f>AC363*Variables!$E$41</f>
        <v>0</v>
      </c>
      <c r="AE363" s="71">
        <f>ROUND((H363/(3.14*Variables!$C$35^2)),0)</f>
        <v>6</v>
      </c>
      <c r="AF363" s="57">
        <f t="shared" si="14"/>
        <v>6</v>
      </c>
      <c r="AG363" s="57">
        <f t="shared" si="3"/>
        <v>0</v>
      </c>
      <c r="AH363" s="58">
        <f>AG363*Variables!$E$42*Variables!$C$18</f>
        <v>0</v>
      </c>
      <c r="AI363" s="73">
        <f t="shared" si="4"/>
        <v>0</v>
      </c>
      <c r="AJ363" s="66">
        <f t="shared" si="15"/>
        <v>0</v>
      </c>
      <c r="AK363" s="66">
        <f t="shared" si="5"/>
        <v>0</v>
      </c>
      <c r="AL363" s="62">
        <f>IF(AK363*Variables!$E$43*Variables!$C$18&lt;0,0,AK363*Variables!$E$43*Variables!$C$18)</f>
        <v>0</v>
      </c>
      <c r="AM363" s="58">
        <f>AA363*Variables!$E$39*Variables!$C$18</f>
        <v>4901161.3381488724</v>
      </c>
      <c r="AN363" s="1"/>
      <c r="AO363" s="76">
        <f t="shared" si="16"/>
        <v>0.67714285714285716</v>
      </c>
      <c r="AP363" s="76">
        <f t="shared" si="6"/>
        <v>138.42154285714284</v>
      </c>
      <c r="AQ363" s="75">
        <f>VLOOKUP(B363,'Household Information'!$B$2:$E$48,4,FALSE)</f>
        <v>65.935833333333335</v>
      </c>
      <c r="AR363" s="79">
        <f>IF(12*(AP363-Variables!$C$45*AQ363*F363)*(G363/5)&lt;0,0,12*(AP363-Variables!$C$45*AQ363*F363)*(G363/5))</f>
        <v>2501739.966011276</v>
      </c>
      <c r="AS363" s="1"/>
      <c r="AT363" s="62">
        <v>0</v>
      </c>
      <c r="AU363" s="1"/>
    </row>
    <row r="364" spans="1:47" ht="14.25" customHeight="1">
      <c r="A364" s="1">
        <v>32</v>
      </c>
      <c r="B364" s="3" t="s">
        <v>225</v>
      </c>
      <c r="C364" s="1">
        <v>2026</v>
      </c>
      <c r="D364" s="13">
        <f>VLOOKUP(B364,Population!$B$1:$O$48,10,FALSE)</f>
        <v>31213.983081969327</v>
      </c>
      <c r="E364" s="13" t="str">
        <f t="shared" si="21"/>
        <v>Small</v>
      </c>
      <c r="F364" s="54">
        <f>VLOOKUP(B364,'Household Information'!$B$1:$E$48,2,FALSE)</f>
        <v>4.9791554357592096</v>
      </c>
      <c r="G364" s="54">
        <f t="shared" si="0"/>
        <v>6268.9312444028765</v>
      </c>
      <c r="H364" s="55">
        <f>IF(D364&gt;Variables!$C$6,H317,H317*(1+Variables!$C$9))</f>
        <v>3.8910243127995536</v>
      </c>
      <c r="I364" s="1"/>
      <c r="J364" s="13">
        <f>H364*Variables!$C$21</f>
        <v>70.038437630391968</v>
      </c>
      <c r="K364" s="13">
        <f t="shared" si="12"/>
        <v>67.801004482470447</v>
      </c>
      <c r="L364" s="54">
        <f t="shared" si="1"/>
        <v>2.2374331479215215</v>
      </c>
      <c r="M364" s="56"/>
      <c r="N364" s="57"/>
      <c r="O364" s="57"/>
      <c r="P364" s="57"/>
      <c r="Q364" s="57"/>
      <c r="R364" s="57"/>
      <c r="S364" s="58">
        <v>0</v>
      </c>
      <c r="T364" s="59">
        <f>$L364*Variables!$C$22/100</f>
        <v>0.12148958269257129</v>
      </c>
      <c r="U364" s="59">
        <f>$L364*Variables!$C$23/100</f>
        <v>0.21260676971199977</v>
      </c>
      <c r="V364" s="59">
        <f>$L364*Variables!$C$24/100</f>
        <v>0.2227309016030474</v>
      </c>
      <c r="W364" s="59">
        <f>$L364*Variables!$C$25/100</f>
        <v>1.6198611025676173</v>
      </c>
      <c r="X364" s="62">
        <f>T364*Variables!$E$26*Variables!$C$18+'Cost Calculations'!U364*Variables!$E$27*Variables!$C$18+'Cost Calculations'!V364*Variables!$E$28*Variables!$C$18+W364*Variables!$E$29*Variables!$C$18</f>
        <v>2543352.8567498755</v>
      </c>
      <c r="Y364" s="58">
        <f>J364*Variables!$E$30</f>
        <v>45875.176647906737</v>
      </c>
      <c r="Z364" s="1"/>
      <c r="AA364" s="245">
        <f>D364*(IF(D364&lt;Variables!$C$7,Variables!$C$38,IF(D364&gt;Variables!$C$6,Variables!$C$36,Variables!$C$37)))</f>
        <v>15.606991540984664</v>
      </c>
      <c r="AB364" s="64">
        <f t="shared" si="13"/>
        <v>15</v>
      </c>
      <c r="AC364" s="66">
        <f t="shared" si="2"/>
        <v>1</v>
      </c>
      <c r="AD364" s="62">
        <f>AC364*Variables!$E$41</f>
        <v>537600</v>
      </c>
      <c r="AE364" s="71">
        <f>ROUND((H364/(3.14*Variables!$C$35^2)),0)</f>
        <v>5</v>
      </c>
      <c r="AF364" s="57">
        <f t="shared" si="14"/>
        <v>5</v>
      </c>
      <c r="AG364" s="57">
        <f t="shared" si="3"/>
        <v>0</v>
      </c>
      <c r="AH364" s="58">
        <f>AG364*Variables!$E$42*Variables!$C$18</f>
        <v>0</v>
      </c>
      <c r="AI364" s="73">
        <f t="shared" si="4"/>
        <v>0</v>
      </c>
      <c r="AJ364" s="66">
        <f t="shared" si="15"/>
        <v>1</v>
      </c>
      <c r="AK364" s="66">
        <f t="shared" si="5"/>
        <v>0</v>
      </c>
      <c r="AL364" s="62">
        <f>IF(AK364*Variables!$E$43*Variables!$C$18&lt;0,0,AK364*Variables!$E$43*Variables!$C$18)</f>
        <v>0</v>
      </c>
      <c r="AM364" s="58">
        <f>AA364*Variables!$E$39*Variables!$C$18</f>
        <v>4511237.0289252969</v>
      </c>
      <c r="AN364" s="1"/>
      <c r="AO364" s="76">
        <f t="shared" si="16"/>
        <v>0.67714285714285716</v>
      </c>
      <c r="AP364" s="76">
        <f t="shared" si="6"/>
        <v>202.29597227570272</v>
      </c>
      <c r="AQ364" s="75">
        <f>VLOOKUP(B364,'Household Information'!$B$2:$E$48,4,FALSE)</f>
        <v>65.935833333333335</v>
      </c>
      <c r="AR364" s="79">
        <f>IF(12*(AP364-Variables!$C$45*AQ364*F364)*(G364/5)&lt;0,0,12*(AP364-Variables!$C$45*AQ364*F364)*(G364/5))</f>
        <v>2302707.7039000285</v>
      </c>
      <c r="AS364" s="1"/>
      <c r="AT364" s="62">
        <v>0</v>
      </c>
      <c r="AU364" s="1"/>
    </row>
    <row r="365" spans="1:47" ht="14.25" customHeight="1">
      <c r="A365" s="1">
        <v>33</v>
      </c>
      <c r="B365" s="3" t="s">
        <v>226</v>
      </c>
      <c r="C365" s="1">
        <v>2026</v>
      </c>
      <c r="D365" s="13">
        <f>VLOOKUP(B365,Population!$B$1:$O$48,10,FALSE)</f>
        <v>133830.69876528211</v>
      </c>
      <c r="E365" s="13" t="str">
        <f t="shared" si="21"/>
        <v>Medium</v>
      </c>
      <c r="F365" s="54">
        <f>VLOOKUP(B365,'Household Information'!$B$1:$E$48,2,FALSE)</f>
        <v>2.6362587373793409</v>
      </c>
      <c r="G365" s="54">
        <f t="shared" si="0"/>
        <v>50765.388414917456</v>
      </c>
      <c r="H365" s="55">
        <f>IF(D365&gt;Variables!$C$6,H318,H318*(1+Variables!$C$9))</f>
        <v>12.015102013299996</v>
      </c>
      <c r="I365" s="1"/>
      <c r="J365" s="13">
        <f>H365*Variables!$C$21</f>
        <v>216.27183623939993</v>
      </c>
      <c r="K365" s="13">
        <f t="shared" si="12"/>
        <v>216.27183623939993</v>
      </c>
      <c r="L365" s="54">
        <f t="shared" si="1"/>
        <v>0</v>
      </c>
      <c r="M365" s="56"/>
      <c r="N365" s="57"/>
      <c r="O365" s="57"/>
      <c r="P365" s="57"/>
      <c r="Q365" s="57"/>
      <c r="R365" s="57"/>
      <c r="S365" s="58">
        <v>0</v>
      </c>
      <c r="T365" s="59">
        <f>$L365*Variables!$C$22/100</f>
        <v>0</v>
      </c>
      <c r="U365" s="59">
        <f>$L365*Variables!$C$23/100</f>
        <v>0</v>
      </c>
      <c r="V365" s="59">
        <f>$L365*Variables!$C$24/100</f>
        <v>0</v>
      </c>
      <c r="W365" s="59">
        <f>$L365*Variables!$C$25/100</f>
        <v>0</v>
      </c>
      <c r="X365" s="62">
        <f>T365*Variables!$E$26*Variables!$C$18+'Cost Calculations'!U365*Variables!$E$27*Variables!$C$18+'Cost Calculations'!V365*Variables!$E$28*Variables!$C$18+W365*Variables!$E$29*Variables!$C$18</f>
        <v>0</v>
      </c>
      <c r="Y365" s="58">
        <f>J365*Variables!$E$30</f>
        <v>141658.05273680695</v>
      </c>
      <c r="Z365" s="1"/>
      <c r="AA365" s="245">
        <f>D365*(IF(D365&lt;Variables!$C$7,Variables!$C$38,IF(D365&gt;Variables!$C$6,Variables!$C$36,Variables!$C$37)))</f>
        <v>160.59683851833853</v>
      </c>
      <c r="AB365" s="64">
        <f t="shared" si="13"/>
        <v>158</v>
      </c>
      <c r="AC365" s="66">
        <f t="shared" si="2"/>
        <v>3</v>
      </c>
      <c r="AD365" s="62">
        <f>AC365*Variables!$E$41</f>
        <v>1612800</v>
      </c>
      <c r="AE365" s="71">
        <f>ROUND((H365/(3.14*Variables!$C$35^2)),0)</f>
        <v>15</v>
      </c>
      <c r="AF365" s="57">
        <f t="shared" si="14"/>
        <v>15</v>
      </c>
      <c r="AG365" s="57">
        <f t="shared" si="3"/>
        <v>0</v>
      </c>
      <c r="AH365" s="58">
        <f>AG365*Variables!$E$42*Variables!$C$18</f>
        <v>0</v>
      </c>
      <c r="AI365" s="73">
        <f t="shared" si="4"/>
        <v>1</v>
      </c>
      <c r="AJ365" s="66">
        <f t="shared" si="15"/>
        <v>1</v>
      </c>
      <c r="AK365" s="66">
        <f t="shared" si="5"/>
        <v>0</v>
      </c>
      <c r="AL365" s="62">
        <f>IF(AK365*Variables!$E$43*Variables!$C$18&lt;0,0,AK365*Variables!$E$43*Variables!$C$18)</f>
        <v>0</v>
      </c>
      <c r="AM365" s="58">
        <f>AA365*Variables!$E$39*Variables!$C$18</f>
        <v>46420887.891796485</v>
      </c>
      <c r="AN365" s="1"/>
      <c r="AO365" s="76">
        <f t="shared" si="16"/>
        <v>0.67714285714285716</v>
      </c>
      <c r="AP365" s="76">
        <f t="shared" si="6"/>
        <v>107.10742641581207</v>
      </c>
      <c r="AQ365" s="75">
        <f>VLOOKUP(B365,'Household Information'!$B$2:$E$48,4,FALSE)</f>
        <v>40.760000000000005</v>
      </c>
      <c r="AR365" s="79">
        <f>IF(12*(AP365-Variables!$C$45*AQ365*F365)*(G365/5)&lt;0,0,12*(AP365-Variables!$C$45*AQ365*F365)*(G365/5))</f>
        <v>11085862.108487891</v>
      </c>
      <c r="AS365" s="1"/>
      <c r="AT365" s="62">
        <v>0</v>
      </c>
      <c r="AU365" s="1"/>
    </row>
    <row r="366" spans="1:47" ht="14.25" customHeight="1">
      <c r="A366" s="1">
        <v>34</v>
      </c>
      <c r="B366" s="3" t="s">
        <v>227</v>
      </c>
      <c r="C366" s="1">
        <v>2026</v>
      </c>
      <c r="D366" s="13">
        <f>VLOOKUP(B366,Population!$B$1:$O$48,10,FALSE)</f>
        <v>118864.11825977688</v>
      </c>
      <c r="E366" s="13" t="str">
        <f t="shared" si="21"/>
        <v>Medium</v>
      </c>
      <c r="F366" s="54">
        <f>VLOOKUP(B366,'Household Information'!$B$1:$E$48,2,FALSE)</f>
        <v>2.8808529227072923</v>
      </c>
      <c r="G366" s="54">
        <f t="shared" si="0"/>
        <v>41260.043969226266</v>
      </c>
      <c r="H366" s="55">
        <f>IF(D366&gt;Variables!$C$6,H319,H319*(1+Variables!$C$9))</f>
        <v>8.2342029393899967</v>
      </c>
      <c r="I366" s="1"/>
      <c r="J366" s="13">
        <f>H366*Variables!$C$21</f>
        <v>148.21565290901995</v>
      </c>
      <c r="K366" s="13">
        <f t="shared" si="12"/>
        <v>148.21565290901995</v>
      </c>
      <c r="L366" s="54">
        <f t="shared" si="1"/>
        <v>0</v>
      </c>
      <c r="M366" s="56"/>
      <c r="N366" s="57"/>
      <c r="O366" s="57"/>
      <c r="P366" s="57"/>
      <c r="Q366" s="57"/>
      <c r="R366" s="57"/>
      <c r="S366" s="58">
        <v>0</v>
      </c>
      <c r="T366" s="59">
        <f>$L366*Variables!$C$22/100</f>
        <v>0</v>
      </c>
      <c r="U366" s="59">
        <f>$L366*Variables!$C$23/100</f>
        <v>0</v>
      </c>
      <c r="V366" s="59">
        <f>$L366*Variables!$C$24/100</f>
        <v>0</v>
      </c>
      <c r="W366" s="59">
        <f>$L366*Variables!$C$25/100</f>
        <v>0</v>
      </c>
      <c r="X366" s="62">
        <f>T366*Variables!$E$26*Variables!$C$18+'Cost Calculations'!U366*Variables!$E$27*Variables!$C$18+'Cost Calculations'!V366*Variables!$E$28*Variables!$C$18+W366*Variables!$E$29*Variables!$C$18</f>
        <v>0</v>
      </c>
      <c r="Y366" s="58">
        <f>J366*Variables!$E$30</f>
        <v>97081.252655408069</v>
      </c>
      <c r="Z366" s="1"/>
      <c r="AA366" s="245">
        <f>D366*(IF(D366&lt;Variables!$C$7,Variables!$C$38,IF(D366&gt;Variables!$C$6,Variables!$C$36,Variables!$C$37)))</f>
        <v>142.63694191173224</v>
      </c>
      <c r="AB366" s="64">
        <f t="shared" si="13"/>
        <v>141</v>
      </c>
      <c r="AC366" s="66">
        <f t="shared" si="2"/>
        <v>2</v>
      </c>
      <c r="AD366" s="62">
        <f>AC366*Variables!$E$41</f>
        <v>1075200</v>
      </c>
      <c r="AE366" s="71">
        <f>ROUND((H366/(3.14*Variables!$C$35^2)),0)</f>
        <v>10</v>
      </c>
      <c r="AF366" s="57">
        <f t="shared" si="14"/>
        <v>10</v>
      </c>
      <c r="AG366" s="57">
        <f t="shared" si="3"/>
        <v>0</v>
      </c>
      <c r="AH366" s="58">
        <f>AG366*Variables!$E$42*Variables!$C$18</f>
        <v>0</v>
      </c>
      <c r="AI366" s="73">
        <f t="shared" si="4"/>
        <v>1</v>
      </c>
      <c r="AJ366" s="66">
        <f t="shared" si="15"/>
        <v>1</v>
      </c>
      <c r="AK366" s="66">
        <f t="shared" si="5"/>
        <v>0</v>
      </c>
      <c r="AL366" s="62">
        <f>IF(AK366*Variables!$E$43*Variables!$C$18&lt;0,0,AK366*Variables!$E$43*Variables!$C$18)</f>
        <v>0</v>
      </c>
      <c r="AM366" s="58">
        <f>AA366*Variables!$E$39*Variables!$C$18</f>
        <v>41229538.207609981</v>
      </c>
      <c r="AN366" s="1"/>
      <c r="AO366" s="76">
        <f t="shared" si="16"/>
        <v>0.67714285714285716</v>
      </c>
      <c r="AP366" s="76">
        <f t="shared" si="6"/>
        <v>117.04493874542199</v>
      </c>
      <c r="AQ366" s="75">
        <f>VLOOKUP(B366,'Household Information'!$B$2:$E$48,4,FALSE)</f>
        <v>40.760000000000005</v>
      </c>
      <c r="AR366" s="79">
        <f>IF(12*(AP366-Variables!$C$45*AQ366*F366)*(G366/5)&lt;0,0,12*(AP366-Variables!$C$45*AQ366*F366)*(G366/5))</f>
        <v>9846105.8399309516</v>
      </c>
      <c r="AS366" s="1"/>
      <c r="AT366" s="62">
        <v>0</v>
      </c>
      <c r="AU366" s="1"/>
    </row>
    <row r="367" spans="1:47" ht="14.25" customHeight="1">
      <c r="A367" s="1">
        <v>35</v>
      </c>
      <c r="B367" s="3" t="s">
        <v>228</v>
      </c>
      <c r="C367" s="1">
        <v>2026</v>
      </c>
      <c r="D367" s="13">
        <f>VLOOKUP(B367,Population!$B$1:$O$48,10,FALSE)</f>
        <v>542857.90397286438</v>
      </c>
      <c r="E367" s="13" t="str">
        <f t="shared" si="21"/>
        <v>Medium</v>
      </c>
      <c r="F367" s="54">
        <f>VLOOKUP(B367,'Household Information'!$B$1:$E$48,2,FALSE)</f>
        <v>2.7382605632202197</v>
      </c>
      <c r="G367" s="54">
        <f t="shared" si="0"/>
        <v>198249.17732973464</v>
      </c>
      <c r="H367" s="55">
        <f>IF(D367&gt;Variables!$C$6,H320,H320*(1+Variables!$C$9))</f>
        <v>24.726831923274581</v>
      </c>
      <c r="I367" s="1"/>
      <c r="J367" s="13">
        <f>H367*Variables!$C$21</f>
        <v>445.08297461894244</v>
      </c>
      <c r="K367" s="13">
        <f t="shared" si="12"/>
        <v>445.08297461894244</v>
      </c>
      <c r="L367" s="54">
        <f t="shared" si="1"/>
        <v>0</v>
      </c>
      <c r="M367" s="56"/>
      <c r="N367" s="57"/>
      <c r="O367" s="57"/>
      <c r="P367" s="57"/>
      <c r="Q367" s="57"/>
      <c r="R367" s="57"/>
      <c r="S367" s="58">
        <v>0</v>
      </c>
      <c r="T367" s="59">
        <f>$L367*Variables!$C$22/100</f>
        <v>0</v>
      </c>
      <c r="U367" s="59">
        <f>$L367*Variables!$C$23/100</f>
        <v>0</v>
      </c>
      <c r="V367" s="59">
        <f>$L367*Variables!$C$24/100</f>
        <v>0</v>
      </c>
      <c r="W367" s="59">
        <f>$L367*Variables!$C$25/100</f>
        <v>0</v>
      </c>
      <c r="X367" s="62">
        <f>T367*Variables!$E$26*Variables!$C$18+'Cost Calculations'!U367*Variables!$E$27*Variables!$C$18+'Cost Calculations'!V367*Variables!$E$28*Variables!$C$18+W367*Variables!$E$29*Variables!$C$18</f>
        <v>0</v>
      </c>
      <c r="Y367" s="58">
        <f>J367*Variables!$E$30</f>
        <v>291529.34837540728</v>
      </c>
      <c r="Z367" s="1"/>
      <c r="AA367" s="245">
        <f>D367*(IF(D367&lt;Variables!$C$7,Variables!$C$38,IF(D367&gt;Variables!$C$6,Variables!$C$36,Variables!$C$37)))</f>
        <v>651.4294847674372</v>
      </c>
      <c r="AB367" s="64">
        <f t="shared" si="13"/>
        <v>642</v>
      </c>
      <c r="AC367" s="66">
        <f t="shared" si="2"/>
        <v>9</v>
      </c>
      <c r="AD367" s="62">
        <f>AC367*Variables!$E$41</f>
        <v>4838400</v>
      </c>
      <c r="AE367" s="71">
        <f>ROUND((H367/(3.14*Variables!$C$35^2)),0)</f>
        <v>31</v>
      </c>
      <c r="AF367" s="57">
        <f t="shared" si="14"/>
        <v>31</v>
      </c>
      <c r="AG367" s="57">
        <f t="shared" si="3"/>
        <v>0</v>
      </c>
      <c r="AH367" s="58">
        <f>AG367*Variables!$E$42*Variables!$C$18</f>
        <v>0</v>
      </c>
      <c r="AI367" s="73">
        <f t="shared" si="4"/>
        <v>5</v>
      </c>
      <c r="AJ367" s="66">
        <f t="shared" si="15"/>
        <v>5</v>
      </c>
      <c r="AK367" s="66">
        <f t="shared" si="5"/>
        <v>0</v>
      </c>
      <c r="AL367" s="62">
        <f>IF(AK367*Variables!$E$43*Variables!$C$18&lt;0,0,AK367*Variables!$E$43*Variables!$C$18)</f>
        <v>0</v>
      </c>
      <c r="AM367" s="58">
        <f>AA367*Variables!$E$39*Variables!$C$18</f>
        <v>188297200.37326172</v>
      </c>
      <c r="AN367" s="1"/>
      <c r="AO367" s="76">
        <f t="shared" si="16"/>
        <v>0.67714285714285716</v>
      </c>
      <c r="AP367" s="76">
        <f t="shared" si="6"/>
        <v>111.25161488283292</v>
      </c>
      <c r="AQ367" s="75">
        <f>VLOOKUP(B367,'Household Information'!$B$2:$E$48,4,FALSE)</f>
        <v>40.760000000000005</v>
      </c>
      <c r="AR367" s="79">
        <f>IF(12*(AP367-Variables!$C$45*AQ367*F367)*(G367/5)&lt;0,0,12*(AP367-Variables!$C$45*AQ367*F367)*(G367/5))</f>
        <v>44967618.965366386</v>
      </c>
      <c r="AS367" s="1"/>
      <c r="AT367" s="62">
        <v>0</v>
      </c>
      <c r="AU367" s="1"/>
    </row>
    <row r="368" spans="1:47" ht="14.25" customHeight="1">
      <c r="A368" s="1">
        <v>36</v>
      </c>
      <c r="B368" s="3" t="s">
        <v>229</v>
      </c>
      <c r="C368" s="1">
        <v>2026</v>
      </c>
      <c r="D368" s="13">
        <f>VLOOKUP(B368,Population!$B$1:$O$48,10,FALSE)</f>
        <v>291136.3765426238</v>
      </c>
      <c r="E368" s="13" t="str">
        <f t="shared" si="21"/>
        <v>Medium</v>
      </c>
      <c r="F368" s="54">
        <f>VLOOKUP(B368,'Household Information'!$B$1:$E$48,2,FALSE)</f>
        <v>2.7303604631507774</v>
      </c>
      <c r="G368" s="54">
        <f t="shared" si="0"/>
        <v>106629.28227676527</v>
      </c>
      <c r="H368" s="55">
        <f>IF(D368&gt;Variables!$C$6,H321,H321*(1+Variables!$C$9))</f>
        <v>25.407115316792478</v>
      </c>
      <c r="I368" s="1"/>
      <c r="J368" s="13">
        <f>H368*Variables!$C$21</f>
        <v>457.32807570226458</v>
      </c>
      <c r="K368" s="13">
        <f t="shared" si="12"/>
        <v>457.32807570226458</v>
      </c>
      <c r="L368" s="54">
        <f t="shared" si="1"/>
        <v>0</v>
      </c>
      <c r="M368" s="56"/>
      <c r="N368" s="57"/>
      <c r="O368" s="57"/>
      <c r="P368" s="57"/>
      <c r="Q368" s="57"/>
      <c r="R368" s="57"/>
      <c r="S368" s="58">
        <v>0</v>
      </c>
      <c r="T368" s="59">
        <f>$L368*Variables!$C$22/100</f>
        <v>0</v>
      </c>
      <c r="U368" s="59">
        <f>$L368*Variables!$C$23/100</f>
        <v>0</v>
      </c>
      <c r="V368" s="59">
        <f>$L368*Variables!$C$24/100</f>
        <v>0</v>
      </c>
      <c r="W368" s="59">
        <f>$L368*Variables!$C$25/100</f>
        <v>0</v>
      </c>
      <c r="X368" s="62">
        <f>T368*Variables!$E$26*Variables!$C$18+'Cost Calculations'!U368*Variables!$E$27*Variables!$C$18+'Cost Calculations'!V368*Variables!$E$28*Variables!$C$18+W368*Variables!$E$29*Variables!$C$18</f>
        <v>0</v>
      </c>
      <c r="Y368" s="58">
        <f>J368*Variables!$E$30</f>
        <v>299549.88958498329</v>
      </c>
      <c r="Z368" s="1"/>
      <c r="AA368" s="245">
        <f>D368*(IF(D368&lt;Variables!$C$7,Variables!$C$38,IF(D368&gt;Variables!$C$6,Variables!$C$36,Variables!$C$37)))</f>
        <v>349.36365185114852</v>
      </c>
      <c r="AB368" s="64">
        <f t="shared" si="13"/>
        <v>344</v>
      </c>
      <c r="AC368" s="66">
        <f t="shared" si="2"/>
        <v>5</v>
      </c>
      <c r="AD368" s="62">
        <f>AC368*Variables!$E$41</f>
        <v>2688000</v>
      </c>
      <c r="AE368" s="71">
        <f>ROUND((H368/(3.14*Variables!$C$35^2)),0)</f>
        <v>32</v>
      </c>
      <c r="AF368" s="57">
        <f t="shared" si="14"/>
        <v>32</v>
      </c>
      <c r="AG368" s="57">
        <f t="shared" si="3"/>
        <v>0</v>
      </c>
      <c r="AH368" s="58">
        <f>AG368*Variables!$E$42*Variables!$C$18</f>
        <v>0</v>
      </c>
      <c r="AI368" s="73">
        <f t="shared" si="4"/>
        <v>3</v>
      </c>
      <c r="AJ368" s="66">
        <f t="shared" si="15"/>
        <v>3</v>
      </c>
      <c r="AK368" s="66">
        <f t="shared" si="5"/>
        <v>0</v>
      </c>
      <c r="AL368" s="62">
        <f>IF(AK368*Variables!$E$43*Variables!$C$18&lt;0,0,AK368*Variables!$E$43*Variables!$C$18)</f>
        <v>0</v>
      </c>
      <c r="AM368" s="58">
        <f>AA368*Variables!$E$39*Variables!$C$18</f>
        <v>100984372.20604984</v>
      </c>
      <c r="AN368" s="1"/>
      <c r="AO368" s="76">
        <f t="shared" si="16"/>
        <v>0.67714285714285716</v>
      </c>
      <c r="AP368" s="76">
        <f t="shared" si="6"/>
        <v>110.93064510286872</v>
      </c>
      <c r="AQ368" s="75">
        <f>VLOOKUP(B368,'Household Information'!$B$2:$E$48,4,FALSE)</f>
        <v>27.28</v>
      </c>
      <c r="AR368" s="79">
        <f>IF(12*(AP368-Variables!$C$45*AQ368*F368)*(G368/5)&lt;0,0,12*(AP368-Variables!$C$45*AQ368*F368)*(G368/5))</f>
        <v>25529100.040812097</v>
      </c>
      <c r="AS368" s="1"/>
      <c r="AT368" s="62">
        <v>0</v>
      </c>
      <c r="AU368" s="1"/>
    </row>
    <row r="369" spans="1:47" ht="14.25" customHeight="1">
      <c r="A369" s="1">
        <v>37</v>
      </c>
      <c r="B369" s="3" t="s">
        <v>230</v>
      </c>
      <c r="C369" s="1">
        <v>2026</v>
      </c>
      <c r="D369" s="13">
        <f>VLOOKUP(B369,Population!$B$1:$O$48,10,FALSE)</f>
        <v>135699.54996644371</v>
      </c>
      <c r="E369" s="13" t="str">
        <f t="shared" si="21"/>
        <v>Medium</v>
      </c>
      <c r="F369" s="54">
        <f>VLOOKUP(B369,'Household Information'!$B$1:$E$48,2,FALSE)</f>
        <v>2.4882673717260184</v>
      </c>
      <c r="G369" s="54">
        <f t="shared" si="0"/>
        <v>54535.759102251934</v>
      </c>
      <c r="H369" s="55">
        <f>IF(D369&gt;Variables!$C$6,H322,H322*(1+Variables!$C$9))</f>
        <v>33.664331695979989</v>
      </c>
      <c r="I369" s="1"/>
      <c r="J369" s="13">
        <f>H369*Variables!$C$21</f>
        <v>605.95797052763976</v>
      </c>
      <c r="K369" s="13">
        <f t="shared" si="12"/>
        <v>605.95797052763976</v>
      </c>
      <c r="L369" s="54">
        <f t="shared" si="1"/>
        <v>0</v>
      </c>
      <c r="M369" s="56"/>
      <c r="N369" s="57"/>
      <c r="O369" s="57"/>
      <c r="P369" s="57"/>
      <c r="Q369" s="57"/>
      <c r="R369" s="57"/>
      <c r="S369" s="58">
        <v>0</v>
      </c>
      <c r="T369" s="59">
        <f>$L369*Variables!$C$22/100</f>
        <v>0</v>
      </c>
      <c r="U369" s="59">
        <f>$L369*Variables!$C$23/100</f>
        <v>0</v>
      </c>
      <c r="V369" s="59">
        <f>$L369*Variables!$C$24/100</f>
        <v>0</v>
      </c>
      <c r="W369" s="59">
        <f>$L369*Variables!$C$25/100</f>
        <v>0</v>
      </c>
      <c r="X369" s="62">
        <f>T369*Variables!$E$26*Variables!$C$18+'Cost Calculations'!U369*Variables!$E$27*Variables!$C$18+'Cost Calculations'!V369*Variables!$E$28*Variables!$C$18+W369*Variables!$E$29*Variables!$C$18</f>
        <v>0</v>
      </c>
      <c r="Y369" s="58">
        <f>J369*Variables!$E$30</f>
        <v>396902.47069560405</v>
      </c>
      <c r="Z369" s="1"/>
      <c r="AA369" s="245">
        <f>D369*(IF(D369&lt;Variables!$C$7,Variables!$C$38,IF(D369&gt;Variables!$C$6,Variables!$C$36,Variables!$C$37)))</f>
        <v>162.83945995973244</v>
      </c>
      <c r="AB369" s="64">
        <f t="shared" si="13"/>
        <v>160</v>
      </c>
      <c r="AC369" s="66">
        <f t="shared" si="2"/>
        <v>3</v>
      </c>
      <c r="AD369" s="62">
        <f>AC369*Variables!$E$41</f>
        <v>1612800</v>
      </c>
      <c r="AE369" s="71">
        <f>ROUND((H369/(3.14*Variables!$C$35^2)),0)</f>
        <v>43</v>
      </c>
      <c r="AF369" s="57">
        <f t="shared" si="14"/>
        <v>43</v>
      </c>
      <c r="AG369" s="57">
        <f t="shared" si="3"/>
        <v>0</v>
      </c>
      <c r="AH369" s="58">
        <f>AG369*Variables!$E$42*Variables!$C$18</f>
        <v>0</v>
      </c>
      <c r="AI369" s="73">
        <f t="shared" si="4"/>
        <v>1</v>
      </c>
      <c r="AJ369" s="66">
        <f t="shared" si="15"/>
        <v>1</v>
      </c>
      <c r="AK369" s="66">
        <f t="shared" si="5"/>
        <v>0</v>
      </c>
      <c r="AL369" s="62">
        <f>IF(AK369*Variables!$E$43*Variables!$C$18&lt;0,0,AK369*Variables!$E$43*Variables!$C$18)</f>
        <v>0</v>
      </c>
      <c r="AM369" s="58">
        <f>AA369*Variables!$E$39*Variables!$C$18</f>
        <v>47069122.810211748</v>
      </c>
      <c r="AN369" s="1"/>
      <c r="AO369" s="76">
        <f t="shared" si="16"/>
        <v>0.67714285714285716</v>
      </c>
      <c r="AP369" s="76">
        <f t="shared" si="6"/>
        <v>101.09474864555423</v>
      </c>
      <c r="AQ369" s="75">
        <f>VLOOKUP(B369,'Household Information'!$B$2:$E$48,4,FALSE)</f>
        <v>40.760000000000005</v>
      </c>
      <c r="AR369" s="79">
        <f>IF(12*(AP369-Variables!$C$45*AQ369*F369)*(G369/5)&lt;0,0,12*(AP369-Variables!$C$45*AQ369*F369)*(G369/5))</f>
        <v>11240668.344340364</v>
      </c>
      <c r="AS369" s="1"/>
      <c r="AT369" s="62">
        <v>0</v>
      </c>
      <c r="AU369" s="1"/>
    </row>
    <row r="370" spans="1:47" ht="14.25" customHeight="1">
      <c r="A370" s="1">
        <v>38</v>
      </c>
      <c r="B370" s="3" t="s">
        <v>231</v>
      </c>
      <c r="C370" s="1">
        <v>2026</v>
      </c>
      <c r="D370" s="13">
        <f>VLOOKUP(B370,Population!$B$1:$O$48,10,FALSE)</f>
        <v>40053.57040898269</v>
      </c>
      <c r="E370" s="13" t="str">
        <f t="shared" si="21"/>
        <v>Small</v>
      </c>
      <c r="F370" s="54">
        <f>VLOOKUP(B370,'Household Information'!$B$1:$E$48,2,FALSE)</f>
        <v>3.5815854318168161</v>
      </c>
      <c r="G370" s="54">
        <f t="shared" si="0"/>
        <v>11183.195590748446</v>
      </c>
      <c r="H370" s="55">
        <f>IF(D370&gt;Variables!$C$6,H323,H323*(1+Variables!$C$9))</f>
        <v>4.5186088793801282</v>
      </c>
      <c r="I370" s="1"/>
      <c r="J370" s="13">
        <f>H370*Variables!$C$21</f>
        <v>81.334959828842301</v>
      </c>
      <c r="K370" s="13">
        <f t="shared" si="12"/>
        <v>78.736650366739894</v>
      </c>
      <c r="L370" s="54">
        <f t="shared" si="1"/>
        <v>2.5983094621024065</v>
      </c>
      <c r="M370" s="56"/>
      <c r="N370" s="57"/>
      <c r="O370" s="57"/>
      <c r="P370" s="57"/>
      <c r="Q370" s="57"/>
      <c r="R370" s="57"/>
      <c r="S370" s="58">
        <v>0</v>
      </c>
      <c r="T370" s="59">
        <f>$L370*Variables!$C$22/100</f>
        <v>0.14108467667524377</v>
      </c>
      <c r="U370" s="59">
        <f>$L370*Variables!$C$23/100</f>
        <v>0.24689818418167664</v>
      </c>
      <c r="V370" s="59">
        <f>$L370*Variables!$C$24/100</f>
        <v>0.25865524057128031</v>
      </c>
      <c r="W370" s="59">
        <f>$L370*Variables!$C$25/100</f>
        <v>1.881129022336584</v>
      </c>
      <c r="X370" s="62">
        <f>T370*Variables!$E$26*Variables!$C$18+'Cost Calculations'!U370*Variables!$E$27*Variables!$C$18+'Cost Calculations'!V370*Variables!$E$28*Variables!$C$18+W370*Variables!$E$29*Variables!$C$18</f>
        <v>2953571.0594514622</v>
      </c>
      <c r="Y370" s="58">
        <f>J370*Variables!$E$30</f>
        <v>53274.398687891706</v>
      </c>
      <c r="Z370" s="1"/>
      <c r="AA370" s="245">
        <f>D370*(IF(D370&lt;Variables!$C$7,Variables!$C$38,IF(D370&gt;Variables!$C$6,Variables!$C$36,Variables!$C$37)))</f>
        <v>20.026785204491347</v>
      </c>
      <c r="AB370" s="64">
        <f t="shared" si="13"/>
        <v>20</v>
      </c>
      <c r="AC370" s="66">
        <f t="shared" si="2"/>
        <v>0</v>
      </c>
      <c r="AD370" s="62">
        <f>AC370*Variables!$E$41</f>
        <v>0</v>
      </c>
      <c r="AE370" s="71">
        <f>ROUND((H370/(3.14*Variables!$C$35^2)),0)</f>
        <v>6</v>
      </c>
      <c r="AF370" s="57">
        <f t="shared" si="14"/>
        <v>6</v>
      </c>
      <c r="AG370" s="57">
        <f t="shared" si="3"/>
        <v>0</v>
      </c>
      <c r="AH370" s="58">
        <f>AG370*Variables!$E$42*Variables!$C$18</f>
        <v>0</v>
      </c>
      <c r="AI370" s="73">
        <f t="shared" si="4"/>
        <v>0</v>
      </c>
      <c r="AJ370" s="66">
        <f t="shared" si="15"/>
        <v>0</v>
      </c>
      <c r="AK370" s="66">
        <f t="shared" si="5"/>
        <v>0</v>
      </c>
      <c r="AL370" s="62">
        <f>IF(AK370*Variables!$E$43*Variables!$C$18&lt;0,0,AK370*Variables!$E$43*Variables!$C$18)</f>
        <v>0</v>
      </c>
      <c r="AM370" s="58">
        <f>AA370*Variables!$E$39*Variables!$C$18</f>
        <v>5788788.6174336085</v>
      </c>
      <c r="AN370" s="1"/>
      <c r="AO370" s="76">
        <f t="shared" si="16"/>
        <v>0.67714285714285716</v>
      </c>
      <c r="AP370" s="76">
        <f t="shared" si="6"/>
        <v>145.51469954410035</v>
      </c>
      <c r="AQ370" s="75">
        <f>VLOOKUP(B370,'Household Information'!$B$2:$E$48,4,FALSE)</f>
        <v>40.760000000000005</v>
      </c>
      <c r="AR370" s="79">
        <f>IF(12*(AP370-Variables!$C$45*AQ370*F370)*(G370/5)&lt;0,0,12*(AP370-Variables!$C$45*AQ370*F370)*(G370/5))</f>
        <v>3317836.3604403548</v>
      </c>
      <c r="AS370" s="1"/>
      <c r="AT370" s="62">
        <v>0</v>
      </c>
      <c r="AU370" s="1"/>
    </row>
    <row r="371" spans="1:47" ht="14.25" customHeight="1">
      <c r="A371" s="1">
        <v>39</v>
      </c>
      <c r="B371" s="3" t="s">
        <v>232</v>
      </c>
      <c r="C371" s="1">
        <v>2026</v>
      </c>
      <c r="D371" s="13">
        <f>VLOOKUP(B371,Population!$B$1:$O$48,10,FALSE)</f>
        <v>75607.929427103722</v>
      </c>
      <c r="E371" s="13" t="str">
        <f t="shared" si="21"/>
        <v>Small</v>
      </c>
      <c r="F371" s="54">
        <f>VLOOKUP(B371,'Household Information'!$B$1:$E$48,2,FALSE)</f>
        <v>3.4614749871067563</v>
      </c>
      <c r="G371" s="54">
        <f t="shared" si="0"/>
        <v>21842.691254082973</v>
      </c>
      <c r="H371" s="55">
        <f>IF(D371&gt;Variables!$C$6,H324,H324*(1+Variables!$C$9))</f>
        <v>7.3678428116559305</v>
      </c>
      <c r="I371" s="1"/>
      <c r="J371" s="13">
        <f>H371*Variables!$C$21</f>
        <v>132.62117060980674</v>
      </c>
      <c r="K371" s="13">
        <f t="shared" si="12"/>
        <v>128.38448268132311</v>
      </c>
      <c r="L371" s="54">
        <f t="shared" si="1"/>
        <v>4.236687928483633</v>
      </c>
      <c r="M371" s="56"/>
      <c r="N371" s="57"/>
      <c r="O371" s="57"/>
      <c r="P371" s="57"/>
      <c r="Q371" s="57"/>
      <c r="R371" s="57"/>
      <c r="S371" s="58">
        <v>0</v>
      </c>
      <c r="T371" s="59">
        <f>$L371*Variables!$C$22/100</f>
        <v>0.23004640335657733</v>
      </c>
      <c r="U371" s="59">
        <f>$L371*Variables!$C$23/100</f>
        <v>0.40258120587401036</v>
      </c>
      <c r="V371" s="59">
        <f>$L371*Variables!$C$24/100</f>
        <v>0.42175173948705846</v>
      </c>
      <c r="W371" s="59">
        <f>$L371*Variables!$C$25/100</f>
        <v>3.0672853780876981</v>
      </c>
      <c r="X371" s="62">
        <f>T371*Variables!$E$26*Variables!$C$18+'Cost Calculations'!U371*Variables!$E$27*Variables!$C$18+'Cost Calculations'!V371*Variables!$E$28*Variables!$C$18+W371*Variables!$E$29*Variables!$C$18</f>
        <v>4815961.6997166751</v>
      </c>
      <c r="Y371" s="58">
        <f>J371*Variables!$E$30</f>
        <v>86866.866749423411</v>
      </c>
      <c r="Z371" s="1"/>
      <c r="AA371" s="245">
        <f>D371*(IF(D371&lt;Variables!$C$7,Variables!$C$38,IF(D371&gt;Variables!$C$6,Variables!$C$36,Variables!$C$37)))</f>
        <v>60.486343541682977</v>
      </c>
      <c r="AB371" s="64">
        <f t="shared" si="13"/>
        <v>60</v>
      </c>
      <c r="AC371" s="66">
        <f t="shared" si="2"/>
        <v>0</v>
      </c>
      <c r="AD371" s="62">
        <f>AC371*Variables!$E$41</f>
        <v>0</v>
      </c>
      <c r="AE371" s="71">
        <f>ROUND((H371/(3.14*Variables!$C$35^2)),0)</f>
        <v>9</v>
      </c>
      <c r="AF371" s="57">
        <f t="shared" si="14"/>
        <v>9</v>
      </c>
      <c r="AG371" s="57">
        <f t="shared" si="3"/>
        <v>0</v>
      </c>
      <c r="AH371" s="58">
        <f>AG371*Variables!$E$42*Variables!$C$18</f>
        <v>0</v>
      </c>
      <c r="AI371" s="73">
        <f t="shared" si="4"/>
        <v>1</v>
      </c>
      <c r="AJ371" s="66">
        <f t="shared" si="15"/>
        <v>3</v>
      </c>
      <c r="AK371" s="66">
        <f t="shared" si="5"/>
        <v>0</v>
      </c>
      <c r="AL371" s="62">
        <f>IF(AK371*Variables!$E$43*Variables!$C$18&lt;0,0,AK371*Variables!$E$43*Variables!$C$18)</f>
        <v>0</v>
      </c>
      <c r="AM371" s="58">
        <f>AA371*Variables!$E$39*Variables!$C$18</f>
        <v>17483717.602650862</v>
      </c>
      <c r="AN371" s="1"/>
      <c r="AO371" s="76">
        <f t="shared" si="16"/>
        <v>0.67714285714285716</v>
      </c>
      <c r="AP371" s="76">
        <f t="shared" si="6"/>
        <v>140.63478376188021</v>
      </c>
      <c r="AQ371" s="75">
        <f>VLOOKUP(B371,'Household Information'!$B$2:$E$48,4,FALSE)</f>
        <v>40.760000000000005</v>
      </c>
      <c r="AR371" s="79">
        <f>IF(12*(AP371-Variables!$C$45*AQ371*F371)*(G371/5)&lt;0,0,12*(AP371-Variables!$C$45*AQ371*F371)*(G371/5))</f>
        <v>6262980.6738675823</v>
      </c>
      <c r="AS371" s="1"/>
      <c r="AT371" s="62">
        <v>0</v>
      </c>
      <c r="AU371" s="1"/>
    </row>
    <row r="372" spans="1:47" ht="14.25" customHeight="1">
      <c r="A372" s="1">
        <v>40</v>
      </c>
      <c r="B372" s="3" t="s">
        <v>233</v>
      </c>
      <c r="C372" s="1">
        <v>2026</v>
      </c>
      <c r="D372" s="13">
        <f>VLOOKUP(B372,Population!$B$1:$O$48,10,FALSE)</f>
        <v>3420.031492903348</v>
      </c>
      <c r="E372" s="13" t="str">
        <f t="shared" si="21"/>
        <v>Small</v>
      </c>
      <c r="F372" s="54">
        <f>VLOOKUP(B372,'Household Information'!$B$1:$E$48,2,FALSE)</f>
        <v>3.9153259949195598</v>
      </c>
      <c r="G372" s="54">
        <f t="shared" si="0"/>
        <v>873.49852792362753</v>
      </c>
      <c r="H372" s="55">
        <f>IF(D372&gt;Variables!$C$6,H325,H325*(1+Variables!$C$9))</f>
        <v>0.25103382663222934</v>
      </c>
      <c r="I372" s="1"/>
      <c r="J372" s="13">
        <f>H372*Variables!$C$21</f>
        <v>4.5186088793801282</v>
      </c>
      <c r="K372" s="13">
        <f t="shared" si="12"/>
        <v>21.97</v>
      </c>
      <c r="L372" s="54">
        <f t="shared" si="1"/>
        <v>0</v>
      </c>
      <c r="M372" s="56"/>
      <c r="N372" s="57"/>
      <c r="O372" s="57"/>
      <c r="P372" s="57"/>
      <c r="Q372" s="57"/>
      <c r="R372" s="57"/>
      <c r="S372" s="58">
        <v>0</v>
      </c>
      <c r="T372" s="59">
        <f>$L372*Variables!$C$22/100</f>
        <v>0</v>
      </c>
      <c r="U372" s="59">
        <f>$L372*Variables!$C$23/100</f>
        <v>0</v>
      </c>
      <c r="V372" s="59">
        <f>$L372*Variables!$C$24/100</f>
        <v>0</v>
      </c>
      <c r="W372" s="59">
        <f>$L372*Variables!$C$25/100</f>
        <v>0</v>
      </c>
      <c r="X372" s="62">
        <f>T372*Variables!$E$26*Variables!$C$18+'Cost Calculations'!U372*Variables!$E$27*Variables!$C$18+'Cost Calculations'!V372*Variables!$E$28*Variables!$C$18+W372*Variables!$E$29*Variables!$C$18</f>
        <v>0</v>
      </c>
      <c r="Y372" s="58">
        <f>J372*Variables!$E$30</f>
        <v>2959.688815993984</v>
      </c>
      <c r="Z372" s="1"/>
      <c r="AA372" s="245">
        <f>D372*(IF(D372&lt;Variables!$C$7,Variables!$C$38,IF(D372&gt;Variables!$C$6,Variables!$C$36,Variables!$C$37)))</f>
        <v>1.7100157464516741</v>
      </c>
      <c r="AB372" s="64">
        <f t="shared" si="13"/>
        <v>2</v>
      </c>
      <c r="AC372" s="66">
        <f t="shared" si="2"/>
        <v>0</v>
      </c>
      <c r="AD372" s="62">
        <f>AC372*Variables!$E$41</f>
        <v>0</v>
      </c>
      <c r="AE372" s="71">
        <f>ROUND((H372/(3.14*Variables!$C$35^2)),0)</f>
        <v>0</v>
      </c>
      <c r="AF372" s="57">
        <f t="shared" si="14"/>
        <v>0</v>
      </c>
      <c r="AG372" s="57">
        <f t="shared" si="3"/>
        <v>0</v>
      </c>
      <c r="AH372" s="58">
        <f>AG372*Variables!$E$42*Variables!$C$18</f>
        <v>0</v>
      </c>
      <c r="AI372" s="73">
        <f t="shared" si="4"/>
        <v>0</v>
      </c>
      <c r="AJ372" s="66">
        <f t="shared" si="15"/>
        <v>0</v>
      </c>
      <c r="AK372" s="66">
        <f t="shared" si="5"/>
        <v>0</v>
      </c>
      <c r="AL372" s="62">
        <f>IF(AK372*Variables!$E$43*Variables!$C$18&lt;0,0,AK372*Variables!$E$43*Variables!$C$18)</f>
        <v>0</v>
      </c>
      <c r="AM372" s="58">
        <f>AA372*Variables!$E$39*Variables!$C$18</f>
        <v>494284.00952099316</v>
      </c>
      <c r="AN372" s="1"/>
      <c r="AO372" s="76">
        <f t="shared" si="16"/>
        <v>0.67714285714285716</v>
      </c>
      <c r="AP372" s="76">
        <f t="shared" si="6"/>
        <v>159.07410185073181</v>
      </c>
      <c r="AQ372" s="75">
        <f>VLOOKUP(B372,'Household Information'!$B$2:$E$48,4,FALSE)</f>
        <v>40.760000000000005</v>
      </c>
      <c r="AR372" s="79">
        <f>IF(12*(AP372-Variables!$C$45*AQ372*F372)*(G372/5)&lt;0,0,12*(AP372-Variables!$C$45*AQ372*F372)*(G372/5))</f>
        <v>283298.21099946328</v>
      </c>
      <c r="AS372" s="1"/>
      <c r="AT372" s="62">
        <v>0</v>
      </c>
      <c r="AU372" s="1"/>
    </row>
    <row r="373" spans="1:47" ht="14.25" customHeight="1">
      <c r="A373" s="1">
        <v>41</v>
      </c>
      <c r="B373" s="3" t="s">
        <v>234</v>
      </c>
      <c r="C373" s="1">
        <v>2026</v>
      </c>
      <c r="D373" s="13">
        <f>VLOOKUP(B373,Population!$B$1:$O$48,10,FALSE)</f>
        <v>58939.218623252993</v>
      </c>
      <c r="E373" s="13" t="str">
        <f t="shared" si="21"/>
        <v>Small</v>
      </c>
      <c r="F373" s="54">
        <f>VLOOKUP(B373,'Household Information'!$B$1:$E$48,2,FALSE)</f>
        <v>2.524</v>
      </c>
      <c r="G373" s="54">
        <f t="shared" si="0"/>
        <v>23351.512925219093</v>
      </c>
      <c r="H373" s="55">
        <f>IF(D373&gt;Variables!$C$6,H326,H326*(1+Variables!$C$9))</f>
        <v>5.0206765326445861</v>
      </c>
      <c r="I373" s="1"/>
      <c r="J373" s="13">
        <f>H373*Variables!$C$21</f>
        <v>90.37217758760255</v>
      </c>
      <c r="K373" s="13">
        <f t="shared" si="12"/>
        <v>105</v>
      </c>
      <c r="L373" s="54">
        <f t="shared" si="1"/>
        <v>0</v>
      </c>
      <c r="M373" s="56"/>
      <c r="N373" s="57"/>
      <c r="O373" s="57"/>
      <c r="P373" s="57"/>
      <c r="Q373" s="57"/>
      <c r="R373" s="57"/>
      <c r="S373" s="58">
        <v>0</v>
      </c>
      <c r="T373" s="59">
        <f>$L373*Variables!$C$22/100</f>
        <v>0</v>
      </c>
      <c r="U373" s="59">
        <f>$L373*Variables!$C$23/100</f>
        <v>0</v>
      </c>
      <c r="V373" s="59">
        <f>$L373*Variables!$C$24/100</f>
        <v>0</v>
      </c>
      <c r="W373" s="59">
        <f>$L373*Variables!$C$25/100</f>
        <v>0</v>
      </c>
      <c r="X373" s="62">
        <f>T373*Variables!$E$26*Variables!$C$18+'Cost Calculations'!U373*Variables!$E$27*Variables!$C$18+'Cost Calculations'!V373*Variables!$E$28*Variables!$C$18+W373*Variables!$E$29*Variables!$C$18</f>
        <v>0</v>
      </c>
      <c r="Y373" s="58">
        <f>J373*Variables!$E$30</f>
        <v>59193.776319879667</v>
      </c>
      <c r="Z373" s="1"/>
      <c r="AA373" s="245">
        <f>D373*(IF(D373&lt;Variables!$C$7,Variables!$C$38,IF(D373&gt;Variables!$C$6,Variables!$C$36,Variables!$C$37)))</f>
        <v>47.151374898602398</v>
      </c>
      <c r="AB373" s="64">
        <f t="shared" si="13"/>
        <v>46</v>
      </c>
      <c r="AC373" s="66">
        <f t="shared" si="2"/>
        <v>1</v>
      </c>
      <c r="AD373" s="62">
        <f>AC373*Variables!$E$41</f>
        <v>537600</v>
      </c>
      <c r="AE373" s="71">
        <f>ROUND((H373/(3.14*Variables!$C$35^2)),0)</f>
        <v>6</v>
      </c>
      <c r="AF373" s="57">
        <f t="shared" si="14"/>
        <v>6</v>
      </c>
      <c r="AG373" s="57">
        <f t="shared" si="3"/>
        <v>0</v>
      </c>
      <c r="AH373" s="58">
        <f>AG373*Variables!$E$42*Variables!$C$18</f>
        <v>0</v>
      </c>
      <c r="AI373" s="73">
        <f t="shared" si="4"/>
        <v>0</v>
      </c>
      <c r="AJ373" s="66">
        <f t="shared" si="15"/>
        <v>2</v>
      </c>
      <c r="AK373" s="66">
        <f t="shared" si="5"/>
        <v>0</v>
      </c>
      <c r="AL373" s="62">
        <f>IF(AK373*Variables!$E$43*Variables!$C$18&lt;0,0,AK373*Variables!$E$43*Variables!$C$18)</f>
        <v>0</v>
      </c>
      <c r="AM373" s="58">
        <f>AA373*Variables!$E$39*Variables!$C$18</f>
        <v>13629214.051197832</v>
      </c>
      <c r="AN373" s="1"/>
      <c r="AO373" s="76">
        <f t="shared" si="16"/>
        <v>0.67714285714285716</v>
      </c>
      <c r="AP373" s="76">
        <f t="shared" si="6"/>
        <v>102.54651428571428</v>
      </c>
      <c r="AQ373" s="75">
        <f>VLOOKUP(B373,'Household Information'!$B$2:$E$48,4,FALSE)</f>
        <v>40.760000000000005</v>
      </c>
      <c r="AR373" s="79">
        <f>IF(12*(AP373-Variables!$C$45*AQ373*F373)*(G373/5)&lt;0,0,12*(AP373-Variables!$C$45*AQ373*F373)*(G373/5))</f>
        <v>4882228.4906794867</v>
      </c>
      <c r="AS373" s="1"/>
      <c r="AT373" s="62">
        <v>0</v>
      </c>
      <c r="AU373" s="1"/>
    </row>
    <row r="374" spans="1:47" ht="14.25" customHeight="1">
      <c r="A374" s="1">
        <v>42</v>
      </c>
      <c r="B374" s="3" t="s">
        <v>235</v>
      </c>
      <c r="C374" s="1">
        <v>2026</v>
      </c>
      <c r="D374" s="13">
        <f>VLOOKUP(B374,Population!$B$1:$O$48,10,FALSE)</f>
        <v>51279.069034404914</v>
      </c>
      <c r="E374" s="13" t="str">
        <f t="shared" si="21"/>
        <v>Small</v>
      </c>
      <c r="F374" s="54">
        <f>VLOOKUP(B374,'Household Information'!$B$1:$E$48,2,FALSE)</f>
        <v>2.7236881469514751</v>
      </c>
      <c r="G374" s="54">
        <f t="shared" si="0"/>
        <v>18827.070599767343</v>
      </c>
      <c r="H374" s="55">
        <f>IF(D374&gt;Variables!$C$6,H327,H327*(1+Variables!$C$9))</f>
        <v>6.4013625791218463</v>
      </c>
      <c r="I374" s="1"/>
      <c r="J374" s="13">
        <f>H374*Variables!$C$21</f>
        <v>115.22452642419323</v>
      </c>
      <c r="K374" s="13">
        <f t="shared" si="12"/>
        <v>111.54358801954815</v>
      </c>
      <c r="L374" s="54">
        <f t="shared" si="1"/>
        <v>3.6809384046450759</v>
      </c>
      <c r="M374" s="56"/>
      <c r="N374" s="57"/>
      <c r="O374" s="57"/>
      <c r="P374" s="57"/>
      <c r="Q374" s="57"/>
      <c r="R374" s="57"/>
      <c r="S374" s="58">
        <v>0</v>
      </c>
      <c r="T374" s="59">
        <f>$L374*Variables!$C$22/100</f>
        <v>0.19986995862326201</v>
      </c>
      <c r="U374" s="59">
        <f>$L374*Variables!$C$23/100</f>
        <v>0.34977242759070853</v>
      </c>
      <c r="V374" s="59">
        <f>$L374*Variables!$C$24/100</f>
        <v>0.3664282574759804</v>
      </c>
      <c r="W374" s="59">
        <f>$L374*Variables!$C$25/100</f>
        <v>2.6649327816434938</v>
      </c>
      <c r="X374" s="62">
        <f>T374*Variables!$E$26*Variables!$C$18+'Cost Calculations'!U374*Variables!$E$27*Variables!$C$18+'Cost Calculations'!V374*Variables!$E$28*Variables!$C$18+W374*Variables!$E$29*Variables!$C$18</f>
        <v>4184225.6675562384</v>
      </c>
      <c r="Y374" s="58">
        <f>J374*Variables!$E$30</f>
        <v>75472.06480784656</v>
      </c>
      <c r="Z374" s="1"/>
      <c r="AA374" s="245">
        <f>D374*(IF(D374&lt;Variables!$C$7,Variables!$C$38,IF(D374&gt;Variables!$C$6,Variables!$C$36,Variables!$C$37)))</f>
        <v>41.023255227523933</v>
      </c>
      <c r="AB374" s="64">
        <f t="shared" si="13"/>
        <v>40</v>
      </c>
      <c r="AC374" s="66">
        <f t="shared" si="2"/>
        <v>1</v>
      </c>
      <c r="AD374" s="62">
        <f>AC374*Variables!$E$41</f>
        <v>537600</v>
      </c>
      <c r="AE374" s="71">
        <f>ROUND((H374/(3.14*Variables!$C$35^2)),0)</f>
        <v>8</v>
      </c>
      <c r="AF374" s="57">
        <f t="shared" si="14"/>
        <v>8</v>
      </c>
      <c r="AG374" s="57">
        <f t="shared" si="3"/>
        <v>0</v>
      </c>
      <c r="AH374" s="58">
        <f>AG374*Variables!$E$42*Variables!$C$18</f>
        <v>0</v>
      </c>
      <c r="AI374" s="73">
        <f t="shared" si="4"/>
        <v>0</v>
      </c>
      <c r="AJ374" s="66">
        <f t="shared" si="15"/>
        <v>0</v>
      </c>
      <c r="AK374" s="66">
        <f t="shared" si="5"/>
        <v>0</v>
      </c>
      <c r="AL374" s="62">
        <f>IF(AK374*Variables!$E$43*Variables!$C$18&lt;0,0,AK374*Variables!$E$43*Variables!$C$18)</f>
        <v>0</v>
      </c>
      <c r="AM374" s="58">
        <f>AA374*Variables!$E$39*Variables!$C$18</f>
        <v>11857866.876102837</v>
      </c>
      <c r="AN374" s="1"/>
      <c r="AO374" s="76">
        <f t="shared" si="16"/>
        <v>0.67714285714285716</v>
      </c>
      <c r="AP374" s="76">
        <f t="shared" si="6"/>
        <v>110.65955842757135</v>
      </c>
      <c r="AQ374" s="75">
        <f>VLOOKUP(B374,'Household Information'!$B$2:$E$48,4,FALSE)</f>
        <v>40.760000000000005</v>
      </c>
      <c r="AR374" s="79">
        <f>IF(12*(AP374-Variables!$C$45*AQ374*F374)*(G374/5)&lt;0,0,12*(AP374-Variables!$C$45*AQ374*F374)*(G374/5))</f>
        <v>4247700.2183486717</v>
      </c>
      <c r="AS374" s="1"/>
      <c r="AT374" s="62">
        <v>0</v>
      </c>
      <c r="AU374" s="1"/>
    </row>
    <row r="375" spans="1:47" ht="14.25" customHeight="1">
      <c r="A375" s="1">
        <v>43</v>
      </c>
      <c r="B375" s="3" t="s">
        <v>236</v>
      </c>
      <c r="C375" s="1">
        <v>2026</v>
      </c>
      <c r="D375" s="13">
        <f>VLOOKUP(B375,Population!$B$1:$O$48,10,FALSE)</f>
        <v>27077.502303991365</v>
      </c>
      <c r="E375" s="13" t="str">
        <f t="shared" si="21"/>
        <v>Small</v>
      </c>
      <c r="F375" s="54">
        <f>VLOOKUP(B375,'Household Information'!$B$1:$E$48,2,FALSE)</f>
        <v>3.4114391143911438</v>
      </c>
      <c r="G375" s="54">
        <f t="shared" si="0"/>
        <v>7937.2667651505244</v>
      </c>
      <c r="H375" s="55">
        <f>IF(D375&gt;Variables!$C$6,H328,H328*(1+Variables!$C$9))</f>
        <v>5.4744673185175259</v>
      </c>
      <c r="I375" s="1"/>
      <c r="J375" s="13">
        <f>H375*Variables!$C$21</f>
        <v>98.540411733315466</v>
      </c>
      <c r="K375" s="13">
        <f t="shared" si="12"/>
        <v>95.392460535639373</v>
      </c>
      <c r="L375" s="54">
        <f t="shared" si="1"/>
        <v>3.1479511976760932</v>
      </c>
      <c r="M375" s="56"/>
      <c r="N375" s="57"/>
      <c r="O375" s="57"/>
      <c r="P375" s="57"/>
      <c r="Q375" s="57"/>
      <c r="R375" s="57"/>
      <c r="S375" s="58">
        <v>0</v>
      </c>
      <c r="T375" s="59">
        <f>$L375*Variables!$C$22/100</f>
        <v>0.17092947679689194</v>
      </c>
      <c r="U375" s="59">
        <f>$L375*Variables!$C$23/100</f>
        <v>0.29912658439456086</v>
      </c>
      <c r="V375" s="59">
        <f>$L375*Variables!$C$24/100</f>
        <v>0.31337070746096857</v>
      </c>
      <c r="W375" s="59">
        <f>$L375*Variables!$C$25/100</f>
        <v>2.2790596906252261</v>
      </c>
      <c r="X375" s="62">
        <f>T375*Variables!$E$26*Variables!$C$18+'Cost Calculations'!U375*Variables!$E$27*Variables!$C$18+'Cost Calculations'!V375*Variables!$E$28*Variables!$C$18+W375*Variables!$E$29*Variables!$C$18</f>
        <v>3578364.1978113349</v>
      </c>
      <c r="Y375" s="58">
        <f>J375*Variables!$E$30</f>
        <v>64543.96968532163</v>
      </c>
      <c r="Z375" s="1"/>
      <c r="AA375" s="245">
        <f>D375*(IF(D375&lt;Variables!$C$7,Variables!$C$38,IF(D375&gt;Variables!$C$6,Variables!$C$36,Variables!$C$37)))</f>
        <v>13.538751151995683</v>
      </c>
      <c r="AB375" s="64">
        <f t="shared" si="13"/>
        <v>13</v>
      </c>
      <c r="AC375" s="66">
        <f t="shared" si="2"/>
        <v>1</v>
      </c>
      <c r="AD375" s="62">
        <f>AC375*Variables!$E$41</f>
        <v>537600</v>
      </c>
      <c r="AE375" s="71">
        <f>ROUND((H375/(3.14*Variables!$C$35^2)),0)</f>
        <v>7</v>
      </c>
      <c r="AF375" s="57">
        <f t="shared" si="14"/>
        <v>7</v>
      </c>
      <c r="AG375" s="57">
        <f t="shared" si="3"/>
        <v>0</v>
      </c>
      <c r="AH375" s="58">
        <f>AG375*Variables!$E$42*Variables!$C$18</f>
        <v>0</v>
      </c>
      <c r="AI375" s="73">
        <f t="shared" si="4"/>
        <v>0</v>
      </c>
      <c r="AJ375" s="66">
        <f t="shared" si="15"/>
        <v>0</v>
      </c>
      <c r="AK375" s="66">
        <f t="shared" si="5"/>
        <v>0</v>
      </c>
      <c r="AL375" s="62">
        <f>IF(AK375*Variables!$E$43*Variables!$C$18&lt;0,0,AK375*Variables!$E$43*Variables!$C$18)</f>
        <v>0</v>
      </c>
      <c r="AM375" s="58">
        <f>AA375*Variables!$E$39*Variables!$C$18</f>
        <v>3913407.3573307358</v>
      </c>
      <c r="AN375" s="1"/>
      <c r="AO375" s="76">
        <f t="shared" si="16"/>
        <v>0.67714285714285716</v>
      </c>
      <c r="AP375" s="76">
        <f t="shared" si="6"/>
        <v>138.60189773326303</v>
      </c>
      <c r="AQ375" s="75">
        <f>VLOOKUP(B375,'Household Information'!$B$2:$E$48,4,FALSE)</f>
        <v>40.760000000000005</v>
      </c>
      <c r="AR375" s="79">
        <f>IF(12*(AP375-Variables!$C$45*AQ375*F375)*(G375/5)&lt;0,0,12*(AP375-Variables!$C$45*AQ375*F375)*(G375/5))</f>
        <v>2242964.1297082012</v>
      </c>
      <c r="AS375" s="1"/>
      <c r="AT375" s="62">
        <v>0</v>
      </c>
      <c r="AU375" s="1"/>
    </row>
    <row r="376" spans="1:47" ht="14.25" customHeight="1">
      <c r="A376" s="1">
        <v>44</v>
      </c>
      <c r="B376" s="3" t="s">
        <v>241</v>
      </c>
      <c r="C376" s="1">
        <v>2026</v>
      </c>
      <c r="D376" s="13">
        <f>VLOOKUP(B376,Population!$B$1:$O$48,10,FALSE)</f>
        <v>104729.08412640593</v>
      </c>
      <c r="E376" s="13" t="str">
        <f t="shared" si="21"/>
        <v>Medium</v>
      </c>
      <c r="F376" s="54">
        <f>VLOOKUP(B376,'Household Information'!$B$1:$E$48,2,FALSE)</f>
        <v>2.919</v>
      </c>
      <c r="G376" s="54">
        <f t="shared" si="0"/>
        <v>35878.41182816236</v>
      </c>
      <c r="H376" s="55">
        <f>IF(D376&gt;Variables!$C$6,H329,H329*(1+Variables!$C$9))</f>
        <v>11.723279703725108</v>
      </c>
      <c r="I376" s="1"/>
      <c r="J376" s="13">
        <f>H376*Variables!$C$21</f>
        <v>211.01903466705195</v>
      </c>
      <c r="K376" s="13">
        <f t="shared" si="12"/>
        <v>211.01903466705195</v>
      </c>
      <c r="L376" s="54">
        <f t="shared" si="1"/>
        <v>0</v>
      </c>
      <c r="M376" s="56"/>
      <c r="N376" s="57"/>
      <c r="O376" s="57"/>
      <c r="P376" s="57"/>
      <c r="Q376" s="57"/>
      <c r="R376" s="57"/>
      <c r="S376" s="58">
        <v>0</v>
      </c>
      <c r="T376" s="59">
        <f>$L376*Variables!$C$22/100</f>
        <v>0</v>
      </c>
      <c r="U376" s="59">
        <f>$L376*Variables!$C$23/100</f>
        <v>0</v>
      </c>
      <c r="V376" s="59">
        <f>$L376*Variables!$C$24/100</f>
        <v>0</v>
      </c>
      <c r="W376" s="59">
        <f>$L376*Variables!$C$25/100</f>
        <v>0</v>
      </c>
      <c r="X376" s="62">
        <f>T376*Variables!$E$26*Variables!$C$18+'Cost Calculations'!U376*Variables!$E$27*Variables!$C$18+'Cost Calculations'!V376*Variables!$E$28*Variables!$C$18+W376*Variables!$E$29*Variables!$C$18</f>
        <v>0</v>
      </c>
      <c r="Y376" s="58">
        <f>J376*Variables!$E$30</f>
        <v>138217.46770691904</v>
      </c>
      <c r="Z376" s="1"/>
      <c r="AA376" s="245">
        <f>D376*(IF(D376&lt;Variables!$C$7,Variables!$C$38,IF(D376&gt;Variables!$C$6,Variables!$C$36,Variables!$C$37)))</f>
        <v>125.67490095168711</v>
      </c>
      <c r="AB376" s="64">
        <f t="shared" si="13"/>
        <v>124</v>
      </c>
      <c r="AC376" s="66">
        <f t="shared" si="2"/>
        <v>2</v>
      </c>
      <c r="AD376" s="62">
        <f>AC376*Variables!$E$41</f>
        <v>1075200</v>
      </c>
      <c r="AE376" s="71">
        <f>ROUND((H376/(3.14*Variables!$C$35^2)),0)</f>
        <v>15</v>
      </c>
      <c r="AF376" s="57">
        <f t="shared" si="14"/>
        <v>15</v>
      </c>
      <c r="AG376" s="57">
        <f t="shared" si="3"/>
        <v>0</v>
      </c>
      <c r="AH376" s="58">
        <f>AG376*Variables!$E$42*Variables!$C$18</f>
        <v>0</v>
      </c>
      <c r="AI376" s="73">
        <f t="shared" si="4"/>
        <v>1</v>
      </c>
      <c r="AJ376" s="66">
        <f t="shared" si="15"/>
        <v>1</v>
      </c>
      <c r="AK376" s="66">
        <f t="shared" si="5"/>
        <v>0</v>
      </c>
      <c r="AL376" s="62">
        <f>IF(AK376*Variables!$E$43*Variables!$C$18&lt;0,0,AK376*Variables!$E$43*Variables!$C$18)</f>
        <v>0</v>
      </c>
      <c r="AM376" s="58">
        <f>AA376*Variables!$E$39*Variables!$C$18</f>
        <v>36326621.007702574</v>
      </c>
      <c r="AN376" s="1"/>
      <c r="AO376" s="76">
        <f t="shared" si="16"/>
        <v>0.67714285714285716</v>
      </c>
      <c r="AP376" s="76">
        <f t="shared" si="6"/>
        <v>118.59479999999999</v>
      </c>
      <c r="AQ376" s="75">
        <f>VLOOKUP(B376,'Household Information'!$B$2:$E$48,4,FALSE)</f>
        <v>40.760000000000005</v>
      </c>
      <c r="AR376" s="79">
        <f>IF(12*(AP376-Variables!$C$45*AQ376*F376)*(G376/5)&lt;0,0,12*(AP376-Variables!$C$45*AQ376*F376)*(G376/5))</f>
        <v>8675230.6913512889</v>
      </c>
      <c r="AS376" s="1"/>
      <c r="AT376" s="62">
        <v>0</v>
      </c>
      <c r="AU376" s="1"/>
    </row>
    <row r="377" spans="1:47" ht="14.25" customHeight="1">
      <c r="A377" s="1">
        <v>45</v>
      </c>
      <c r="B377" s="3" t="s">
        <v>242</v>
      </c>
      <c r="C377" s="1">
        <v>2026</v>
      </c>
      <c r="D377" s="13">
        <f>VLOOKUP(B377,Population!$B$1:$O$48,10,FALSE)</f>
        <v>26603.248925034739</v>
      </c>
      <c r="E377" s="13" t="str">
        <f t="shared" si="21"/>
        <v>Small</v>
      </c>
      <c r="F377" s="54">
        <f>VLOOKUP(B377,'Household Information'!$B$1:$E$48,2,FALSE)</f>
        <v>2.377290114757399</v>
      </c>
      <c r="G377" s="54">
        <f t="shared" si="0"/>
        <v>11190.577355237765</v>
      </c>
      <c r="H377" s="55">
        <f>IF(D377&gt;Variables!$C$6,H330,H330*(1+Variables!$C$9))</f>
        <v>4.7696427060123554</v>
      </c>
      <c r="I377" s="1"/>
      <c r="J377" s="13">
        <f>H377*Variables!$C$21</f>
        <v>85.853568708222397</v>
      </c>
      <c r="K377" s="13">
        <f t="shared" si="12"/>
        <v>83.11090872044764</v>
      </c>
      <c r="L377" s="54">
        <f t="shared" si="1"/>
        <v>2.7426599877747577</v>
      </c>
      <c r="M377" s="56"/>
      <c r="N377" s="57"/>
      <c r="O377" s="57"/>
      <c r="P377" s="57"/>
      <c r="Q377" s="57"/>
      <c r="R377" s="57"/>
      <c r="S377" s="58">
        <v>0</v>
      </c>
      <c r="T377" s="59">
        <f>$L377*Variables!$C$22/100</f>
        <v>0.14892271426831261</v>
      </c>
      <c r="U377" s="59">
        <f>$L377*Variables!$C$23/100</f>
        <v>0.26061474996954709</v>
      </c>
      <c r="V377" s="59">
        <f>$L377*Variables!$C$24/100</f>
        <v>0.27302497615857318</v>
      </c>
      <c r="W377" s="59">
        <f>$L377*Variables!$C$25/100</f>
        <v>1.9856361902441686</v>
      </c>
      <c r="X377" s="62">
        <f>T377*Variables!$E$26*Variables!$C$18+'Cost Calculations'!U377*Variables!$E$27*Variables!$C$18+'Cost Calculations'!V377*Variables!$E$28*Variables!$C$18+W377*Variables!$E$29*Variables!$C$18</f>
        <v>3117658.3405320938</v>
      </c>
      <c r="Y377" s="58">
        <f>J377*Variables!$E$30</f>
        <v>56234.087503885668</v>
      </c>
      <c r="Z377" s="1"/>
      <c r="AA377" s="245">
        <f>D377*(IF(D377&lt;Variables!$C$7,Variables!$C$38,IF(D377&gt;Variables!$C$6,Variables!$C$36,Variables!$C$37)))</f>
        <v>13.301624462517371</v>
      </c>
      <c r="AB377" s="64">
        <f t="shared" si="13"/>
        <v>13</v>
      </c>
      <c r="AC377" s="66">
        <f t="shared" si="2"/>
        <v>0</v>
      </c>
      <c r="AD377" s="62">
        <f>AC377*Variables!$E$41</f>
        <v>0</v>
      </c>
      <c r="AE377" s="71">
        <f>ROUND((H377/(3.14*Variables!$C$35^2)),0)</f>
        <v>6</v>
      </c>
      <c r="AF377" s="57">
        <f t="shared" si="14"/>
        <v>6</v>
      </c>
      <c r="AG377" s="57">
        <f t="shared" si="3"/>
        <v>0</v>
      </c>
      <c r="AH377" s="58">
        <f>AG377*Variables!$E$42*Variables!$C$18</f>
        <v>0</v>
      </c>
      <c r="AI377" s="73">
        <f t="shared" si="4"/>
        <v>0</v>
      </c>
      <c r="AJ377" s="66">
        <f t="shared" si="15"/>
        <v>0</v>
      </c>
      <c r="AK377" s="66">
        <f t="shared" si="5"/>
        <v>0</v>
      </c>
      <c r="AL377" s="62">
        <f>IF(AK377*Variables!$E$43*Variables!$C$18&lt;0,0,AK377*Variables!$E$43*Variables!$C$18)</f>
        <v>0</v>
      </c>
      <c r="AM377" s="58">
        <f>AA377*Variables!$E$39*Variables!$C$18</f>
        <v>3844865.3388826661</v>
      </c>
      <c r="AN377" s="1"/>
      <c r="AO377" s="76">
        <f t="shared" si="16"/>
        <v>0.67714285714285716</v>
      </c>
      <c r="AP377" s="76">
        <f t="shared" si="6"/>
        <v>96.585901233857754</v>
      </c>
      <c r="AQ377" s="75">
        <f>VLOOKUP(B377,'Household Information'!$B$2:$E$48,4,FALSE)</f>
        <v>40.760000000000005</v>
      </c>
      <c r="AR377" s="79">
        <f>IF(12*(AP377-Variables!$C$45*AQ377*F377)*(G377/5)&lt;0,0,12*(AP377-Variables!$C$45*AQ377*F377)*(G377/5))</f>
        <v>2203679.3646124261</v>
      </c>
      <c r="AS377" s="1"/>
      <c r="AT377" s="62">
        <v>0</v>
      </c>
      <c r="AU377" s="1"/>
    </row>
    <row r="378" spans="1:47" ht="14.25" customHeight="1">
      <c r="A378" s="1">
        <v>46</v>
      </c>
      <c r="B378" s="3" t="s">
        <v>243</v>
      </c>
      <c r="C378" s="1">
        <v>2026</v>
      </c>
      <c r="D378" s="13">
        <f>VLOOKUP(B378,Population!$B$1:$O$48,10,FALSE)</f>
        <v>34000.925741206112</v>
      </c>
      <c r="E378" s="13" t="str">
        <f t="shared" si="21"/>
        <v>Small</v>
      </c>
      <c r="F378" s="54">
        <f>VLOOKUP(B378,'Household Information'!$B$1:$E$48,2,FALSE)</f>
        <v>2.6682284299858559</v>
      </c>
      <c r="G378" s="54">
        <f t="shared" si="0"/>
        <v>12742.884139566098</v>
      </c>
      <c r="H378" s="55">
        <f>IF(D378&gt;Variables!$C$6,H331,H331*(1+Variables!$C$9))</f>
        <v>4.6488174496353256</v>
      </c>
      <c r="I378" s="1"/>
      <c r="J378" s="13">
        <f>H378*Variables!$C$21</f>
        <v>83.678714093435858</v>
      </c>
      <c r="K378" s="13">
        <f t="shared" si="12"/>
        <v>81.005531552212844</v>
      </c>
      <c r="L378" s="54">
        <f t="shared" si="1"/>
        <v>2.6731825412230137</v>
      </c>
      <c r="M378" s="56"/>
      <c r="N378" s="57"/>
      <c r="O378" s="57"/>
      <c r="P378" s="57"/>
      <c r="Q378" s="57"/>
      <c r="R378" s="57"/>
      <c r="S378" s="58">
        <v>0</v>
      </c>
      <c r="T378" s="59">
        <f>$L378*Variables!$C$22/100</f>
        <v>0.14515018323382878</v>
      </c>
      <c r="U378" s="59">
        <f>$L378*Variables!$C$23/100</f>
        <v>0.25401282065920039</v>
      </c>
      <c r="V378" s="59">
        <f>$L378*Variables!$C$24/100</f>
        <v>0.26610866926201948</v>
      </c>
      <c r="W378" s="59">
        <f>$L378*Variables!$C$25/100</f>
        <v>1.9353357764510506</v>
      </c>
      <c r="X378" s="62">
        <f>T378*Variables!$E$26*Variables!$C$18+'Cost Calculations'!U378*Variables!$E$27*Variables!$C$18+'Cost Calculations'!V378*Variables!$E$28*Variables!$C$18+W378*Variables!$E$29*Variables!$C$18</f>
        <v>3038681.3832401112</v>
      </c>
      <c r="Y378" s="58">
        <f>J378*Variables!$E$30</f>
        <v>54809.55773120049</v>
      </c>
      <c r="Z378" s="1"/>
      <c r="AA378" s="245">
        <f>D378*(IF(D378&lt;Variables!$C$7,Variables!$C$38,IF(D378&gt;Variables!$C$6,Variables!$C$36,Variables!$C$37)))</f>
        <v>17.000462870603055</v>
      </c>
      <c r="AB378" s="64">
        <f t="shared" si="13"/>
        <v>17</v>
      </c>
      <c r="AC378" s="66">
        <f t="shared" si="2"/>
        <v>0</v>
      </c>
      <c r="AD378" s="62">
        <f>AC378*Variables!$E$41</f>
        <v>0</v>
      </c>
      <c r="AE378" s="71">
        <f>ROUND((H378/(3.14*Variables!$C$35^2)),0)</f>
        <v>6</v>
      </c>
      <c r="AF378" s="57">
        <f t="shared" si="14"/>
        <v>6</v>
      </c>
      <c r="AG378" s="57">
        <f t="shared" si="3"/>
        <v>0</v>
      </c>
      <c r="AH378" s="58">
        <f>AG378*Variables!$E$42*Variables!$C$18</f>
        <v>0</v>
      </c>
      <c r="AI378" s="73">
        <f t="shared" si="4"/>
        <v>0</v>
      </c>
      <c r="AJ378" s="66">
        <f t="shared" si="15"/>
        <v>0</v>
      </c>
      <c r="AK378" s="66">
        <f t="shared" si="5"/>
        <v>0</v>
      </c>
      <c r="AL378" s="62">
        <f>IF(AK378*Variables!$E$43*Variables!$C$18&lt;0,0,AK378*Variables!$E$43*Variables!$C$18)</f>
        <v>0</v>
      </c>
      <c r="AM378" s="58">
        <f>AA378*Variables!$E$39*Variables!$C$18</f>
        <v>4914023.1420856835</v>
      </c>
      <c r="AN378" s="1"/>
      <c r="AO378" s="76">
        <f t="shared" si="16"/>
        <v>0.67714285714285716</v>
      </c>
      <c r="AP378" s="76">
        <f t="shared" si="6"/>
        <v>108.40630935542534</v>
      </c>
      <c r="AQ378" s="75">
        <f>VLOOKUP(B378,'Household Information'!$B$2:$E$48,4,FALSE)</f>
        <v>40.760000000000005</v>
      </c>
      <c r="AR378" s="79">
        <f>IF(12*(AP378-Variables!$C$45*AQ378*F378)*(G378/5)&lt;0,0,12*(AP378-Variables!$C$45*AQ378*F378)*(G378/5))</f>
        <v>2816465.7123177871</v>
      </c>
      <c r="AS378" s="1"/>
      <c r="AT378" s="62">
        <v>0</v>
      </c>
      <c r="AU378" s="1"/>
    </row>
    <row r="379" spans="1:47" ht="14.25" customHeight="1">
      <c r="A379" s="1">
        <v>47</v>
      </c>
      <c r="B379" s="3" t="s">
        <v>244</v>
      </c>
      <c r="C379" s="1">
        <v>2026</v>
      </c>
      <c r="D379" s="13">
        <f>VLOOKUP(B379,Population!$B$1:$O$48,10,FALSE)</f>
        <v>72054.97180898214</v>
      </c>
      <c r="E379" s="13" t="str">
        <f t="shared" si="21"/>
        <v>Small</v>
      </c>
      <c r="F379" s="54">
        <f>VLOOKUP(B379,'Household Information'!$B$1:$E$48,2,FALSE)</f>
        <v>3.4580000000000002</v>
      </c>
      <c r="G379" s="54">
        <f t="shared" si="0"/>
        <v>20837.180974257415</v>
      </c>
      <c r="H379" s="55">
        <f>IF(D379&gt;Variables!$C$6,H332,H332*(1+Variables!$C$9))</f>
        <v>5.271710359276816</v>
      </c>
      <c r="I379" s="1"/>
      <c r="J379" s="13">
        <f>H379*Variables!$C$21</f>
        <v>94.890786466982689</v>
      </c>
      <c r="K379" s="13">
        <f t="shared" si="12"/>
        <v>94.147999999999996</v>
      </c>
      <c r="L379" s="54">
        <f t="shared" si="1"/>
        <v>0.74278646698269313</v>
      </c>
      <c r="M379" s="56"/>
      <c r="N379" s="57"/>
      <c r="O379" s="57"/>
      <c r="P379" s="57"/>
      <c r="Q379" s="57"/>
      <c r="R379" s="57"/>
      <c r="S379" s="58">
        <v>0</v>
      </c>
      <c r="T379" s="59">
        <f>$L379*Variables!$C$22/100</f>
        <v>4.0332296849738984E-2</v>
      </c>
      <c r="U379" s="59">
        <f>$L379*Variables!$C$23/100</f>
        <v>7.0581519487043234E-2</v>
      </c>
      <c r="V379" s="59">
        <f>$L379*Variables!$C$24/100</f>
        <v>7.3942544224521484E-2</v>
      </c>
      <c r="W379" s="59">
        <f>$L379*Variables!$C$25/100</f>
        <v>0.53776395799651988</v>
      </c>
      <c r="X379" s="62">
        <f>T379*Variables!$E$26*Variables!$C$18+'Cost Calculations'!U379*Variables!$E$27*Variables!$C$18+'Cost Calculations'!V379*Variables!$E$28*Variables!$C$18+W379*Variables!$E$29*Variables!$C$18</f>
        <v>844346.15823517903</v>
      </c>
      <c r="Y379" s="58">
        <f>J379*Variables!$E$30</f>
        <v>62153.465135873659</v>
      </c>
      <c r="Z379" s="1"/>
      <c r="AA379" s="245">
        <f>D379*(IF(D379&lt;Variables!$C$7,Variables!$C$38,IF(D379&gt;Variables!$C$6,Variables!$C$36,Variables!$C$37)))</f>
        <v>57.643977447185712</v>
      </c>
      <c r="AB379" s="64">
        <f t="shared" si="13"/>
        <v>57</v>
      </c>
      <c r="AC379" s="66">
        <f t="shared" si="2"/>
        <v>1</v>
      </c>
      <c r="AD379" s="62">
        <f>AC379*Variables!$E$41</f>
        <v>537600</v>
      </c>
      <c r="AE379" s="71">
        <f>ROUND((H379/(3.14*Variables!$C$35^2)),0)</f>
        <v>7</v>
      </c>
      <c r="AF379" s="57">
        <f t="shared" si="14"/>
        <v>7</v>
      </c>
      <c r="AG379" s="57">
        <f t="shared" si="3"/>
        <v>0</v>
      </c>
      <c r="AH379" s="58">
        <f>AG379*Variables!$E$42*Variables!$C$18</f>
        <v>0</v>
      </c>
      <c r="AI379" s="73">
        <f t="shared" si="4"/>
        <v>0</v>
      </c>
      <c r="AJ379" s="66">
        <f t="shared" si="15"/>
        <v>0</v>
      </c>
      <c r="AK379" s="66">
        <f t="shared" si="5"/>
        <v>0</v>
      </c>
      <c r="AL379" s="62">
        <f>IF(AK379*Variables!$E$43*Variables!$C$18&lt;0,0,AK379*Variables!$E$43*Variables!$C$18)</f>
        <v>0</v>
      </c>
      <c r="AM379" s="58">
        <f>AA379*Variables!$E$39*Variables!$C$18</f>
        <v>16662125.104084749</v>
      </c>
      <c r="AN379" s="1"/>
      <c r="AO379" s="76">
        <f t="shared" si="16"/>
        <v>0.67714285714285716</v>
      </c>
      <c r="AP379" s="76">
        <f t="shared" si="6"/>
        <v>140.49359999999999</v>
      </c>
      <c r="AQ379" s="75">
        <f>VLOOKUP(B379,'Household Information'!$B$2:$E$48,4,FALSE)</f>
        <v>40.760000000000005</v>
      </c>
      <c r="AR379" s="79">
        <f>IF(12*(AP379-Variables!$C$45*AQ379*F379)*(G379/5)&lt;0,0,12*(AP379-Variables!$C$45*AQ379*F379)*(G379/5))</f>
        <v>5968671.531083555</v>
      </c>
      <c r="AS379" s="1"/>
      <c r="AT379" s="62">
        <v>0</v>
      </c>
      <c r="AU379" s="1"/>
    </row>
    <row r="380" spans="1:47" ht="14.25" customHeight="1">
      <c r="A380" s="1">
        <v>1</v>
      </c>
      <c r="B380" s="3" t="s">
        <v>76</v>
      </c>
      <c r="C380" s="1">
        <v>2027</v>
      </c>
      <c r="D380" s="13">
        <f>VLOOKUP(B380,Population!$B$1:$O$48,11,FALSE)</f>
        <v>8211219.6632044623</v>
      </c>
      <c r="E380" s="13" t="str">
        <f t="shared" si="21"/>
        <v>Large</v>
      </c>
      <c r="F380" s="54">
        <f>VLOOKUP(B380,'Household Information'!$B$1:$E$48,2,FALSE)</f>
        <v>2.8458153079093123</v>
      </c>
      <c r="G380" s="54">
        <f t="shared" si="0"/>
        <v>2885366.3273168849</v>
      </c>
      <c r="H380" s="55">
        <f>IF(D380&gt;Variables!$C$6,H333,H333*(1+Variables!$C$9))</f>
        <v>418.2688494446499</v>
      </c>
      <c r="I380" s="1"/>
      <c r="J380" s="13">
        <f>H380*Variables!$C$21</f>
        <v>7528.8392900036979</v>
      </c>
      <c r="K380" s="13">
        <f t="shared" si="12"/>
        <v>13984</v>
      </c>
      <c r="L380" s="54">
        <f t="shared" si="1"/>
        <v>0</v>
      </c>
      <c r="M380" s="56"/>
      <c r="N380" s="57"/>
      <c r="O380" s="57"/>
      <c r="P380" s="57"/>
      <c r="Q380" s="57"/>
      <c r="R380" s="57"/>
      <c r="S380" s="58">
        <v>0</v>
      </c>
      <c r="T380" s="59">
        <f>$L380*Variables!$C$22/100</f>
        <v>0</v>
      </c>
      <c r="U380" s="59">
        <f>$L380*Variables!$C$23/100</f>
        <v>0</v>
      </c>
      <c r="V380" s="59">
        <f>$L380*Variables!$C$24/100</f>
        <v>0</v>
      </c>
      <c r="W380" s="59">
        <f>$L380*Variables!$C$25/100</f>
        <v>0</v>
      </c>
      <c r="X380" s="62">
        <f>T380*Variables!$E$26*Variables!$C$18+'Cost Calculations'!U380*Variables!$E$27*Variables!$C$18+'Cost Calculations'!V380*Variables!$E$28*Variables!$C$18+W380*Variables!$E$29*Variables!$C$18</f>
        <v>0</v>
      </c>
      <c r="Y380" s="58">
        <f>J380*Variables!$E$30</f>
        <v>4931389.7349524219</v>
      </c>
      <c r="Z380" s="1"/>
      <c r="AA380" s="245">
        <f>D380*(IF(D380&lt;Variables!$C$7,Variables!$C$38,IF(D380&gt;Variables!$C$6,Variables!$C$36,Variables!$C$37)))</f>
        <v>9853.4635958453546</v>
      </c>
      <c r="AB380" s="64">
        <f t="shared" si="13"/>
        <v>9708</v>
      </c>
      <c r="AC380" s="66">
        <f t="shared" si="2"/>
        <v>145</v>
      </c>
      <c r="AD380" s="62">
        <f>AC380*Variables!$E$41</f>
        <v>77952000</v>
      </c>
      <c r="AE380" s="71">
        <f>ROUND((H380/(3.14*Variables!$C$35^2)),0)</f>
        <v>533</v>
      </c>
      <c r="AF380" s="57">
        <f t="shared" si="14"/>
        <v>853</v>
      </c>
      <c r="AG380" s="57">
        <f t="shared" si="3"/>
        <v>0</v>
      </c>
      <c r="AH380" s="58">
        <f>AG380*Variables!$E$42*Variables!$C$18</f>
        <v>0</v>
      </c>
      <c r="AI380" s="73">
        <f t="shared" si="4"/>
        <v>82</v>
      </c>
      <c r="AJ380" s="66">
        <f t="shared" si="15"/>
        <v>81</v>
      </c>
      <c r="AK380" s="66">
        <f t="shared" si="5"/>
        <v>1</v>
      </c>
      <c r="AL380" s="62">
        <f>IF(AK380*Variables!$E$43*Variables!$C$18&lt;0,0,AK380*Variables!$E$43*Variables!$C$18)</f>
        <v>945381.49199999997</v>
      </c>
      <c r="AM380" s="58">
        <f>AA380*Variables!$E$39*Variables!$C$18</f>
        <v>2848166459.2444878</v>
      </c>
      <c r="AN380" s="1"/>
      <c r="AO380" s="76">
        <f t="shared" si="16"/>
        <v>0.68340000000000001</v>
      </c>
      <c r="AP380" s="76">
        <f t="shared" si="6"/>
        <v>116.68981088551344</v>
      </c>
      <c r="AQ380" s="75">
        <f>VLOOKUP(B380,'Household Information'!$B$2:$E$48,4,FALSE)</f>
        <v>91.36</v>
      </c>
      <c r="AR380" s="79">
        <f>IF(12*(AP380-Variables!$C$45*AQ380*F380)*(G380/5)&lt;0,0,12*(AP380-Variables!$C$45*AQ380*F380)*(G380/5))</f>
        <v>537999112.33315647</v>
      </c>
      <c r="AS380" s="1"/>
      <c r="AT380" s="62">
        <v>0</v>
      </c>
      <c r="AU380" s="1"/>
    </row>
    <row r="381" spans="1:47" ht="14.25" customHeight="1">
      <c r="A381" s="1">
        <v>2</v>
      </c>
      <c r="B381" s="3" t="s">
        <v>87</v>
      </c>
      <c r="C381" s="1">
        <v>2027</v>
      </c>
      <c r="D381" s="13">
        <f>VLOOKUP(B381,Population!$B$1:$O$48,11,FALSE)</f>
        <v>2712498.3403270058</v>
      </c>
      <c r="E381" s="13" t="str">
        <f t="shared" si="21"/>
        <v>Large</v>
      </c>
      <c r="F381" s="54">
        <f>VLOOKUP(B381,'Household Information'!$B$1:$E$48,2,FALSE)</f>
        <v>2.6591126390039355</v>
      </c>
      <c r="G381" s="54">
        <f t="shared" si="0"/>
        <v>1020076.5099379423</v>
      </c>
      <c r="H381" s="55">
        <f>IF(D381&gt;Variables!$C$6,H334,H334*(1+Variables!$C$9))</f>
        <v>119.58406164038337</v>
      </c>
      <c r="I381" s="1"/>
      <c r="J381" s="13">
        <f>H381*Variables!$C$21</f>
        <v>2152.5131095269007</v>
      </c>
      <c r="K381" s="13">
        <f t="shared" si="12"/>
        <v>2152.5131095269007</v>
      </c>
      <c r="L381" s="54">
        <f t="shared" si="1"/>
        <v>0</v>
      </c>
      <c r="M381" s="56"/>
      <c r="N381" s="57"/>
      <c r="O381" s="57"/>
      <c r="P381" s="57"/>
      <c r="Q381" s="57"/>
      <c r="R381" s="57"/>
      <c r="S381" s="58">
        <v>0</v>
      </c>
      <c r="T381" s="59">
        <f>$L381*Variables!$C$22/100</f>
        <v>0</v>
      </c>
      <c r="U381" s="59">
        <f>$L381*Variables!$C$23/100</f>
        <v>0</v>
      </c>
      <c r="V381" s="59">
        <f>$L381*Variables!$C$24/100</f>
        <v>0</v>
      </c>
      <c r="W381" s="59">
        <f>$L381*Variables!$C$25/100</f>
        <v>0</v>
      </c>
      <c r="X381" s="62">
        <f>T381*Variables!$E$26*Variables!$C$18+'Cost Calculations'!U381*Variables!$E$27*Variables!$C$18+'Cost Calculations'!V381*Variables!$E$28*Variables!$C$18+W381*Variables!$E$29*Variables!$C$18</f>
        <v>0</v>
      </c>
      <c r="Y381" s="58">
        <f>J381*Variables!$E$30</f>
        <v>1409896.0867401201</v>
      </c>
      <c r="Z381" s="1"/>
      <c r="AA381" s="245">
        <f>D381*(IF(D381&lt;Variables!$C$7,Variables!$C$38,IF(D381&gt;Variables!$C$6,Variables!$C$36,Variables!$C$37)))</f>
        <v>3254.9980083924065</v>
      </c>
      <c r="AB381" s="64">
        <f t="shared" si="13"/>
        <v>4664</v>
      </c>
      <c r="AC381" s="66">
        <f t="shared" si="2"/>
        <v>0</v>
      </c>
      <c r="AD381" s="62">
        <f>AC381*Variables!$E$41</f>
        <v>0</v>
      </c>
      <c r="AE381" s="71">
        <f>ROUND((H381/(3.14*Variables!$C$35^2)),0)</f>
        <v>152</v>
      </c>
      <c r="AF381" s="57">
        <f t="shared" si="14"/>
        <v>152</v>
      </c>
      <c r="AG381" s="57">
        <f t="shared" si="3"/>
        <v>0</v>
      </c>
      <c r="AH381" s="58">
        <f>AG381*Variables!$E$42*Variables!$C$18</f>
        <v>0</v>
      </c>
      <c r="AI381" s="73">
        <f t="shared" si="4"/>
        <v>27</v>
      </c>
      <c r="AJ381" s="66">
        <f t="shared" si="15"/>
        <v>27</v>
      </c>
      <c r="AK381" s="66">
        <f t="shared" si="5"/>
        <v>0</v>
      </c>
      <c r="AL381" s="62">
        <f>IF(AK381*Variables!$E$43*Variables!$C$18&lt;0,0,AK381*Variables!$E$43*Variables!$C$18)</f>
        <v>0</v>
      </c>
      <c r="AM381" s="58">
        <f>AA381*Variables!$E$39*Variables!$C$18</f>
        <v>940864708.35694969</v>
      </c>
      <c r="AN381" s="1"/>
      <c r="AO381" s="76">
        <f t="shared" si="16"/>
        <v>0.75480000000000003</v>
      </c>
      <c r="AP381" s="76">
        <f t="shared" si="6"/>
        <v>120.42589319521024</v>
      </c>
      <c r="AQ381" s="75">
        <f>VLOOKUP(B381,'Household Information'!$B$2:$E$48,4,FALSE)</f>
        <v>73.64</v>
      </c>
      <c r="AR381" s="79">
        <f>IF(12*(AP381-Variables!$C$45*AQ381*F381)*(G381/5)&lt;0,0,12*(AP381-Variables!$C$45*AQ381*F381)*(G381/5))</f>
        <v>222915283.60674563</v>
      </c>
      <c r="AS381" s="1"/>
      <c r="AT381" s="62">
        <v>0</v>
      </c>
      <c r="AU381" s="1"/>
    </row>
    <row r="382" spans="1:47" ht="14.25" customHeight="1">
      <c r="A382" s="1">
        <v>3</v>
      </c>
      <c r="B382" s="3" t="s">
        <v>103</v>
      </c>
      <c r="C382" s="1">
        <v>2027</v>
      </c>
      <c r="D382" s="13">
        <f>VLOOKUP(B382,Population!$B$1:$O$48,11,FALSE)</f>
        <v>2084250.1410569141</v>
      </c>
      <c r="E382" s="13" t="str">
        <f t="shared" si="21"/>
        <v>Large</v>
      </c>
      <c r="F382" s="54">
        <f>VLOOKUP(B382,'Household Information'!$B$1:$E$48,2,FALSE)</f>
        <v>2.6407866430045996</v>
      </c>
      <c r="G382" s="54">
        <f t="shared" si="0"/>
        <v>789253.5152652557</v>
      </c>
      <c r="H382" s="55">
        <f>IF(D382&gt;Variables!$C$6,H335,H335*(1+Variables!$C$9))</f>
        <v>224.70642399999997</v>
      </c>
      <c r="I382" s="1"/>
      <c r="J382" s="13">
        <f>H382*Variables!$C$21</f>
        <v>4044.7156319999995</v>
      </c>
      <c r="K382" s="13">
        <f t="shared" si="12"/>
        <v>4044.7156319999995</v>
      </c>
      <c r="L382" s="54">
        <f t="shared" si="1"/>
        <v>0</v>
      </c>
      <c r="M382" s="56"/>
      <c r="N382" s="57"/>
      <c r="O382" s="57"/>
      <c r="P382" s="57"/>
      <c r="Q382" s="57"/>
      <c r="R382" s="57"/>
      <c r="S382" s="58">
        <v>0</v>
      </c>
      <c r="T382" s="59">
        <f>$L382*Variables!$C$22/100</f>
        <v>0</v>
      </c>
      <c r="U382" s="59">
        <f>$L382*Variables!$C$23/100</f>
        <v>0</v>
      </c>
      <c r="V382" s="59">
        <f>$L382*Variables!$C$24/100</f>
        <v>0</v>
      </c>
      <c r="W382" s="59">
        <f>$L382*Variables!$C$25/100</f>
        <v>0</v>
      </c>
      <c r="X382" s="62">
        <f>T382*Variables!$E$26*Variables!$C$18+'Cost Calculations'!U382*Variables!$E$27*Variables!$C$18+'Cost Calculations'!V382*Variables!$E$28*Variables!$C$18+W382*Variables!$E$29*Variables!$C$18</f>
        <v>0</v>
      </c>
      <c r="Y382" s="58">
        <f>J382*Variables!$E$30</f>
        <v>2649288.7389599998</v>
      </c>
      <c r="Z382" s="1"/>
      <c r="AA382" s="245">
        <f>D382*(IF(D382&lt;Variables!$C$7,Variables!$C$38,IF(D382&gt;Variables!$C$6,Variables!$C$36,Variables!$C$37)))</f>
        <v>2501.1001692682967</v>
      </c>
      <c r="AB382" s="64">
        <f t="shared" si="13"/>
        <v>2464</v>
      </c>
      <c r="AC382" s="66">
        <f t="shared" si="2"/>
        <v>37</v>
      </c>
      <c r="AD382" s="62">
        <f>AC382*Variables!$E$41</f>
        <v>19891200</v>
      </c>
      <c r="AE382" s="71">
        <f>ROUND((H382/(3.14*Variables!$C$35^2)),0)</f>
        <v>286</v>
      </c>
      <c r="AF382" s="57">
        <f t="shared" si="14"/>
        <v>286</v>
      </c>
      <c r="AG382" s="57">
        <f t="shared" si="3"/>
        <v>0</v>
      </c>
      <c r="AH382" s="58">
        <f>AG382*Variables!$E$42*Variables!$C$18</f>
        <v>0</v>
      </c>
      <c r="AI382" s="73">
        <f t="shared" si="4"/>
        <v>21</v>
      </c>
      <c r="AJ382" s="66">
        <f t="shared" si="15"/>
        <v>21</v>
      </c>
      <c r="AK382" s="66">
        <f t="shared" si="5"/>
        <v>0</v>
      </c>
      <c r="AL382" s="62">
        <f>IF(AK382*Variables!$E$43*Variables!$C$18&lt;0,0,AK382*Variables!$E$43*Variables!$C$18)</f>
        <v>0</v>
      </c>
      <c r="AM382" s="58">
        <f>AA382*Variables!$E$39*Variables!$C$18</f>
        <v>722948792.98323786</v>
      </c>
      <c r="AN382" s="1"/>
      <c r="AO382" s="76">
        <f t="shared" si="16"/>
        <v>0.61199999999999999</v>
      </c>
      <c r="AP382" s="76">
        <f t="shared" si="6"/>
        <v>96.969685531128903</v>
      </c>
      <c r="AQ382" s="75">
        <f>VLOOKUP(B382,'Household Information'!$B$2:$E$48,4,FALSE)</f>
        <v>61.12</v>
      </c>
      <c r="AR382" s="79">
        <f>IF(12*(AP382-Variables!$C$45*AQ382*F382)*(G382/5)&lt;0,0,12*(AP382-Variables!$C$45*AQ382*F382)*(G382/5))</f>
        <v>137820623.72736025</v>
      </c>
      <c r="AS382" s="1"/>
      <c r="AT382" s="62">
        <v>0</v>
      </c>
      <c r="AU382" s="1"/>
    </row>
    <row r="383" spans="1:47" ht="14.25" customHeight="1">
      <c r="A383" s="1">
        <v>4</v>
      </c>
      <c r="B383" s="3" t="s">
        <v>104</v>
      </c>
      <c r="C383" s="1">
        <v>2027</v>
      </c>
      <c r="D383" s="13">
        <f>VLOOKUP(B383,Population!$B$1:$O$48,11,FALSE)</f>
        <v>1280714.541609009</v>
      </c>
      <c r="E383" s="13" t="str">
        <f t="shared" si="21"/>
        <v>Large</v>
      </c>
      <c r="F383" s="54">
        <f>VLOOKUP(B383,'Household Information'!$B$1:$E$48,2,FALSE)</f>
        <v>3.2280741697119208</v>
      </c>
      <c r="G383" s="54">
        <f t="shared" si="0"/>
        <v>396742.60078209487</v>
      </c>
      <c r="H383" s="55">
        <f>IF(D383&gt;Variables!$C$6,H336,H336*(1+Variables!$C$9))</f>
        <v>154</v>
      </c>
      <c r="I383" s="1"/>
      <c r="J383" s="13">
        <f>H383*Variables!$C$21</f>
        <v>2772</v>
      </c>
      <c r="K383" s="13">
        <f t="shared" si="12"/>
        <v>3916</v>
      </c>
      <c r="L383" s="54">
        <f t="shared" si="1"/>
        <v>0</v>
      </c>
      <c r="M383" s="56"/>
      <c r="N383" s="57"/>
      <c r="O383" s="57"/>
      <c r="P383" s="57"/>
      <c r="Q383" s="57"/>
      <c r="R383" s="57"/>
      <c r="S383" s="58">
        <v>0</v>
      </c>
      <c r="T383" s="59">
        <f>$L383*Variables!$C$22/100</f>
        <v>0</v>
      </c>
      <c r="U383" s="59">
        <f>$L383*Variables!$C$23/100</f>
        <v>0</v>
      </c>
      <c r="V383" s="59">
        <f>$L383*Variables!$C$24/100</f>
        <v>0</v>
      </c>
      <c r="W383" s="59">
        <f>$L383*Variables!$C$25/100</f>
        <v>0</v>
      </c>
      <c r="X383" s="62">
        <f>T383*Variables!$E$26*Variables!$C$18+'Cost Calculations'!U383*Variables!$E$27*Variables!$C$18+'Cost Calculations'!V383*Variables!$E$28*Variables!$C$18+W383*Variables!$E$29*Variables!$C$18</f>
        <v>0</v>
      </c>
      <c r="Y383" s="58">
        <f>J383*Variables!$E$30</f>
        <v>1815660</v>
      </c>
      <c r="Z383" s="1"/>
      <c r="AA383" s="245">
        <f>D383*(IF(D383&lt;Variables!$C$7,Variables!$C$38,IF(D383&gt;Variables!$C$6,Variables!$C$36,Variables!$C$37)))</f>
        <v>1536.8574499308106</v>
      </c>
      <c r="AB383" s="64">
        <f t="shared" si="13"/>
        <v>2043</v>
      </c>
      <c r="AC383" s="66">
        <f t="shared" si="2"/>
        <v>0</v>
      </c>
      <c r="AD383" s="62">
        <f>AC383*Variables!$E$41</f>
        <v>0</v>
      </c>
      <c r="AE383" s="71">
        <f>ROUND((H383/(3.14*Variables!$C$35^2)),0)</f>
        <v>196</v>
      </c>
      <c r="AF383" s="57">
        <f t="shared" si="14"/>
        <v>196</v>
      </c>
      <c r="AG383" s="57">
        <f t="shared" si="3"/>
        <v>0</v>
      </c>
      <c r="AH383" s="58">
        <f>AG383*Variables!$E$42*Variables!$C$18</f>
        <v>0</v>
      </c>
      <c r="AI383" s="73">
        <f t="shared" si="4"/>
        <v>13</v>
      </c>
      <c r="AJ383" s="66">
        <f t="shared" si="15"/>
        <v>13</v>
      </c>
      <c r="AK383" s="66">
        <f t="shared" si="5"/>
        <v>0</v>
      </c>
      <c r="AL383" s="62">
        <f>IF(AK383*Variables!$E$43*Variables!$C$18&lt;0,0,AK383*Variables!$E$43*Variables!$C$18)</f>
        <v>0</v>
      </c>
      <c r="AM383" s="58">
        <f>AA383*Variables!$E$39*Variables!$C$18</f>
        <v>444232203.11876696</v>
      </c>
      <c r="AN383" s="1"/>
      <c r="AO383" s="76">
        <f t="shared" si="16"/>
        <v>0.6804</v>
      </c>
      <c r="AP383" s="76">
        <f t="shared" si="6"/>
        <v>131.78289990431946</v>
      </c>
      <c r="AQ383" s="75">
        <f>VLOOKUP(B383,'Household Information'!$B$2:$E$48,4,FALSE)</f>
        <v>42.71</v>
      </c>
      <c r="AR383" s="79">
        <f>IF(12*(AP383-Variables!$C$45*AQ383*F383)*(G383/5)&lt;0,0,12*(AP383-Variables!$C$45*AQ383*F383)*(G383/5))</f>
        <v>105789582.56598738</v>
      </c>
      <c r="AS383" s="1"/>
      <c r="AT383" s="62">
        <v>0</v>
      </c>
      <c r="AU383" s="1"/>
    </row>
    <row r="384" spans="1:47" ht="14.25" customHeight="1">
      <c r="A384" s="1">
        <v>5</v>
      </c>
      <c r="B384" s="3" t="s">
        <v>105</v>
      </c>
      <c r="C384" s="1">
        <v>2027</v>
      </c>
      <c r="D384" s="13">
        <f>VLOOKUP(B384,Population!$B$1:$O$48,11,FALSE)</f>
        <v>604687.50543711823</v>
      </c>
      <c r="E384" s="13" t="str">
        <f t="shared" si="21"/>
        <v>Medium</v>
      </c>
      <c r="F384" s="54">
        <f>VLOOKUP(B384,'Household Information'!$B$1:$E$48,2,FALSE)</f>
        <v>2.791645991913092</v>
      </c>
      <c r="G384" s="54">
        <f t="shared" si="0"/>
        <v>216606.08371863471</v>
      </c>
      <c r="H384" s="55">
        <f>IF(D384&gt;Variables!$C$6,H337,H337*(1+Variables!$C$9))</f>
        <v>76.806648999999993</v>
      </c>
      <c r="I384" s="1"/>
      <c r="J384" s="13">
        <f>H384*Variables!$C$21</f>
        <v>1382.5196819999999</v>
      </c>
      <c r="K384" s="13">
        <f t="shared" si="12"/>
        <v>1382.5196819999999</v>
      </c>
      <c r="L384" s="54">
        <f t="shared" si="1"/>
        <v>0</v>
      </c>
      <c r="M384" s="56"/>
      <c r="N384" s="57"/>
      <c r="O384" s="57"/>
      <c r="P384" s="57"/>
      <c r="Q384" s="57"/>
      <c r="R384" s="57"/>
      <c r="S384" s="58">
        <v>0</v>
      </c>
      <c r="T384" s="59">
        <f>$L384*Variables!$C$22/100</f>
        <v>0</v>
      </c>
      <c r="U384" s="59">
        <f>$L384*Variables!$C$23/100</f>
        <v>0</v>
      </c>
      <c r="V384" s="59">
        <f>$L384*Variables!$C$24/100</f>
        <v>0</v>
      </c>
      <c r="W384" s="59">
        <f>$L384*Variables!$C$25/100</f>
        <v>0</v>
      </c>
      <c r="X384" s="62">
        <f>T384*Variables!$E$26*Variables!$C$18+'Cost Calculations'!U384*Variables!$E$27*Variables!$C$18+'Cost Calculations'!V384*Variables!$E$28*Variables!$C$18+W384*Variables!$E$29*Variables!$C$18</f>
        <v>0</v>
      </c>
      <c r="Y384" s="58">
        <f>J384*Variables!$E$30</f>
        <v>905550.39170999988</v>
      </c>
      <c r="Z384" s="1"/>
      <c r="AA384" s="245">
        <f>D384*(IF(D384&lt;Variables!$C$7,Variables!$C$38,IF(D384&gt;Variables!$C$6,Variables!$C$36,Variables!$C$37)))</f>
        <v>725.62500652454185</v>
      </c>
      <c r="AB384" s="64">
        <f t="shared" si="13"/>
        <v>715</v>
      </c>
      <c r="AC384" s="66">
        <f t="shared" si="2"/>
        <v>11</v>
      </c>
      <c r="AD384" s="62">
        <f>AC384*Variables!$E$41</f>
        <v>5913600</v>
      </c>
      <c r="AE384" s="71">
        <f>ROUND((H384/(3.14*Variables!$C$35^2)),0)</f>
        <v>98</v>
      </c>
      <c r="AF384" s="57">
        <f t="shared" si="14"/>
        <v>98</v>
      </c>
      <c r="AG384" s="57">
        <f t="shared" si="3"/>
        <v>0</v>
      </c>
      <c r="AH384" s="58">
        <f>AG384*Variables!$E$42*Variables!$C$18</f>
        <v>0</v>
      </c>
      <c r="AI384" s="73">
        <f t="shared" si="4"/>
        <v>6</v>
      </c>
      <c r="AJ384" s="66">
        <f t="shared" si="15"/>
        <v>6</v>
      </c>
      <c r="AK384" s="66">
        <f t="shared" si="5"/>
        <v>0</v>
      </c>
      <c r="AL384" s="62">
        <f>IF(AK384*Variables!$E$43*Variables!$C$18&lt;0,0,AK384*Variables!$E$43*Variables!$C$18)</f>
        <v>0</v>
      </c>
      <c r="AM384" s="58">
        <f>AA384*Variables!$E$39*Variables!$C$18</f>
        <v>209743587.67039776</v>
      </c>
      <c r="AN384" s="1"/>
      <c r="AO384" s="76">
        <f t="shared" si="16"/>
        <v>0.71399999999999997</v>
      </c>
      <c r="AP384" s="76">
        <f t="shared" si="6"/>
        <v>119.59411429355686</v>
      </c>
      <c r="AQ384" s="75">
        <f>VLOOKUP(B384,'Household Information'!$B$2:$E$48,4,FALSE)</f>
        <v>61.2</v>
      </c>
      <c r="AR384" s="79">
        <f>IF(12*(AP384-Variables!$C$45*AQ384*F384)*(G384/5)&lt;0,0,12*(AP384-Variables!$C$45*AQ384*F384)*(G384/5))</f>
        <v>48849075.439232148</v>
      </c>
      <c r="AS384" s="1"/>
      <c r="AT384" s="62">
        <v>0</v>
      </c>
      <c r="AU384" s="1"/>
    </row>
    <row r="385" spans="1:47" ht="14.25" customHeight="1">
      <c r="A385" s="1">
        <v>6</v>
      </c>
      <c r="B385" s="3" t="s">
        <v>106</v>
      </c>
      <c r="C385" s="1">
        <v>2027</v>
      </c>
      <c r="D385" s="13">
        <f>VLOOKUP(B385,Population!$B$1:$O$48,11,FALSE)</f>
        <v>1015268.5550914095</v>
      </c>
      <c r="E385" s="13" t="str">
        <f t="shared" si="21"/>
        <v>Large</v>
      </c>
      <c r="F385" s="54">
        <f>VLOOKUP(B385,'Household Information'!$B$1:$E$48,2,FALSE)</f>
        <v>3.0151582035627214</v>
      </c>
      <c r="G385" s="54">
        <f t="shared" si="0"/>
        <v>336721.48741374986</v>
      </c>
      <c r="H385" s="55">
        <f>IF(D385&gt;Variables!$C$6,H338,H338*(1+Variables!$C$9))</f>
        <v>116.91803899999999</v>
      </c>
      <c r="I385" s="1"/>
      <c r="J385" s="13">
        <f>H385*Variables!$C$21</f>
        <v>2104.5247019999997</v>
      </c>
      <c r="K385" s="13">
        <f t="shared" si="12"/>
        <v>2104.5247019999997</v>
      </c>
      <c r="L385" s="54">
        <f t="shared" si="1"/>
        <v>0</v>
      </c>
      <c r="M385" s="56"/>
      <c r="N385" s="57"/>
      <c r="O385" s="57"/>
      <c r="P385" s="57"/>
      <c r="Q385" s="57"/>
      <c r="R385" s="57"/>
      <c r="S385" s="58">
        <v>0</v>
      </c>
      <c r="T385" s="59">
        <f>$L385*Variables!$C$22/100</f>
        <v>0</v>
      </c>
      <c r="U385" s="59">
        <f>$L385*Variables!$C$23/100</f>
        <v>0</v>
      </c>
      <c r="V385" s="59">
        <f>$L385*Variables!$C$24/100</f>
        <v>0</v>
      </c>
      <c r="W385" s="59">
        <f>$L385*Variables!$C$25/100</f>
        <v>0</v>
      </c>
      <c r="X385" s="62">
        <f>T385*Variables!$E$26*Variables!$C$18+'Cost Calculations'!U385*Variables!$E$27*Variables!$C$18+'Cost Calculations'!V385*Variables!$E$28*Variables!$C$18+W385*Variables!$E$29*Variables!$C$18</f>
        <v>0</v>
      </c>
      <c r="Y385" s="58">
        <f>J385*Variables!$E$30</f>
        <v>1378463.6798099999</v>
      </c>
      <c r="Z385" s="1"/>
      <c r="AA385" s="245">
        <f>D385*(IF(D385&lt;Variables!$C$7,Variables!$C$38,IF(D385&gt;Variables!$C$6,Variables!$C$36,Variables!$C$37)))</f>
        <v>1218.3222661096913</v>
      </c>
      <c r="AB385" s="64">
        <f t="shared" si="13"/>
        <v>1200</v>
      </c>
      <c r="AC385" s="66">
        <f t="shared" si="2"/>
        <v>18</v>
      </c>
      <c r="AD385" s="62">
        <f>AC385*Variables!$E$41</f>
        <v>9676800</v>
      </c>
      <c r="AE385" s="71">
        <f>ROUND((H385/(3.14*Variables!$C$35^2)),0)</f>
        <v>149</v>
      </c>
      <c r="AF385" s="57">
        <f t="shared" si="14"/>
        <v>149</v>
      </c>
      <c r="AG385" s="57">
        <f t="shared" si="3"/>
        <v>0</v>
      </c>
      <c r="AH385" s="58">
        <f>AG385*Variables!$E$42*Variables!$C$18</f>
        <v>0</v>
      </c>
      <c r="AI385" s="73">
        <f t="shared" si="4"/>
        <v>10</v>
      </c>
      <c r="AJ385" s="66">
        <f t="shared" si="15"/>
        <v>10</v>
      </c>
      <c r="AK385" s="66">
        <f t="shared" si="5"/>
        <v>0</v>
      </c>
      <c r="AL385" s="62">
        <f>IF(AK385*Variables!$E$43*Variables!$C$18&lt;0,0,AK385*Variables!$E$43*Variables!$C$18)</f>
        <v>0</v>
      </c>
      <c r="AM385" s="58">
        <f>AA385*Variables!$E$39*Variables!$C$18</f>
        <v>352158870.95248979</v>
      </c>
      <c r="AN385" s="1"/>
      <c r="AO385" s="76">
        <f t="shared" si="16"/>
        <v>0.68340000000000001</v>
      </c>
      <c r="AP385" s="76">
        <f t="shared" si="6"/>
        <v>123.63354697888582</v>
      </c>
      <c r="AQ385" s="75">
        <f>VLOOKUP(B385,'Household Information'!$B$2:$E$48,4,FALSE)</f>
        <v>55.55</v>
      </c>
      <c r="AR385" s="79">
        <f>IF(12*(AP385-Variables!$C$45*AQ385*F385)*(G385/5)&lt;0,0,12*(AP385-Variables!$C$45*AQ385*F385)*(G385/5))</f>
        <v>79608831.834405556</v>
      </c>
      <c r="AS385" s="1"/>
      <c r="AT385" s="62">
        <v>0</v>
      </c>
      <c r="AU385" s="1"/>
    </row>
    <row r="386" spans="1:47" ht="14.25" customHeight="1">
      <c r="A386" s="1">
        <v>7</v>
      </c>
      <c r="B386" s="3" t="s">
        <v>107</v>
      </c>
      <c r="C386" s="1">
        <v>2027</v>
      </c>
      <c r="D386" s="13">
        <f>VLOOKUP(B386,Population!$B$1:$O$48,11,FALSE)</f>
        <v>719665.65797278716</v>
      </c>
      <c r="E386" s="13" t="str">
        <f t="shared" si="21"/>
        <v>Medium</v>
      </c>
      <c r="F386" s="54">
        <f>VLOOKUP(B386,'Household Information'!$B$1:$E$48,2,FALSE)</f>
        <v>2.7144187891908675</v>
      </c>
      <c r="G386" s="54">
        <f t="shared" si="0"/>
        <v>265126.9807144645</v>
      </c>
      <c r="H386" s="55">
        <f>IF(D386&gt;Variables!$C$6,H339,H339*(1+Variables!$C$9))</f>
        <v>92.766498999999996</v>
      </c>
      <c r="I386" s="1"/>
      <c r="J386" s="13">
        <f>H386*Variables!$C$21</f>
        <v>1669.7969819999998</v>
      </c>
      <c r="K386" s="13">
        <f t="shared" si="12"/>
        <v>1669.7969819999998</v>
      </c>
      <c r="L386" s="54">
        <f t="shared" si="1"/>
        <v>0</v>
      </c>
      <c r="M386" s="56"/>
      <c r="N386" s="57"/>
      <c r="O386" s="57"/>
      <c r="P386" s="57"/>
      <c r="Q386" s="57"/>
      <c r="R386" s="57"/>
      <c r="S386" s="58">
        <v>0</v>
      </c>
      <c r="T386" s="59">
        <f>$L386*Variables!$C$22/100</f>
        <v>0</v>
      </c>
      <c r="U386" s="59">
        <f>$L386*Variables!$C$23/100</f>
        <v>0</v>
      </c>
      <c r="V386" s="59">
        <f>$L386*Variables!$C$24/100</f>
        <v>0</v>
      </c>
      <c r="W386" s="59">
        <f>$L386*Variables!$C$25/100</f>
        <v>0</v>
      </c>
      <c r="X386" s="62">
        <f>T386*Variables!$E$26*Variables!$C$18+'Cost Calculations'!U386*Variables!$E$27*Variables!$C$18+'Cost Calculations'!V386*Variables!$E$28*Variables!$C$18+W386*Variables!$E$29*Variables!$C$18</f>
        <v>0</v>
      </c>
      <c r="Y386" s="58">
        <f>J386*Variables!$E$30</f>
        <v>1093717.0232099998</v>
      </c>
      <c r="Z386" s="1"/>
      <c r="AA386" s="245">
        <f>D386*(IF(D386&lt;Variables!$C$7,Variables!$C$38,IF(D386&gt;Variables!$C$6,Variables!$C$36,Variables!$C$37)))</f>
        <v>863.59878956734451</v>
      </c>
      <c r="AB386" s="64">
        <f t="shared" si="13"/>
        <v>851</v>
      </c>
      <c r="AC386" s="66">
        <f t="shared" si="2"/>
        <v>13</v>
      </c>
      <c r="AD386" s="62">
        <f>AC386*Variables!$E$41</f>
        <v>6988800</v>
      </c>
      <c r="AE386" s="71">
        <f>ROUND((H386/(3.14*Variables!$C$35^2)),0)</f>
        <v>118</v>
      </c>
      <c r="AF386" s="57">
        <f t="shared" si="14"/>
        <v>118</v>
      </c>
      <c r="AG386" s="57">
        <f t="shared" si="3"/>
        <v>0</v>
      </c>
      <c r="AH386" s="58">
        <f>AG386*Variables!$E$42*Variables!$C$18</f>
        <v>0</v>
      </c>
      <c r="AI386" s="73">
        <f t="shared" si="4"/>
        <v>7</v>
      </c>
      <c r="AJ386" s="66">
        <f t="shared" si="15"/>
        <v>7</v>
      </c>
      <c r="AK386" s="66">
        <f t="shared" si="5"/>
        <v>0</v>
      </c>
      <c r="AL386" s="62">
        <f>IF(AK386*Variables!$E$43*Variables!$C$18&lt;0,0,AK386*Variables!$E$43*Variables!$C$18)</f>
        <v>0</v>
      </c>
      <c r="AM386" s="58">
        <f>AA386*Variables!$E$39*Variables!$C$18</f>
        <v>249625229.01357788</v>
      </c>
      <c r="AN386" s="1"/>
      <c r="AO386" s="76">
        <f t="shared" si="16"/>
        <v>0.67714285714285716</v>
      </c>
      <c r="AP386" s="76">
        <f t="shared" si="6"/>
        <v>110.28295766369753</v>
      </c>
      <c r="AQ386" s="75">
        <f>VLOOKUP(B386,'Household Information'!$B$2:$E$48,4,FALSE)</f>
        <v>59.47</v>
      </c>
      <c r="AR386" s="79">
        <f>IF(12*(AP386-Variables!$C$45*AQ386*F386)*(G386/5)&lt;0,0,12*(AP386-Variables!$C$45*AQ386*F386)*(G386/5))</f>
        <v>54766104.21045839</v>
      </c>
      <c r="AS386" s="1"/>
      <c r="AT386" s="62">
        <v>0</v>
      </c>
      <c r="AU386" s="1"/>
    </row>
    <row r="387" spans="1:47" ht="14.25" customHeight="1">
      <c r="A387" s="1">
        <v>8</v>
      </c>
      <c r="B387" s="3" t="s">
        <v>108</v>
      </c>
      <c r="C387" s="1">
        <v>2027</v>
      </c>
      <c r="D387" s="13">
        <f>VLOOKUP(B387,Population!$B$1:$O$48,11,FALSE)</f>
        <v>468412.57121975633</v>
      </c>
      <c r="E387" s="13" t="str">
        <f t="shared" si="21"/>
        <v>Medium</v>
      </c>
      <c r="F387" s="54">
        <f>VLOOKUP(B387,'Household Information'!$B$1:$E$48,2,FALSE)</f>
        <v>2.3617684870776379</v>
      </c>
      <c r="G387" s="54">
        <f t="shared" si="0"/>
        <v>198331.28174190864</v>
      </c>
      <c r="H387" s="55">
        <f>IF(D387&gt;Variables!$C$6,H340,H340*(1+Variables!$C$9))</f>
        <v>39.199250999999997</v>
      </c>
      <c r="I387" s="1"/>
      <c r="J387" s="13">
        <f>H387*Variables!$C$21</f>
        <v>705.58651799999996</v>
      </c>
      <c r="K387" s="13">
        <f t="shared" si="12"/>
        <v>705.58651799999996</v>
      </c>
      <c r="L387" s="54">
        <f t="shared" si="1"/>
        <v>0</v>
      </c>
      <c r="M387" s="56"/>
      <c r="N387" s="57"/>
      <c r="O387" s="57"/>
      <c r="P387" s="57"/>
      <c r="Q387" s="57"/>
      <c r="R387" s="57"/>
      <c r="S387" s="58">
        <v>0</v>
      </c>
      <c r="T387" s="59">
        <f>$L387*Variables!$C$22/100</f>
        <v>0</v>
      </c>
      <c r="U387" s="59">
        <f>$L387*Variables!$C$23/100</f>
        <v>0</v>
      </c>
      <c r="V387" s="59">
        <f>$L387*Variables!$C$24/100</f>
        <v>0</v>
      </c>
      <c r="W387" s="59">
        <f>$L387*Variables!$C$25/100</f>
        <v>0</v>
      </c>
      <c r="X387" s="62">
        <f>T387*Variables!$E$26*Variables!$C$18+'Cost Calculations'!U387*Variables!$E$27*Variables!$C$18+'Cost Calculations'!V387*Variables!$E$28*Variables!$C$18+W387*Variables!$E$29*Variables!$C$18</f>
        <v>0</v>
      </c>
      <c r="Y387" s="58">
        <f>J387*Variables!$E$30</f>
        <v>462159.16928999999</v>
      </c>
      <c r="Z387" s="1"/>
      <c r="AA387" s="245">
        <f>D387*(IF(D387&lt;Variables!$C$7,Variables!$C$38,IF(D387&gt;Variables!$C$6,Variables!$C$36,Variables!$C$37)))</f>
        <v>562.09508546370751</v>
      </c>
      <c r="AB387" s="64">
        <f t="shared" si="13"/>
        <v>978</v>
      </c>
      <c r="AC387" s="66">
        <f t="shared" si="2"/>
        <v>0</v>
      </c>
      <c r="AD387" s="62">
        <f>AC387*Variables!$E$41</f>
        <v>0</v>
      </c>
      <c r="AE387" s="71">
        <f>ROUND((H387/(3.14*Variables!$C$35^2)),0)</f>
        <v>50</v>
      </c>
      <c r="AF387" s="57">
        <f t="shared" si="14"/>
        <v>50</v>
      </c>
      <c r="AG387" s="57">
        <f t="shared" si="3"/>
        <v>0</v>
      </c>
      <c r="AH387" s="58">
        <f>AG387*Variables!$E$42*Variables!$C$18</f>
        <v>0</v>
      </c>
      <c r="AI387" s="73">
        <f t="shared" si="4"/>
        <v>5</v>
      </c>
      <c r="AJ387" s="66">
        <f t="shared" si="15"/>
        <v>5</v>
      </c>
      <c r="AK387" s="66">
        <f t="shared" si="5"/>
        <v>0</v>
      </c>
      <c r="AL387" s="62">
        <f>IF(AK387*Variables!$E$43*Variables!$C$18&lt;0,0,AK387*Variables!$E$43*Variables!$C$18)</f>
        <v>0</v>
      </c>
      <c r="AM387" s="58">
        <f>AA387*Variables!$E$39*Variables!$C$18</f>
        <v>162474885.4807685</v>
      </c>
      <c r="AN387" s="1"/>
      <c r="AO387" s="76">
        <f t="shared" si="16"/>
        <v>0.61199999999999999</v>
      </c>
      <c r="AP387" s="76">
        <f t="shared" si="6"/>
        <v>86.724138845490856</v>
      </c>
      <c r="AQ387" s="75">
        <f>VLOOKUP(B387,'Household Information'!$B$2:$E$48,4,FALSE)</f>
        <v>75.66</v>
      </c>
      <c r="AR387" s="79">
        <f>IF(12*(AP387-Variables!$C$45*AQ387*F387)*(G387/5)&lt;0,0,12*(AP387-Variables!$C$45*AQ387*F387)*(G387/5))</f>
        <v>28521828.826599449</v>
      </c>
      <c r="AS387" s="1"/>
      <c r="AT387" s="62">
        <v>0</v>
      </c>
      <c r="AU387" s="1"/>
    </row>
    <row r="388" spans="1:47" ht="14.25" customHeight="1">
      <c r="A388" s="1">
        <v>9</v>
      </c>
      <c r="B388" s="3" t="s">
        <v>109</v>
      </c>
      <c r="C388" s="1">
        <v>2027</v>
      </c>
      <c r="D388" s="13">
        <f>VLOOKUP(B388,Population!$B$1:$O$48,11,FALSE)</f>
        <v>548659.10986284993</v>
      </c>
      <c r="E388" s="13" t="str">
        <f t="shared" si="21"/>
        <v>Medium</v>
      </c>
      <c r="F388" s="54">
        <f>VLOOKUP(B388,'Household Information'!$B$1:$E$48,2,FALSE)</f>
        <v>2.7429262269780841</v>
      </c>
      <c r="G388" s="54">
        <f t="shared" si="0"/>
        <v>200026.9290754183</v>
      </c>
      <c r="H388" s="55">
        <f>IF(D388&gt;Variables!$C$6,H341,H341*(1+Variables!$C$9))</f>
        <v>47.234957999999992</v>
      </c>
      <c r="I388" s="1"/>
      <c r="J388" s="13">
        <f>H388*Variables!$C$21</f>
        <v>850.22924399999988</v>
      </c>
      <c r="K388" s="13">
        <f t="shared" si="12"/>
        <v>850.22924399999988</v>
      </c>
      <c r="L388" s="54">
        <f t="shared" si="1"/>
        <v>0</v>
      </c>
      <c r="M388" s="56"/>
      <c r="N388" s="57"/>
      <c r="O388" s="57"/>
      <c r="P388" s="57"/>
      <c r="Q388" s="57"/>
      <c r="R388" s="57"/>
      <c r="S388" s="58">
        <v>0</v>
      </c>
      <c r="T388" s="59">
        <f>$L388*Variables!$C$22/100</f>
        <v>0</v>
      </c>
      <c r="U388" s="59">
        <f>$L388*Variables!$C$23/100</f>
        <v>0</v>
      </c>
      <c r="V388" s="59">
        <f>$L388*Variables!$C$24/100</f>
        <v>0</v>
      </c>
      <c r="W388" s="59">
        <f>$L388*Variables!$C$25/100</f>
        <v>0</v>
      </c>
      <c r="X388" s="62">
        <f>T388*Variables!$E$26*Variables!$C$18+'Cost Calculations'!U388*Variables!$E$27*Variables!$C$18+'Cost Calculations'!V388*Variables!$E$28*Variables!$C$18+W388*Variables!$E$29*Variables!$C$18</f>
        <v>0</v>
      </c>
      <c r="Y388" s="58">
        <f>J388*Variables!$E$30</f>
        <v>556900.15481999994</v>
      </c>
      <c r="Z388" s="1"/>
      <c r="AA388" s="245">
        <f>D388*(IF(D388&lt;Variables!$C$7,Variables!$C$38,IF(D388&gt;Variables!$C$6,Variables!$C$36,Variables!$C$37)))</f>
        <v>658.39093183541991</v>
      </c>
      <c r="AB388" s="64">
        <f t="shared" si="13"/>
        <v>649</v>
      </c>
      <c r="AC388" s="66">
        <f t="shared" si="2"/>
        <v>9</v>
      </c>
      <c r="AD388" s="62">
        <f>AC388*Variables!$E$41</f>
        <v>4838400</v>
      </c>
      <c r="AE388" s="71">
        <f>ROUND((H388/(3.14*Variables!$C$35^2)),0)</f>
        <v>60</v>
      </c>
      <c r="AF388" s="57">
        <f t="shared" si="14"/>
        <v>60</v>
      </c>
      <c r="AG388" s="57">
        <f t="shared" si="3"/>
        <v>0</v>
      </c>
      <c r="AH388" s="58">
        <f>AG388*Variables!$E$42*Variables!$C$18</f>
        <v>0</v>
      </c>
      <c r="AI388" s="73">
        <f t="shared" si="4"/>
        <v>5</v>
      </c>
      <c r="AJ388" s="66">
        <f t="shared" si="15"/>
        <v>5</v>
      </c>
      <c r="AK388" s="66">
        <f t="shared" si="5"/>
        <v>0</v>
      </c>
      <c r="AL388" s="62">
        <f>IF(AK388*Variables!$E$43*Variables!$C$18&lt;0,0,AK388*Variables!$E$43*Variables!$C$18)</f>
        <v>0</v>
      </c>
      <c r="AM388" s="58">
        <f>AA388*Variables!$E$39*Variables!$C$18</f>
        <v>190309422.76125476</v>
      </c>
      <c r="AN388" s="1"/>
      <c r="AO388" s="76">
        <f t="shared" si="16"/>
        <v>0.67714285714285716</v>
      </c>
      <c r="AP388" s="76">
        <f t="shared" si="6"/>
        <v>111.44117413608102</v>
      </c>
      <c r="AQ388" s="75">
        <f>VLOOKUP(B388,'Household Information'!$B$2:$E$48,4,FALSE)</f>
        <v>65.935833333333335</v>
      </c>
      <c r="AR388" s="79">
        <f>IF(12*(AP388-Variables!$C$45*AQ388*F388)*(G388/5)&lt;0,0,12*(AP388-Variables!$C$45*AQ388*F388)*(G388/5))</f>
        <v>40475499.579094641</v>
      </c>
      <c r="AS388" s="1"/>
      <c r="AT388" s="62">
        <v>0</v>
      </c>
      <c r="AU388" s="1"/>
    </row>
    <row r="389" spans="1:47" ht="14.25" customHeight="1">
      <c r="A389" s="1">
        <v>10</v>
      </c>
      <c r="B389" s="3" t="s">
        <v>110</v>
      </c>
      <c r="C389" s="1">
        <v>2027</v>
      </c>
      <c r="D389" s="13">
        <f>VLOOKUP(B389,Population!$B$1:$O$48,11,FALSE)</f>
        <v>572479.353220238</v>
      </c>
      <c r="E389" s="13" t="str">
        <f t="shared" ref="E389:E452" si="22">IF(D389&lt;100000,"Small",IF(D389&lt;1000000,"Medium","Large"))</f>
        <v>Medium</v>
      </c>
      <c r="F389" s="54">
        <f>VLOOKUP(B389,'Household Information'!$B$1:$E$48,2,FALSE)</f>
        <v>2.5116430728482135</v>
      </c>
      <c r="G389" s="54">
        <f t="shared" si="0"/>
        <v>227930.2180349392</v>
      </c>
      <c r="H389" s="55">
        <f>IF(D389&gt;Variables!$C$6,H342,H342*(1+Variables!$C$9))</f>
        <v>27.319750999999997</v>
      </c>
      <c r="I389" s="1"/>
      <c r="J389" s="13">
        <f>H389*Variables!$C$21</f>
        <v>491.75551799999994</v>
      </c>
      <c r="K389" s="13">
        <f t="shared" si="12"/>
        <v>491.75551799999994</v>
      </c>
      <c r="L389" s="54">
        <f t="shared" si="1"/>
        <v>0</v>
      </c>
      <c r="M389" s="56"/>
      <c r="N389" s="57"/>
      <c r="O389" s="57"/>
      <c r="P389" s="57"/>
      <c r="Q389" s="57"/>
      <c r="R389" s="57"/>
      <c r="S389" s="58">
        <v>0</v>
      </c>
      <c r="T389" s="59">
        <f>$L389*Variables!$C$22/100</f>
        <v>0</v>
      </c>
      <c r="U389" s="59">
        <f>$L389*Variables!$C$23/100</f>
        <v>0</v>
      </c>
      <c r="V389" s="59">
        <f>$L389*Variables!$C$24/100</f>
        <v>0</v>
      </c>
      <c r="W389" s="59">
        <f>$L389*Variables!$C$25/100</f>
        <v>0</v>
      </c>
      <c r="X389" s="62">
        <f>T389*Variables!$E$26*Variables!$C$18+'Cost Calculations'!U389*Variables!$E$27*Variables!$C$18+'Cost Calculations'!V389*Variables!$E$28*Variables!$C$18+W389*Variables!$E$29*Variables!$C$18</f>
        <v>0</v>
      </c>
      <c r="Y389" s="58">
        <f>J389*Variables!$E$30</f>
        <v>322099.86428999994</v>
      </c>
      <c r="Z389" s="1"/>
      <c r="AA389" s="245">
        <f>D389*(IF(D389&lt;Variables!$C$7,Variables!$C$38,IF(D389&gt;Variables!$C$6,Variables!$C$36,Variables!$C$37)))</f>
        <v>686.97522386428557</v>
      </c>
      <c r="AB389" s="64">
        <f t="shared" si="13"/>
        <v>677</v>
      </c>
      <c r="AC389" s="66">
        <f t="shared" si="2"/>
        <v>10</v>
      </c>
      <c r="AD389" s="62">
        <f>AC389*Variables!$E$41</f>
        <v>5376000</v>
      </c>
      <c r="AE389" s="71">
        <f>ROUND((H389/(3.14*Variables!$C$35^2)),0)</f>
        <v>35</v>
      </c>
      <c r="AF389" s="57">
        <f t="shared" si="14"/>
        <v>35</v>
      </c>
      <c r="AG389" s="57">
        <f t="shared" si="3"/>
        <v>0</v>
      </c>
      <c r="AH389" s="58">
        <f>AG389*Variables!$E$42*Variables!$C$18</f>
        <v>0</v>
      </c>
      <c r="AI389" s="73">
        <f t="shared" si="4"/>
        <v>6</v>
      </c>
      <c r="AJ389" s="66">
        <f t="shared" si="15"/>
        <v>6</v>
      </c>
      <c r="AK389" s="66">
        <f t="shared" si="5"/>
        <v>0</v>
      </c>
      <c r="AL389" s="62">
        <f>IF(AK389*Variables!$E$43*Variables!$C$18&lt;0,0,AK389*Variables!$E$43*Variables!$C$18)</f>
        <v>0</v>
      </c>
      <c r="AM389" s="58">
        <f>AA389*Variables!$E$39*Variables!$C$18</f>
        <v>198571778.53351253</v>
      </c>
      <c r="AN389" s="1"/>
      <c r="AO389" s="76">
        <f t="shared" si="16"/>
        <v>0.67714285714285716</v>
      </c>
      <c r="AP389" s="76">
        <f t="shared" si="6"/>
        <v>102.04446998829027</v>
      </c>
      <c r="AQ389" s="75">
        <f>VLOOKUP(B389,'Household Information'!$B$2:$E$48,4,FALSE)</f>
        <v>62.81</v>
      </c>
      <c r="AR389" s="79">
        <f>IF(12*(AP389-Variables!$C$45*AQ389*F389)*(G389/5)&lt;0,0,12*(AP389-Variables!$C$45*AQ389*F389)*(G389/5))</f>
        <v>42876969.761583216</v>
      </c>
      <c r="AS389" s="1"/>
      <c r="AT389" s="62">
        <v>0</v>
      </c>
      <c r="AU389" s="1"/>
    </row>
    <row r="390" spans="1:47" ht="14.25" customHeight="1">
      <c r="A390" s="1">
        <v>11</v>
      </c>
      <c r="B390" s="3" t="s">
        <v>125</v>
      </c>
      <c r="C390" s="1">
        <v>2027</v>
      </c>
      <c r="D390" s="13">
        <f>VLOOKUP(B390,Population!$B$1:$O$48,11,FALSE)</f>
        <v>402846.01647074928</v>
      </c>
      <c r="E390" s="13" t="str">
        <f t="shared" si="22"/>
        <v>Medium</v>
      </c>
      <c r="F390" s="54">
        <f>VLOOKUP(B390,'Household Information'!$B$1:$E$48,2,FALSE)</f>
        <v>2.693850400263019</v>
      </c>
      <c r="G390" s="54">
        <f t="shared" si="0"/>
        <v>149542.83149183661</v>
      </c>
      <c r="H390" s="55">
        <f>IF(D390&gt;Variables!$C$6,H343,H343*(1+Variables!$C$9))</f>
        <v>28.674206300180991</v>
      </c>
      <c r="I390" s="1"/>
      <c r="J390" s="13">
        <f>H390*Variables!$C$21</f>
        <v>516.1357134032578</v>
      </c>
      <c r="K390" s="13">
        <f t="shared" si="12"/>
        <v>516.1357134032578</v>
      </c>
      <c r="L390" s="54">
        <f t="shared" si="1"/>
        <v>0</v>
      </c>
      <c r="M390" s="56"/>
      <c r="N390" s="57"/>
      <c r="O390" s="57"/>
      <c r="P390" s="57"/>
      <c r="Q390" s="57"/>
      <c r="R390" s="57"/>
      <c r="S390" s="58">
        <v>0</v>
      </c>
      <c r="T390" s="59">
        <f>$L390*Variables!$C$22/100</f>
        <v>0</v>
      </c>
      <c r="U390" s="59">
        <f>$L390*Variables!$C$23/100</f>
        <v>0</v>
      </c>
      <c r="V390" s="59">
        <f>$L390*Variables!$C$24/100</f>
        <v>0</v>
      </c>
      <c r="W390" s="59">
        <f>$L390*Variables!$C$25/100</f>
        <v>0</v>
      </c>
      <c r="X390" s="62">
        <f>T390*Variables!$E$26*Variables!$C$18+'Cost Calculations'!U390*Variables!$E$27*Variables!$C$18+'Cost Calculations'!V390*Variables!$E$28*Variables!$C$18+W390*Variables!$E$29*Variables!$C$18</f>
        <v>0</v>
      </c>
      <c r="Y390" s="58">
        <f>J390*Variables!$E$30</f>
        <v>338068.89227913384</v>
      </c>
      <c r="Z390" s="1"/>
      <c r="AA390" s="245">
        <f>D390*(IF(D390&lt;Variables!$C$7,Variables!$C$38,IF(D390&gt;Variables!$C$6,Variables!$C$36,Variables!$C$37)))</f>
        <v>483.41521976489912</v>
      </c>
      <c r="AB390" s="64">
        <f t="shared" si="13"/>
        <v>476</v>
      </c>
      <c r="AC390" s="66">
        <f t="shared" si="2"/>
        <v>7</v>
      </c>
      <c r="AD390" s="62">
        <f>AC390*Variables!$E$41</f>
        <v>3763200</v>
      </c>
      <c r="AE390" s="71">
        <f>ROUND((H390/(3.14*Variables!$C$35^2)),0)</f>
        <v>37</v>
      </c>
      <c r="AF390" s="57">
        <f t="shared" si="14"/>
        <v>37</v>
      </c>
      <c r="AG390" s="57">
        <f t="shared" si="3"/>
        <v>0</v>
      </c>
      <c r="AH390" s="58">
        <f>AG390*Variables!$E$42*Variables!$C$18</f>
        <v>0</v>
      </c>
      <c r="AI390" s="73">
        <f t="shared" si="4"/>
        <v>4</v>
      </c>
      <c r="AJ390" s="66">
        <f t="shared" si="15"/>
        <v>4</v>
      </c>
      <c r="AK390" s="66">
        <f t="shared" si="5"/>
        <v>0</v>
      </c>
      <c r="AL390" s="62">
        <f>IF(AK390*Variables!$E$43*Variables!$C$18&lt;0,0,AK390*Variables!$E$43*Variables!$C$18)</f>
        <v>0</v>
      </c>
      <c r="AM390" s="58">
        <f>AA390*Variables!$E$39*Variables!$C$18</f>
        <v>139732288.187803</v>
      </c>
      <c r="AN390" s="1"/>
      <c r="AO390" s="76">
        <f t="shared" si="16"/>
        <v>0.67714285714285716</v>
      </c>
      <c r="AP390" s="76">
        <f t="shared" si="6"/>
        <v>109.4472934049718</v>
      </c>
      <c r="AQ390" s="75">
        <f>VLOOKUP(B390,'Household Information'!$B$2:$E$48,4,FALSE)</f>
        <v>65.935833333333335</v>
      </c>
      <c r="AR390" s="79">
        <f>IF(12*(AP390-Variables!$C$45*AQ390*F390)*(G390/5)&lt;0,0,12*(AP390-Variables!$C$45*AQ390*F390)*(G390/5))</f>
        <v>29718623.963388987</v>
      </c>
      <c r="AS390" s="1"/>
      <c r="AT390" s="62">
        <v>0</v>
      </c>
      <c r="AU390" s="1"/>
    </row>
    <row r="391" spans="1:47" ht="14.25" customHeight="1">
      <c r="A391" s="1">
        <v>12</v>
      </c>
      <c r="B391" s="3" t="s">
        <v>152</v>
      </c>
      <c r="C391" s="1">
        <v>2027</v>
      </c>
      <c r="D391" s="13">
        <f>VLOOKUP(B391,Population!$B$1:$O$48,11,FALSE)</f>
        <v>457854.50818696595</v>
      </c>
      <c r="E391" s="13" t="str">
        <f t="shared" si="22"/>
        <v>Medium</v>
      </c>
      <c r="F391" s="54">
        <f>VLOOKUP(B391,'Household Information'!$B$1:$E$48,2,FALSE)</f>
        <v>2.5280688906285511</v>
      </c>
      <c r="G391" s="54">
        <f t="shared" si="0"/>
        <v>181108.39854254527</v>
      </c>
      <c r="H391" s="55">
        <f>IF(D391&gt;Variables!$C$6,H344,H344*(1+Variables!$C$9))</f>
        <v>17.374026999999998</v>
      </c>
      <c r="I391" s="1"/>
      <c r="J391" s="13">
        <f>H391*Variables!$C$21</f>
        <v>312.73248599999999</v>
      </c>
      <c r="K391" s="13">
        <f t="shared" si="12"/>
        <v>639</v>
      </c>
      <c r="L391" s="54">
        <f t="shared" si="1"/>
        <v>0</v>
      </c>
      <c r="M391" s="56"/>
      <c r="N391" s="57"/>
      <c r="O391" s="57"/>
      <c r="P391" s="57"/>
      <c r="Q391" s="57"/>
      <c r="R391" s="57"/>
      <c r="S391" s="58">
        <v>0</v>
      </c>
      <c r="T391" s="59">
        <f>$L391*Variables!$C$22/100</f>
        <v>0</v>
      </c>
      <c r="U391" s="59">
        <f>$L391*Variables!$C$23/100</f>
        <v>0</v>
      </c>
      <c r="V391" s="59">
        <f>$L391*Variables!$C$24/100</f>
        <v>0</v>
      </c>
      <c r="W391" s="59">
        <f>$L391*Variables!$C$25/100</f>
        <v>0</v>
      </c>
      <c r="X391" s="62">
        <f>T391*Variables!$E$26*Variables!$C$18+'Cost Calculations'!U391*Variables!$E$27*Variables!$C$18+'Cost Calculations'!V391*Variables!$E$28*Variables!$C$18+W391*Variables!$E$29*Variables!$C$18</f>
        <v>0</v>
      </c>
      <c r="Y391" s="58">
        <f>J391*Variables!$E$30</f>
        <v>204839.77833</v>
      </c>
      <c r="Z391" s="1"/>
      <c r="AA391" s="245">
        <f>D391*(IF(D391&lt;Variables!$C$7,Variables!$C$38,IF(D391&gt;Variables!$C$6,Variables!$C$36,Variables!$C$37)))</f>
        <v>549.42540982435912</v>
      </c>
      <c r="AB391" s="64">
        <f t="shared" si="13"/>
        <v>541</v>
      </c>
      <c r="AC391" s="66">
        <f t="shared" si="2"/>
        <v>8</v>
      </c>
      <c r="AD391" s="62">
        <f>AC391*Variables!$E$41</f>
        <v>4300800</v>
      </c>
      <c r="AE391" s="71">
        <f>ROUND((H391/(3.14*Variables!$C$35^2)),0)</f>
        <v>22</v>
      </c>
      <c r="AF391" s="57">
        <f t="shared" si="14"/>
        <v>22</v>
      </c>
      <c r="AG391" s="57">
        <f t="shared" si="3"/>
        <v>0</v>
      </c>
      <c r="AH391" s="58">
        <f>AG391*Variables!$E$42*Variables!$C$18</f>
        <v>0</v>
      </c>
      <c r="AI391" s="73">
        <f t="shared" si="4"/>
        <v>5</v>
      </c>
      <c r="AJ391" s="66">
        <f t="shared" si="15"/>
        <v>5</v>
      </c>
      <c r="AK391" s="66">
        <f t="shared" si="5"/>
        <v>0</v>
      </c>
      <c r="AL391" s="62">
        <f>IF(AK391*Variables!$E$43*Variables!$C$18&lt;0,0,AK391*Variables!$E$43*Variables!$C$18)</f>
        <v>0</v>
      </c>
      <c r="AM391" s="58">
        <f>AA391*Variables!$E$39*Variables!$C$18</f>
        <v>158812686.41193408</v>
      </c>
      <c r="AN391" s="1"/>
      <c r="AO391" s="76">
        <f t="shared" si="16"/>
        <v>0.67714285714285716</v>
      </c>
      <c r="AP391" s="76">
        <f t="shared" si="6"/>
        <v>102.71182749925141</v>
      </c>
      <c r="AQ391" s="75">
        <f>VLOOKUP(B391,'Household Information'!$B$2:$E$48,4,FALSE)</f>
        <v>89.08</v>
      </c>
      <c r="AR391" s="79">
        <f>IF(12*(AP391-Variables!$C$45*AQ391*F391)*(G391/5)&lt;0,0,12*(AP391-Variables!$C$45*AQ391*F391)*(G391/5))</f>
        <v>29961894.363296025</v>
      </c>
      <c r="AS391" s="1"/>
      <c r="AT391" s="62">
        <v>0</v>
      </c>
      <c r="AU391" s="1"/>
    </row>
    <row r="392" spans="1:47" ht="14.25" customHeight="1">
      <c r="A392" s="1">
        <v>13</v>
      </c>
      <c r="B392" s="3" t="s">
        <v>181</v>
      </c>
      <c r="C392" s="1">
        <v>2027</v>
      </c>
      <c r="D392" s="13">
        <f>VLOOKUP(B392,Population!$B$1:$O$48,11,FALSE)</f>
        <v>515911.27757758362</v>
      </c>
      <c r="E392" s="13" t="str">
        <f t="shared" si="22"/>
        <v>Medium</v>
      </c>
      <c r="F392" s="54">
        <f>VLOOKUP(B392,'Household Information'!$B$1:$E$48,2,FALSE)</f>
        <v>2.4075040417460345</v>
      </c>
      <c r="G392" s="54">
        <f t="shared" si="0"/>
        <v>214293.00579841214</v>
      </c>
      <c r="H392" s="55">
        <f>IF(D392&gt;Variables!$C$6,H345,H345*(1+Variables!$C$9))</f>
        <v>82.9</v>
      </c>
      <c r="I392" s="1"/>
      <c r="J392" s="13">
        <f>H392*Variables!$C$21</f>
        <v>1492.2</v>
      </c>
      <c r="K392" s="13">
        <f t="shared" si="12"/>
        <v>1492.2</v>
      </c>
      <c r="L392" s="54">
        <f t="shared" si="1"/>
        <v>0</v>
      </c>
      <c r="M392" s="56"/>
      <c r="N392" s="57"/>
      <c r="O392" s="57"/>
      <c r="P392" s="57"/>
      <c r="Q392" s="57"/>
      <c r="R392" s="57"/>
      <c r="S392" s="58">
        <v>0</v>
      </c>
      <c r="T392" s="59">
        <f>$L392*Variables!$C$22/100</f>
        <v>0</v>
      </c>
      <c r="U392" s="59">
        <f>$L392*Variables!$C$23/100</f>
        <v>0</v>
      </c>
      <c r="V392" s="59">
        <f>$L392*Variables!$C$24/100</f>
        <v>0</v>
      </c>
      <c r="W392" s="59">
        <f>$L392*Variables!$C$25/100</f>
        <v>0</v>
      </c>
      <c r="X392" s="62">
        <f>T392*Variables!$E$26*Variables!$C$18+'Cost Calculations'!U392*Variables!$E$27*Variables!$C$18+'Cost Calculations'!V392*Variables!$E$28*Variables!$C$18+W392*Variables!$E$29*Variables!$C$18</f>
        <v>0</v>
      </c>
      <c r="Y392" s="58">
        <f>J392*Variables!$E$30</f>
        <v>977391</v>
      </c>
      <c r="Z392" s="1"/>
      <c r="AA392" s="245">
        <f>D392*(IF(D392&lt;Variables!$C$7,Variables!$C$38,IF(D392&gt;Variables!$C$6,Variables!$C$36,Variables!$C$37)))</f>
        <v>619.09353309310029</v>
      </c>
      <c r="AB392" s="64">
        <f t="shared" si="13"/>
        <v>610</v>
      </c>
      <c r="AC392" s="66">
        <f t="shared" si="2"/>
        <v>9</v>
      </c>
      <c r="AD392" s="62">
        <f>AC392*Variables!$E$41</f>
        <v>4838400</v>
      </c>
      <c r="AE392" s="71">
        <f>ROUND((H392/(3.14*Variables!$C$35^2)),0)</f>
        <v>106</v>
      </c>
      <c r="AF392" s="57">
        <f t="shared" si="14"/>
        <v>106</v>
      </c>
      <c r="AG392" s="57">
        <f t="shared" si="3"/>
        <v>0</v>
      </c>
      <c r="AH392" s="58">
        <f>AG392*Variables!$E$42*Variables!$C$18</f>
        <v>0</v>
      </c>
      <c r="AI392" s="73">
        <f t="shared" si="4"/>
        <v>5</v>
      </c>
      <c r="AJ392" s="66">
        <f t="shared" si="15"/>
        <v>5</v>
      </c>
      <c r="AK392" s="66">
        <f t="shared" si="5"/>
        <v>0</v>
      </c>
      <c r="AL392" s="62">
        <f>IF(AK392*Variables!$E$43*Variables!$C$18&lt;0,0,AK392*Variables!$E$43*Variables!$C$18)</f>
        <v>0</v>
      </c>
      <c r="AM392" s="58">
        <f>AA392*Variables!$E$39*Variables!$C$18</f>
        <v>178950418.69687438</v>
      </c>
      <c r="AN392" s="1"/>
      <c r="AO392" s="76">
        <f t="shared" si="16"/>
        <v>0.67714285714285716</v>
      </c>
      <c r="AP392" s="76">
        <f t="shared" si="6"/>
        <v>97.81344992465317</v>
      </c>
      <c r="AQ392" s="75">
        <f>VLOOKUP(B392,'Household Information'!$B$2:$E$48,4,FALSE)</f>
        <v>71.48</v>
      </c>
      <c r="AR392" s="79">
        <f>IF(12*(AP392-Variables!$C$45*AQ392*F392)*(G392/5)&lt;0,0,12*(AP392-Variables!$C$45*AQ392*F392)*(G392/5))</f>
        <v>37029929.936830908</v>
      </c>
      <c r="AS392" s="1"/>
      <c r="AT392" s="62">
        <v>0</v>
      </c>
      <c r="AU392" s="1"/>
    </row>
    <row r="393" spans="1:47" ht="14.25" customHeight="1">
      <c r="A393" s="1">
        <v>14</v>
      </c>
      <c r="B393" s="3" t="s">
        <v>206</v>
      </c>
      <c r="C393" s="1">
        <v>2027</v>
      </c>
      <c r="D393" s="13">
        <f>VLOOKUP(B393,Population!$B$1:$O$48,11,FALSE)</f>
        <v>359625.87540084723</v>
      </c>
      <c r="E393" s="13" t="str">
        <f t="shared" si="22"/>
        <v>Medium</v>
      </c>
      <c r="F393" s="54">
        <f>VLOOKUP(B393,'Household Information'!$B$1:$E$48,2,FALSE)</f>
        <v>2.4590017825311943</v>
      </c>
      <c r="G393" s="54">
        <f t="shared" si="0"/>
        <v>146248.72497272585</v>
      </c>
      <c r="H393" s="55">
        <f>IF(D393&gt;Variables!$C$6,H346,H346*(1+Variables!$C$9))</f>
        <v>25.496505999999997</v>
      </c>
      <c r="I393" s="1"/>
      <c r="J393" s="13">
        <f>H393*Variables!$C$21</f>
        <v>458.93710799999997</v>
      </c>
      <c r="K393" s="13">
        <f t="shared" si="12"/>
        <v>458.93710799999997</v>
      </c>
      <c r="L393" s="54">
        <f t="shared" si="1"/>
        <v>0</v>
      </c>
      <c r="M393" s="56"/>
      <c r="N393" s="57"/>
      <c r="O393" s="57"/>
      <c r="P393" s="57"/>
      <c r="Q393" s="57"/>
      <c r="R393" s="57"/>
      <c r="S393" s="58">
        <v>0</v>
      </c>
      <c r="T393" s="59">
        <f>$L393*Variables!$C$22/100</f>
        <v>0</v>
      </c>
      <c r="U393" s="59">
        <f>$L393*Variables!$C$23/100</f>
        <v>0</v>
      </c>
      <c r="V393" s="59">
        <f>$L393*Variables!$C$24/100</f>
        <v>0</v>
      </c>
      <c r="W393" s="59">
        <f>$L393*Variables!$C$25/100</f>
        <v>0</v>
      </c>
      <c r="X393" s="62">
        <f>T393*Variables!$E$26*Variables!$C$18+'Cost Calculations'!U393*Variables!$E$27*Variables!$C$18+'Cost Calculations'!V393*Variables!$E$28*Variables!$C$18+W393*Variables!$E$29*Variables!$C$18</f>
        <v>0</v>
      </c>
      <c r="Y393" s="58">
        <f>J393*Variables!$E$30</f>
        <v>300603.80573999998</v>
      </c>
      <c r="Z393" s="1"/>
      <c r="AA393" s="245">
        <f>D393*(IF(D393&lt;Variables!$C$7,Variables!$C$38,IF(D393&gt;Variables!$C$6,Variables!$C$36,Variables!$C$37)))</f>
        <v>431.55105048101666</v>
      </c>
      <c r="AB393" s="64">
        <f t="shared" si="13"/>
        <v>425</v>
      </c>
      <c r="AC393" s="66">
        <f t="shared" si="2"/>
        <v>7</v>
      </c>
      <c r="AD393" s="62">
        <f>AC393*Variables!$E$41</f>
        <v>3763200</v>
      </c>
      <c r="AE393" s="71">
        <f>ROUND((H393/(3.14*Variables!$C$35^2)),0)</f>
        <v>32</v>
      </c>
      <c r="AF393" s="57">
        <f t="shared" si="14"/>
        <v>32</v>
      </c>
      <c r="AG393" s="57">
        <f t="shared" si="3"/>
        <v>0</v>
      </c>
      <c r="AH393" s="58">
        <f>AG393*Variables!$E$42*Variables!$C$18</f>
        <v>0</v>
      </c>
      <c r="AI393" s="73">
        <f t="shared" si="4"/>
        <v>4</v>
      </c>
      <c r="AJ393" s="66">
        <f t="shared" si="15"/>
        <v>4</v>
      </c>
      <c r="AK393" s="66">
        <f t="shared" si="5"/>
        <v>0</v>
      </c>
      <c r="AL393" s="62">
        <f>IF(AK393*Variables!$E$43*Variables!$C$18&lt;0,0,AK393*Variables!$E$43*Variables!$C$18)</f>
        <v>0</v>
      </c>
      <c r="AM393" s="58">
        <f>AA393*Variables!$E$39*Variables!$C$18</f>
        <v>124740830.01128764</v>
      </c>
      <c r="AN393" s="1"/>
      <c r="AO393" s="76">
        <f t="shared" si="16"/>
        <v>0.67714285714285716</v>
      </c>
      <c r="AP393" s="76">
        <f t="shared" si="6"/>
        <v>99.905729564553084</v>
      </c>
      <c r="AQ393" s="75">
        <f>VLOOKUP(B393,'Household Information'!$B$2:$E$48,4,FALSE)</f>
        <v>65.935833333333335</v>
      </c>
      <c r="AR393" s="79">
        <f>IF(12*(AP393-Variables!$C$45*AQ393*F393)*(G393/5)&lt;0,0,12*(AP393-Variables!$C$45*AQ393*F393)*(G393/5))</f>
        <v>26530201.917283669</v>
      </c>
      <c r="AS393" s="1"/>
      <c r="AT393" s="62">
        <v>0</v>
      </c>
      <c r="AU393" s="1"/>
    </row>
    <row r="394" spans="1:47" ht="14.25" customHeight="1">
      <c r="A394" s="1">
        <v>15</v>
      </c>
      <c r="B394" s="3" t="s">
        <v>207</v>
      </c>
      <c r="C394" s="1">
        <v>2027</v>
      </c>
      <c r="D394" s="13">
        <f>VLOOKUP(B394,Population!$B$1:$O$48,11,FALSE)</f>
        <v>315165.15620764234</v>
      </c>
      <c r="E394" s="13" t="str">
        <f t="shared" si="22"/>
        <v>Medium</v>
      </c>
      <c r="F394" s="54">
        <f>VLOOKUP(B394,'Household Information'!$B$1:$E$48,2,FALSE)</f>
        <v>2.4536973570595619</v>
      </c>
      <c r="G394" s="54">
        <f t="shared" si="0"/>
        <v>128444.99966586218</v>
      </c>
      <c r="H394" s="55">
        <f>IF(D394&gt;Variables!$C$6,H347,H347*(1+Variables!$C$9))</f>
        <v>19.38</v>
      </c>
      <c r="I394" s="1"/>
      <c r="J394" s="13">
        <f>H394*Variables!$C$21</f>
        <v>348.84</v>
      </c>
      <c r="K394" s="13">
        <f t="shared" si="12"/>
        <v>348.84</v>
      </c>
      <c r="L394" s="54">
        <f t="shared" si="1"/>
        <v>0</v>
      </c>
      <c r="M394" s="56"/>
      <c r="N394" s="57"/>
      <c r="O394" s="57"/>
      <c r="P394" s="57"/>
      <c r="Q394" s="57"/>
      <c r="R394" s="57"/>
      <c r="S394" s="58">
        <v>0</v>
      </c>
      <c r="T394" s="59">
        <f>$L394*Variables!$C$22/100</f>
        <v>0</v>
      </c>
      <c r="U394" s="59">
        <f>$L394*Variables!$C$23/100</f>
        <v>0</v>
      </c>
      <c r="V394" s="59">
        <f>$L394*Variables!$C$24/100</f>
        <v>0</v>
      </c>
      <c r="W394" s="59">
        <f>$L394*Variables!$C$25/100</f>
        <v>0</v>
      </c>
      <c r="X394" s="62">
        <f>T394*Variables!$E$26*Variables!$C$18+'Cost Calculations'!U394*Variables!$E$27*Variables!$C$18+'Cost Calculations'!V394*Variables!$E$28*Variables!$C$18+W394*Variables!$E$29*Variables!$C$18</f>
        <v>0</v>
      </c>
      <c r="Y394" s="58">
        <f>J394*Variables!$E$30</f>
        <v>228490.19999999998</v>
      </c>
      <c r="Z394" s="1"/>
      <c r="AA394" s="245">
        <f>D394*(IF(D394&lt;Variables!$C$7,Variables!$C$38,IF(D394&gt;Variables!$C$6,Variables!$C$36,Variables!$C$37)))</f>
        <v>378.1981874491708</v>
      </c>
      <c r="AB394" s="64">
        <f t="shared" si="13"/>
        <v>373</v>
      </c>
      <c r="AC394" s="66">
        <f t="shared" si="2"/>
        <v>5</v>
      </c>
      <c r="AD394" s="62">
        <f>AC394*Variables!$E$41</f>
        <v>2688000</v>
      </c>
      <c r="AE394" s="71">
        <f>ROUND((H394/(3.14*Variables!$C$35^2)),0)</f>
        <v>25</v>
      </c>
      <c r="AF394" s="57">
        <f t="shared" si="14"/>
        <v>25</v>
      </c>
      <c r="AG394" s="57">
        <f t="shared" si="3"/>
        <v>0</v>
      </c>
      <c r="AH394" s="58">
        <f>AG394*Variables!$E$42*Variables!$C$18</f>
        <v>0</v>
      </c>
      <c r="AI394" s="73">
        <f t="shared" si="4"/>
        <v>3</v>
      </c>
      <c r="AJ394" s="66">
        <f t="shared" si="15"/>
        <v>3</v>
      </c>
      <c r="AK394" s="66">
        <f t="shared" si="5"/>
        <v>0</v>
      </c>
      <c r="AL394" s="62">
        <f>IF(AK394*Variables!$E$43*Variables!$C$18&lt;0,0,AK394*Variables!$E$43*Variables!$C$18)</f>
        <v>0</v>
      </c>
      <c r="AM394" s="58">
        <f>AA394*Variables!$E$39*Variables!$C$18</f>
        <v>109319061.46118709</v>
      </c>
      <c r="AN394" s="1"/>
      <c r="AO394" s="76">
        <f t="shared" si="16"/>
        <v>0.67714285714285716</v>
      </c>
      <c r="AP394" s="76">
        <f t="shared" si="6"/>
        <v>99.690218335391336</v>
      </c>
      <c r="AQ394" s="75">
        <f>VLOOKUP(B394,'Household Information'!$B$2:$E$48,4,FALSE)</f>
        <v>65.935833333333335</v>
      </c>
      <c r="AR394" s="79">
        <f>IF(12*(AP394-Variables!$C$45*AQ394*F394)*(G394/5)&lt;0,0,12*(AP394-Variables!$C$45*AQ394*F394)*(G394/5))</f>
        <v>23250260.349484578</v>
      </c>
      <c r="AS394" s="1"/>
      <c r="AT394" s="62">
        <v>0</v>
      </c>
      <c r="AU394" s="1"/>
    </row>
    <row r="395" spans="1:47" ht="14.25" customHeight="1">
      <c r="A395" s="1">
        <v>16</v>
      </c>
      <c r="B395" s="3" t="s">
        <v>208</v>
      </c>
      <c r="C395" s="1">
        <v>2027</v>
      </c>
      <c r="D395" s="13">
        <f>VLOOKUP(B395,Population!$B$1:$O$48,11,FALSE)</f>
        <v>525215.04180736654</v>
      </c>
      <c r="E395" s="13" t="str">
        <f t="shared" si="22"/>
        <v>Medium</v>
      </c>
      <c r="F395" s="54">
        <f>VLOOKUP(B395,'Household Information'!$B$1:$E$48,2,FALSE)</f>
        <v>3.2379076029492619</v>
      </c>
      <c r="G395" s="54">
        <f t="shared" si="0"/>
        <v>162208.16224927857</v>
      </c>
      <c r="H395" s="55">
        <f>IF(D395&gt;Variables!$C$6,H348,H348*(1+Variables!$C$9))</f>
        <v>31.656284999999997</v>
      </c>
      <c r="I395" s="1"/>
      <c r="J395" s="13">
        <f>H395*Variables!$C$21</f>
        <v>569.81313</v>
      </c>
      <c r="K395" s="13">
        <f t="shared" si="12"/>
        <v>582</v>
      </c>
      <c r="L395" s="54">
        <f t="shared" si="1"/>
        <v>0</v>
      </c>
      <c r="M395" s="56"/>
      <c r="N395" s="57"/>
      <c r="O395" s="57"/>
      <c r="P395" s="57"/>
      <c r="Q395" s="57"/>
      <c r="R395" s="57"/>
      <c r="S395" s="58">
        <v>0</v>
      </c>
      <c r="T395" s="59">
        <f>$L395*Variables!$C$22/100</f>
        <v>0</v>
      </c>
      <c r="U395" s="59">
        <f>$L395*Variables!$C$23/100</f>
        <v>0</v>
      </c>
      <c r="V395" s="59">
        <f>$L395*Variables!$C$24/100</f>
        <v>0</v>
      </c>
      <c r="W395" s="59">
        <f>$L395*Variables!$C$25/100</f>
        <v>0</v>
      </c>
      <c r="X395" s="62">
        <f>T395*Variables!$E$26*Variables!$C$18+'Cost Calculations'!U395*Variables!$E$27*Variables!$C$18+'Cost Calculations'!V395*Variables!$E$28*Variables!$C$18+W395*Variables!$E$29*Variables!$C$18</f>
        <v>0</v>
      </c>
      <c r="Y395" s="58">
        <f>J395*Variables!$E$30</f>
        <v>373227.60015000001</v>
      </c>
      <c r="Z395" s="1"/>
      <c r="AA395" s="245">
        <f>D395*(IF(D395&lt;Variables!$C$7,Variables!$C$38,IF(D395&gt;Variables!$C$6,Variables!$C$36,Variables!$C$37)))</f>
        <v>630.25805016883976</v>
      </c>
      <c r="AB395" s="64">
        <f t="shared" si="13"/>
        <v>621</v>
      </c>
      <c r="AC395" s="66">
        <f t="shared" si="2"/>
        <v>9</v>
      </c>
      <c r="AD395" s="62">
        <f>AC395*Variables!$E$41</f>
        <v>4838400</v>
      </c>
      <c r="AE395" s="71">
        <f>ROUND((H395/(3.14*Variables!$C$35^2)),0)</f>
        <v>40</v>
      </c>
      <c r="AF395" s="57">
        <f t="shared" si="14"/>
        <v>40</v>
      </c>
      <c r="AG395" s="57">
        <f t="shared" si="3"/>
        <v>0</v>
      </c>
      <c r="AH395" s="58">
        <f>AG395*Variables!$E$42*Variables!$C$18</f>
        <v>0</v>
      </c>
      <c r="AI395" s="73">
        <f t="shared" si="4"/>
        <v>5</v>
      </c>
      <c r="AJ395" s="66">
        <f t="shared" si="15"/>
        <v>5</v>
      </c>
      <c r="AK395" s="66">
        <f t="shared" si="5"/>
        <v>0</v>
      </c>
      <c r="AL395" s="62">
        <f>IF(AK395*Variables!$E$43*Variables!$C$18&lt;0,0,AK395*Variables!$E$43*Variables!$C$18)</f>
        <v>0</v>
      </c>
      <c r="AM395" s="58">
        <f>AA395*Variables!$E$39*Variables!$C$18</f>
        <v>182177548.19905177</v>
      </c>
      <c r="AN395" s="1"/>
      <c r="AO395" s="76">
        <f t="shared" si="16"/>
        <v>0.67714285714285716</v>
      </c>
      <c r="AP395" s="76">
        <f t="shared" si="6"/>
        <v>131.55156032553859</v>
      </c>
      <c r="AQ395" s="75">
        <f>VLOOKUP(B395,'Household Information'!$B$2:$E$48,4,FALSE)</f>
        <v>65.935833333333335</v>
      </c>
      <c r="AR395" s="79">
        <f>IF(12*(AP395-Variables!$C$45*AQ395*F395)*(G395/5)&lt;0,0,12*(AP395-Variables!$C$45*AQ395*F395)*(G395/5))</f>
        <v>38745991.493556455</v>
      </c>
      <c r="AS395" s="1"/>
      <c r="AT395" s="62">
        <v>0</v>
      </c>
      <c r="AU395" s="1"/>
    </row>
    <row r="396" spans="1:47" ht="14.25" customHeight="1">
      <c r="A396" s="1">
        <v>17</v>
      </c>
      <c r="B396" s="3" t="s">
        <v>209</v>
      </c>
      <c r="C396" s="1">
        <v>2027</v>
      </c>
      <c r="D396" s="13">
        <f>VLOOKUP(B396,Population!$B$1:$O$48,11,FALSE)</f>
        <v>495914.53029791388</v>
      </c>
      <c r="E396" s="13" t="str">
        <f t="shared" si="22"/>
        <v>Medium</v>
      </c>
      <c r="F396" s="54">
        <f>VLOOKUP(B396,'Household Information'!$B$1:$E$48,2,FALSE)</f>
        <v>3.2463324451363733</v>
      </c>
      <c r="G396" s="54">
        <f t="shared" si="0"/>
        <v>152761.47427257139</v>
      </c>
      <c r="H396" s="55">
        <f>IF(D396&gt;Variables!$C$6,H349,H349*(1+Variables!$C$9))</f>
        <v>25.896000000000001</v>
      </c>
      <c r="I396" s="1"/>
      <c r="J396" s="13">
        <f>H396*Variables!$C$21</f>
        <v>466.12800000000004</v>
      </c>
      <c r="K396" s="13">
        <f t="shared" si="12"/>
        <v>961.78647000000012</v>
      </c>
      <c r="L396" s="54">
        <f t="shared" si="1"/>
        <v>0</v>
      </c>
      <c r="M396" s="56"/>
      <c r="N396" s="57"/>
      <c r="O396" s="57"/>
      <c r="P396" s="57"/>
      <c r="Q396" s="57"/>
      <c r="R396" s="57"/>
      <c r="S396" s="58">
        <v>0</v>
      </c>
      <c r="T396" s="59">
        <f>$L396*Variables!$C$22/100</f>
        <v>0</v>
      </c>
      <c r="U396" s="59">
        <f>$L396*Variables!$C$23/100</f>
        <v>0</v>
      </c>
      <c r="V396" s="59">
        <f>$L396*Variables!$C$24/100</f>
        <v>0</v>
      </c>
      <c r="W396" s="59">
        <f>$L396*Variables!$C$25/100</f>
        <v>0</v>
      </c>
      <c r="X396" s="62">
        <f>T396*Variables!$E$26*Variables!$C$18+'Cost Calculations'!U396*Variables!$E$27*Variables!$C$18+'Cost Calculations'!V396*Variables!$E$28*Variables!$C$18+W396*Variables!$E$29*Variables!$C$18</f>
        <v>0</v>
      </c>
      <c r="Y396" s="58">
        <f>J396*Variables!$E$30</f>
        <v>305313.84000000003</v>
      </c>
      <c r="Z396" s="1"/>
      <c r="AA396" s="245">
        <f>D396*(IF(D396&lt;Variables!$C$7,Variables!$C$38,IF(D396&gt;Variables!$C$6,Variables!$C$36,Variables!$C$37)))</f>
        <v>595.09743635749658</v>
      </c>
      <c r="AB396" s="64">
        <f t="shared" si="13"/>
        <v>586</v>
      </c>
      <c r="AC396" s="66">
        <f t="shared" si="2"/>
        <v>9</v>
      </c>
      <c r="AD396" s="62">
        <f>AC396*Variables!$E$41</f>
        <v>4838400</v>
      </c>
      <c r="AE396" s="71">
        <f>ROUND((H396/(3.14*Variables!$C$35^2)),0)</f>
        <v>33</v>
      </c>
      <c r="AF396" s="57">
        <f t="shared" si="14"/>
        <v>33</v>
      </c>
      <c r="AG396" s="57">
        <f t="shared" si="3"/>
        <v>0</v>
      </c>
      <c r="AH396" s="58">
        <f>AG396*Variables!$E$42*Variables!$C$18</f>
        <v>0</v>
      </c>
      <c r="AI396" s="73">
        <f t="shared" si="4"/>
        <v>5</v>
      </c>
      <c r="AJ396" s="66">
        <f t="shared" si="15"/>
        <v>5</v>
      </c>
      <c r="AK396" s="66">
        <f t="shared" si="5"/>
        <v>0</v>
      </c>
      <c r="AL396" s="62">
        <f>IF(AK396*Variables!$E$43*Variables!$C$18&lt;0,0,AK396*Variables!$E$43*Variables!$C$18)</f>
        <v>0</v>
      </c>
      <c r="AM396" s="58">
        <f>AA396*Variables!$E$39*Variables!$C$18</f>
        <v>172014291.39398876</v>
      </c>
      <c r="AN396" s="1"/>
      <c r="AO396" s="76">
        <f t="shared" si="16"/>
        <v>0.67714285714285716</v>
      </c>
      <c r="AP396" s="76">
        <f t="shared" si="6"/>
        <v>131.89384962811206</v>
      </c>
      <c r="AQ396" s="75">
        <f>VLOOKUP(B396,'Household Information'!$B$2:$E$48,4,FALSE)</f>
        <v>47.15</v>
      </c>
      <c r="AR396" s="79">
        <f>IF(12*(AP396-Variables!$C$45*AQ396*F396)*(G396/5)&lt;0,0,12*(AP396-Variables!$C$45*AQ396*F396)*(G396/5))</f>
        <v>39938264.162743784</v>
      </c>
      <c r="AS396" s="1"/>
      <c r="AT396" s="62">
        <v>0</v>
      </c>
      <c r="AU396" s="1"/>
    </row>
    <row r="397" spans="1:47" ht="14.25" customHeight="1">
      <c r="A397" s="1">
        <v>18</v>
      </c>
      <c r="B397" s="3" t="s">
        <v>210</v>
      </c>
      <c r="C397" s="1">
        <v>2027</v>
      </c>
      <c r="D397" s="13">
        <f>VLOOKUP(B397,Population!$B$1:$O$48,11,FALSE)</f>
        <v>314000.04182271566</v>
      </c>
      <c r="E397" s="13" t="str">
        <f t="shared" si="22"/>
        <v>Medium</v>
      </c>
      <c r="F397" s="54">
        <f>VLOOKUP(B397,'Household Information'!$B$1:$E$48,2,FALSE)</f>
        <v>3.2199371541131225</v>
      </c>
      <c r="G397" s="54">
        <f t="shared" si="0"/>
        <v>97517.444221423531</v>
      </c>
      <c r="H397" s="55">
        <f>IF(D397&gt;Variables!$C$6,H350,H350*(1+Variables!$C$9))</f>
        <v>16.261485999999998</v>
      </c>
      <c r="I397" s="1"/>
      <c r="J397" s="13">
        <f>H397*Variables!$C$21</f>
        <v>292.70674799999995</v>
      </c>
      <c r="K397" s="13">
        <f t="shared" si="12"/>
        <v>512</v>
      </c>
      <c r="L397" s="54">
        <f t="shared" si="1"/>
        <v>0</v>
      </c>
      <c r="M397" s="56"/>
      <c r="N397" s="57"/>
      <c r="O397" s="57"/>
      <c r="P397" s="57"/>
      <c r="Q397" s="57"/>
      <c r="R397" s="57"/>
      <c r="S397" s="58">
        <v>0</v>
      </c>
      <c r="T397" s="59">
        <f>$L397*Variables!$C$22/100</f>
        <v>0</v>
      </c>
      <c r="U397" s="59">
        <f>$L397*Variables!$C$23/100</f>
        <v>0</v>
      </c>
      <c r="V397" s="59">
        <f>$L397*Variables!$C$24/100</f>
        <v>0</v>
      </c>
      <c r="W397" s="59">
        <f>$L397*Variables!$C$25/100</f>
        <v>0</v>
      </c>
      <c r="X397" s="62">
        <f>T397*Variables!$E$26*Variables!$C$18+'Cost Calculations'!U397*Variables!$E$27*Variables!$C$18+'Cost Calculations'!V397*Variables!$E$28*Variables!$C$18+W397*Variables!$E$29*Variables!$C$18</f>
        <v>0</v>
      </c>
      <c r="Y397" s="58">
        <f>J397*Variables!$E$30</f>
        <v>191722.91993999996</v>
      </c>
      <c r="Z397" s="1"/>
      <c r="AA397" s="245">
        <f>D397*(IF(D397&lt;Variables!$C$7,Variables!$C$38,IF(D397&gt;Variables!$C$6,Variables!$C$36,Variables!$C$37)))</f>
        <v>376.80005018725876</v>
      </c>
      <c r="AB397" s="64">
        <f t="shared" si="13"/>
        <v>371</v>
      </c>
      <c r="AC397" s="66">
        <f t="shared" si="2"/>
        <v>6</v>
      </c>
      <c r="AD397" s="62">
        <f>AC397*Variables!$E$41</f>
        <v>3225600</v>
      </c>
      <c r="AE397" s="71">
        <f>ROUND((H397/(3.14*Variables!$C$35^2)),0)</f>
        <v>21</v>
      </c>
      <c r="AF397" s="57">
        <f t="shared" si="14"/>
        <v>21</v>
      </c>
      <c r="AG397" s="57">
        <f t="shared" si="3"/>
        <v>0</v>
      </c>
      <c r="AH397" s="58">
        <f>AG397*Variables!$E$42*Variables!$C$18</f>
        <v>0</v>
      </c>
      <c r="AI397" s="73">
        <f t="shared" si="4"/>
        <v>3</v>
      </c>
      <c r="AJ397" s="66">
        <f t="shared" si="15"/>
        <v>3</v>
      </c>
      <c r="AK397" s="66">
        <f t="shared" si="5"/>
        <v>0</v>
      </c>
      <c r="AL397" s="62">
        <f>IF(AK397*Variables!$E$43*Variables!$C$18&lt;0,0,AK397*Variables!$E$43*Variables!$C$18)</f>
        <v>0</v>
      </c>
      <c r="AM397" s="58">
        <f>AA397*Variables!$E$39*Variables!$C$18</f>
        <v>108914926.64949745</v>
      </c>
      <c r="AN397" s="1"/>
      <c r="AO397" s="76">
        <f t="shared" si="16"/>
        <v>0.67714285714285716</v>
      </c>
      <c r="AP397" s="76">
        <f t="shared" si="6"/>
        <v>130.82144666139601</v>
      </c>
      <c r="AQ397" s="75">
        <f>VLOOKUP(B397,'Household Information'!$B$2:$E$48,4,FALSE)</f>
        <v>65.935833333333335</v>
      </c>
      <c r="AR397" s="79">
        <f>IF(12*(AP397-Variables!$C$45*AQ397*F397)*(G397/5)&lt;0,0,12*(AP397-Variables!$C$45*AQ397*F397)*(G397/5))</f>
        <v>23164307.913903069</v>
      </c>
      <c r="AS397" s="1"/>
      <c r="AT397" s="62">
        <v>0</v>
      </c>
      <c r="AU397" s="1"/>
    </row>
    <row r="398" spans="1:47" ht="14.25" customHeight="1">
      <c r="A398" s="1">
        <v>19</v>
      </c>
      <c r="B398" s="3" t="s">
        <v>211</v>
      </c>
      <c r="C398" s="1">
        <v>2027</v>
      </c>
      <c r="D398" s="13">
        <f>VLOOKUP(B398,Population!$B$1:$O$48,11,FALSE)</f>
        <v>317027.73847755959</v>
      </c>
      <c r="E398" s="13" t="str">
        <f t="shared" si="22"/>
        <v>Medium</v>
      </c>
      <c r="F398" s="54">
        <f>VLOOKUP(B398,'Household Information'!$B$1:$E$48,2,FALSE)</f>
        <v>2.5344143617118515</v>
      </c>
      <c r="G398" s="54">
        <f t="shared" si="0"/>
        <v>125089.15008808012</v>
      </c>
      <c r="H398" s="55">
        <f>IF(D398&gt;Variables!$C$6,H351,H351*(1+Variables!$C$9))</f>
        <v>33.110705594037988</v>
      </c>
      <c r="I398" s="1"/>
      <c r="J398" s="13">
        <f>H398*Variables!$C$21</f>
        <v>595.9927006926838</v>
      </c>
      <c r="K398" s="13">
        <f t="shared" si="12"/>
        <v>595.9927006926838</v>
      </c>
      <c r="L398" s="54">
        <f t="shared" si="1"/>
        <v>0</v>
      </c>
      <c r="M398" s="56"/>
      <c r="N398" s="57"/>
      <c r="O398" s="57"/>
      <c r="P398" s="57"/>
      <c r="Q398" s="57"/>
      <c r="R398" s="57"/>
      <c r="S398" s="58">
        <v>0</v>
      </c>
      <c r="T398" s="59">
        <f>$L398*Variables!$C$22/100</f>
        <v>0</v>
      </c>
      <c r="U398" s="59">
        <f>$L398*Variables!$C$23/100</f>
        <v>0</v>
      </c>
      <c r="V398" s="59">
        <f>$L398*Variables!$C$24/100</f>
        <v>0</v>
      </c>
      <c r="W398" s="59">
        <f>$L398*Variables!$C$25/100</f>
        <v>0</v>
      </c>
      <c r="X398" s="62">
        <f>T398*Variables!$E$26*Variables!$C$18+'Cost Calculations'!U398*Variables!$E$27*Variables!$C$18+'Cost Calculations'!V398*Variables!$E$28*Variables!$C$18+W398*Variables!$E$29*Variables!$C$18</f>
        <v>0</v>
      </c>
      <c r="Y398" s="58">
        <f>J398*Variables!$E$30</f>
        <v>390375.2189537079</v>
      </c>
      <c r="Z398" s="1"/>
      <c r="AA398" s="245">
        <f>D398*(IF(D398&lt;Variables!$C$7,Variables!$C$38,IF(D398&gt;Variables!$C$6,Variables!$C$36,Variables!$C$37)))</f>
        <v>380.43328617307145</v>
      </c>
      <c r="AB398" s="64">
        <f t="shared" si="13"/>
        <v>375</v>
      </c>
      <c r="AC398" s="66">
        <f t="shared" si="2"/>
        <v>5</v>
      </c>
      <c r="AD398" s="62">
        <f>AC398*Variables!$E$41</f>
        <v>2688000</v>
      </c>
      <c r="AE398" s="71">
        <f>ROUND((H398/(3.14*Variables!$C$35^2)),0)</f>
        <v>42</v>
      </c>
      <c r="AF398" s="57">
        <f t="shared" si="14"/>
        <v>42</v>
      </c>
      <c r="AG398" s="57">
        <f t="shared" si="3"/>
        <v>0</v>
      </c>
      <c r="AH398" s="58">
        <f>AG398*Variables!$E$42*Variables!$C$18</f>
        <v>0</v>
      </c>
      <c r="AI398" s="73">
        <f t="shared" si="4"/>
        <v>3</v>
      </c>
      <c r="AJ398" s="66">
        <f t="shared" si="15"/>
        <v>3</v>
      </c>
      <c r="AK398" s="66">
        <f t="shared" si="5"/>
        <v>0</v>
      </c>
      <c r="AL398" s="62">
        <f>IF(AK398*Variables!$E$43*Variables!$C$18&lt;0,0,AK398*Variables!$E$43*Variables!$C$18)</f>
        <v>0</v>
      </c>
      <c r="AM398" s="58">
        <f>AA398*Variables!$E$39*Variables!$C$18</f>
        <v>109965121.92069882</v>
      </c>
      <c r="AN398" s="1"/>
      <c r="AO398" s="76">
        <f t="shared" si="16"/>
        <v>0.67714285714285716</v>
      </c>
      <c r="AP398" s="76">
        <f t="shared" si="6"/>
        <v>102.96963492440722</v>
      </c>
      <c r="AQ398" s="75">
        <f>VLOOKUP(B398,'Household Information'!$B$2:$E$48,4,FALSE)</f>
        <v>65.935833333333335</v>
      </c>
      <c r="AR398" s="79">
        <f>IF(12*(AP398-Variables!$C$45*AQ398*F398)*(G398/5)&lt;0,0,12*(AP398-Variables!$C$45*AQ398*F398)*(G398/5))</f>
        <v>23387666.156709597</v>
      </c>
      <c r="AS398" s="1"/>
      <c r="AT398" s="62">
        <v>0</v>
      </c>
      <c r="AU398" s="1"/>
    </row>
    <row r="399" spans="1:47" ht="14.25" customHeight="1">
      <c r="A399" s="1">
        <v>20</v>
      </c>
      <c r="B399" s="3" t="s">
        <v>212</v>
      </c>
      <c r="C399" s="1">
        <v>2027</v>
      </c>
      <c r="D399" s="13">
        <f>VLOOKUP(B399,Population!$B$1:$O$48,11,FALSE)</f>
        <v>192079.22535645295</v>
      </c>
      <c r="E399" s="13" t="str">
        <f t="shared" si="22"/>
        <v>Medium</v>
      </c>
      <c r="F399" s="54">
        <f>VLOOKUP(B399,'Household Information'!$B$1:$E$48,2,FALSE)</f>
        <v>2.6024941905499612</v>
      </c>
      <c r="G399" s="54">
        <f t="shared" si="0"/>
        <v>73805.822911697876</v>
      </c>
      <c r="H399" s="55">
        <f>IF(D399&gt;Variables!$C$6,H352,H352*(1+Variables!$C$9))</f>
        <v>15</v>
      </c>
      <c r="I399" s="1"/>
      <c r="J399" s="13">
        <f>H399*Variables!$C$21</f>
        <v>270</v>
      </c>
      <c r="K399" s="13">
        <f t="shared" si="12"/>
        <v>270</v>
      </c>
      <c r="L399" s="54">
        <f t="shared" si="1"/>
        <v>0</v>
      </c>
      <c r="M399" s="56"/>
      <c r="N399" s="57"/>
      <c r="O399" s="57"/>
      <c r="P399" s="57"/>
      <c r="Q399" s="57"/>
      <c r="R399" s="57"/>
      <c r="S399" s="58">
        <v>0</v>
      </c>
      <c r="T399" s="59">
        <f>$L399*Variables!$C$22/100</f>
        <v>0</v>
      </c>
      <c r="U399" s="59">
        <f>$L399*Variables!$C$23/100</f>
        <v>0</v>
      </c>
      <c r="V399" s="59">
        <f>$L399*Variables!$C$24/100</f>
        <v>0</v>
      </c>
      <c r="W399" s="59">
        <f>$L399*Variables!$C$25/100</f>
        <v>0</v>
      </c>
      <c r="X399" s="62">
        <f>T399*Variables!$E$26*Variables!$C$18+'Cost Calculations'!U399*Variables!$E$27*Variables!$C$18+'Cost Calculations'!V399*Variables!$E$28*Variables!$C$18+W399*Variables!$E$29*Variables!$C$18</f>
        <v>0</v>
      </c>
      <c r="Y399" s="58">
        <f>J399*Variables!$E$30</f>
        <v>176850</v>
      </c>
      <c r="Z399" s="1"/>
      <c r="AA399" s="245">
        <f>D399*(IF(D399&lt;Variables!$C$7,Variables!$C$38,IF(D399&gt;Variables!$C$6,Variables!$C$36,Variables!$C$37)))</f>
        <v>230.49507042774351</v>
      </c>
      <c r="AB399" s="64">
        <f t="shared" si="13"/>
        <v>227</v>
      </c>
      <c r="AC399" s="66">
        <f t="shared" si="2"/>
        <v>3</v>
      </c>
      <c r="AD399" s="62">
        <f>AC399*Variables!$E$41</f>
        <v>1612800</v>
      </c>
      <c r="AE399" s="71">
        <f>ROUND((H399/(3.14*Variables!$C$35^2)),0)</f>
        <v>19</v>
      </c>
      <c r="AF399" s="57">
        <f t="shared" si="14"/>
        <v>19</v>
      </c>
      <c r="AG399" s="57">
        <f t="shared" si="3"/>
        <v>0</v>
      </c>
      <c r="AH399" s="58">
        <f>AG399*Variables!$E$42*Variables!$C$18</f>
        <v>0</v>
      </c>
      <c r="AI399" s="73">
        <f t="shared" si="4"/>
        <v>2</v>
      </c>
      <c r="AJ399" s="66">
        <f t="shared" si="15"/>
        <v>2</v>
      </c>
      <c r="AK399" s="66">
        <f t="shared" si="5"/>
        <v>0</v>
      </c>
      <c r="AL399" s="62">
        <f>IF(AK399*Variables!$E$43*Variables!$C$18&lt;0,0,AK399*Variables!$E$43*Variables!$C$18)</f>
        <v>0</v>
      </c>
      <c r="AM399" s="58">
        <f>AA399*Variables!$E$39*Variables!$C$18</f>
        <v>66625133.611931026</v>
      </c>
      <c r="AN399" s="1"/>
      <c r="AO399" s="76">
        <f t="shared" si="16"/>
        <v>0.67714285714285716</v>
      </c>
      <c r="AP399" s="76">
        <f t="shared" si="6"/>
        <v>105.73562111320128</v>
      </c>
      <c r="AQ399" s="75">
        <f>VLOOKUP(B399,'Household Information'!$B$2:$E$48,4,FALSE)</f>
        <v>65.935833333333335</v>
      </c>
      <c r="AR399" s="79">
        <f>IF(12*(AP399-Variables!$C$45*AQ399*F399)*(G399/5)&lt;0,0,12*(AP399-Variables!$C$45*AQ399*F399)*(G399/5))</f>
        <v>14170005.50125077</v>
      </c>
      <c r="AS399" s="1"/>
      <c r="AT399" s="62">
        <v>0</v>
      </c>
      <c r="AU399" s="1"/>
    </row>
    <row r="400" spans="1:47" ht="14.25" customHeight="1">
      <c r="A400" s="1">
        <v>21</v>
      </c>
      <c r="B400" s="3" t="s">
        <v>213</v>
      </c>
      <c r="C400" s="1">
        <v>2027</v>
      </c>
      <c r="D400" s="13">
        <f>VLOOKUP(B400,Population!$B$1:$O$48,11,FALSE)</f>
        <v>203035.18810068051</v>
      </c>
      <c r="E400" s="13" t="str">
        <f t="shared" si="22"/>
        <v>Medium</v>
      </c>
      <c r="F400" s="54">
        <f>VLOOKUP(B400,'Household Information'!$B$1:$E$48,2,FALSE)</f>
        <v>3.3084232295567606</v>
      </c>
      <c r="G400" s="54">
        <f t="shared" si="0"/>
        <v>61369.170149334772</v>
      </c>
      <c r="H400" s="55">
        <f>IF(D400&gt;Variables!$C$6,H353,H353*(1+Variables!$C$9))</f>
        <v>35.084811999999992</v>
      </c>
      <c r="I400" s="1"/>
      <c r="J400" s="13">
        <f>H400*Variables!$C$21</f>
        <v>631.52661599999988</v>
      </c>
      <c r="K400" s="13">
        <f t="shared" si="12"/>
        <v>631.52661599999988</v>
      </c>
      <c r="L400" s="54">
        <f t="shared" si="1"/>
        <v>0</v>
      </c>
      <c r="M400" s="56"/>
      <c r="N400" s="57"/>
      <c r="O400" s="57"/>
      <c r="P400" s="57"/>
      <c r="Q400" s="57"/>
      <c r="R400" s="57"/>
      <c r="S400" s="58">
        <v>0</v>
      </c>
      <c r="T400" s="59">
        <f>$L400*Variables!$C$22/100</f>
        <v>0</v>
      </c>
      <c r="U400" s="59">
        <f>$L400*Variables!$C$23/100</f>
        <v>0</v>
      </c>
      <c r="V400" s="59">
        <f>$L400*Variables!$C$24/100</f>
        <v>0</v>
      </c>
      <c r="W400" s="59">
        <f>$L400*Variables!$C$25/100</f>
        <v>0</v>
      </c>
      <c r="X400" s="62">
        <f>T400*Variables!$E$26*Variables!$C$18+'Cost Calculations'!U400*Variables!$E$27*Variables!$C$18+'Cost Calculations'!V400*Variables!$E$28*Variables!$C$18+W400*Variables!$E$29*Variables!$C$18</f>
        <v>0</v>
      </c>
      <c r="Y400" s="58">
        <f>J400*Variables!$E$30</f>
        <v>413649.93347999989</v>
      </c>
      <c r="Z400" s="1"/>
      <c r="AA400" s="245">
        <f>D400*(IF(D400&lt;Variables!$C$7,Variables!$C$38,IF(D400&gt;Variables!$C$6,Variables!$C$36,Variables!$C$37)))</f>
        <v>243.64222572081658</v>
      </c>
      <c r="AB400" s="64">
        <f t="shared" si="13"/>
        <v>240</v>
      </c>
      <c r="AC400" s="66">
        <f t="shared" si="2"/>
        <v>4</v>
      </c>
      <c r="AD400" s="62">
        <f>AC400*Variables!$E$41</f>
        <v>2150400</v>
      </c>
      <c r="AE400" s="71">
        <f>ROUND((H400/(3.14*Variables!$C$35^2)),0)</f>
        <v>45</v>
      </c>
      <c r="AF400" s="57">
        <f t="shared" si="14"/>
        <v>45</v>
      </c>
      <c r="AG400" s="57">
        <f t="shared" si="3"/>
        <v>0</v>
      </c>
      <c r="AH400" s="58">
        <f>AG400*Variables!$E$42*Variables!$C$18</f>
        <v>0</v>
      </c>
      <c r="AI400" s="73">
        <f t="shared" si="4"/>
        <v>2</v>
      </c>
      <c r="AJ400" s="66">
        <f t="shared" si="15"/>
        <v>2</v>
      </c>
      <c r="AK400" s="66">
        <f t="shared" si="5"/>
        <v>0</v>
      </c>
      <c r="AL400" s="62">
        <f>IF(AK400*Variables!$E$43*Variables!$C$18&lt;0,0,AK400*Variables!$E$43*Variables!$C$18)</f>
        <v>0</v>
      </c>
      <c r="AM400" s="58">
        <f>AA400*Variables!$E$39*Variables!$C$18</f>
        <v>70425349.279850885</v>
      </c>
      <c r="AN400" s="1"/>
      <c r="AO400" s="76">
        <f t="shared" si="16"/>
        <v>0.67714285714285716</v>
      </c>
      <c r="AP400" s="76">
        <f t="shared" si="6"/>
        <v>134.4165094979918</v>
      </c>
      <c r="AQ400" s="75">
        <f>VLOOKUP(B400,'Household Information'!$B$2:$E$48,4,FALSE)</f>
        <v>65.935833333333335</v>
      </c>
      <c r="AR400" s="79">
        <f>IF(12*(AP400-Variables!$C$45*AQ400*F400)*(G400/5)&lt;0,0,12*(AP400-Variables!$C$45*AQ400*F400)*(G400/5))</f>
        <v>14978245.185001593</v>
      </c>
      <c r="AS400" s="1"/>
      <c r="AT400" s="62">
        <v>0</v>
      </c>
      <c r="AU400" s="1"/>
    </row>
    <row r="401" spans="1:47" ht="14.25" customHeight="1">
      <c r="A401" s="1">
        <v>22</v>
      </c>
      <c r="B401" s="3" t="s">
        <v>214</v>
      </c>
      <c r="C401" s="1">
        <v>2027</v>
      </c>
      <c r="D401" s="13">
        <f>VLOOKUP(B401,Population!$B$1:$O$48,11,FALSE)</f>
        <v>179270.97085208673</v>
      </c>
      <c r="E401" s="13" t="str">
        <f t="shared" si="22"/>
        <v>Medium</v>
      </c>
      <c r="F401" s="54">
        <f>VLOOKUP(B401,'Household Information'!$B$1:$E$48,2,FALSE)</f>
        <v>2.4748082204754236</v>
      </c>
      <c r="G401" s="54">
        <f t="shared" si="0"/>
        <v>72438.32850112638</v>
      </c>
      <c r="H401" s="55">
        <f>IF(D401&gt;Variables!$C$6,H354,H354*(1+Variables!$C$9))</f>
        <v>31.3</v>
      </c>
      <c r="I401" s="1"/>
      <c r="J401" s="13">
        <f>H401*Variables!$C$21</f>
        <v>563.4</v>
      </c>
      <c r="K401" s="13">
        <f t="shared" si="12"/>
        <v>563.4</v>
      </c>
      <c r="L401" s="54">
        <f t="shared" si="1"/>
        <v>0</v>
      </c>
      <c r="M401" s="56"/>
      <c r="N401" s="57"/>
      <c r="O401" s="57"/>
      <c r="P401" s="57"/>
      <c r="Q401" s="57"/>
      <c r="R401" s="57"/>
      <c r="S401" s="58">
        <v>0</v>
      </c>
      <c r="T401" s="59">
        <f>$L401*Variables!$C$22/100</f>
        <v>0</v>
      </c>
      <c r="U401" s="59">
        <f>$L401*Variables!$C$23/100</f>
        <v>0</v>
      </c>
      <c r="V401" s="59">
        <f>$L401*Variables!$C$24/100</f>
        <v>0</v>
      </c>
      <c r="W401" s="59">
        <f>$L401*Variables!$C$25/100</f>
        <v>0</v>
      </c>
      <c r="X401" s="62">
        <f>T401*Variables!$E$26*Variables!$C$18+'Cost Calculations'!U401*Variables!$E$27*Variables!$C$18+'Cost Calculations'!V401*Variables!$E$28*Variables!$C$18+W401*Variables!$E$29*Variables!$C$18</f>
        <v>0</v>
      </c>
      <c r="Y401" s="58">
        <f>J401*Variables!$E$30</f>
        <v>369027</v>
      </c>
      <c r="Z401" s="1"/>
      <c r="AA401" s="245">
        <f>D401*(IF(D401&lt;Variables!$C$7,Variables!$C$38,IF(D401&gt;Variables!$C$6,Variables!$C$36,Variables!$C$37)))</f>
        <v>215.12516502250406</v>
      </c>
      <c r="AB401" s="64">
        <f t="shared" si="13"/>
        <v>212</v>
      </c>
      <c r="AC401" s="66">
        <f t="shared" si="2"/>
        <v>3</v>
      </c>
      <c r="AD401" s="62">
        <f>AC401*Variables!$E$41</f>
        <v>1612800</v>
      </c>
      <c r="AE401" s="71">
        <f>ROUND((H401/(3.14*Variables!$C$35^2)),0)</f>
        <v>40</v>
      </c>
      <c r="AF401" s="57">
        <f t="shared" si="14"/>
        <v>40</v>
      </c>
      <c r="AG401" s="57">
        <f t="shared" si="3"/>
        <v>0</v>
      </c>
      <c r="AH401" s="58">
        <f>AG401*Variables!$E$42*Variables!$C$18</f>
        <v>0</v>
      </c>
      <c r="AI401" s="73">
        <f t="shared" si="4"/>
        <v>2</v>
      </c>
      <c r="AJ401" s="66">
        <f t="shared" si="15"/>
        <v>2</v>
      </c>
      <c r="AK401" s="66">
        <f t="shared" si="5"/>
        <v>0</v>
      </c>
      <c r="AL401" s="62">
        <f>IF(AK401*Variables!$E$43*Variables!$C$18&lt;0,0,AK401*Variables!$E$43*Variables!$C$18)</f>
        <v>0</v>
      </c>
      <c r="AM401" s="58">
        <f>AA401*Variables!$E$39*Variables!$C$18</f>
        <v>62182426.879303388</v>
      </c>
      <c r="AN401" s="1"/>
      <c r="AO401" s="76">
        <f t="shared" si="16"/>
        <v>0.67714285714285716</v>
      </c>
      <c r="AP401" s="76">
        <f t="shared" si="6"/>
        <v>100.5479225576015</v>
      </c>
      <c r="AQ401" s="75">
        <f>VLOOKUP(B401,'Household Information'!$B$2:$E$48,4,FALSE)</f>
        <v>65.935833333333335</v>
      </c>
      <c r="AR401" s="79">
        <f>IF(12*(AP401-Variables!$C$45*AQ401*F401)*(G401/5)&lt;0,0,12*(AP401-Variables!$C$45*AQ401*F401)*(G401/5))</f>
        <v>13225119.158381147</v>
      </c>
      <c r="AS401" s="1"/>
      <c r="AT401" s="62">
        <v>0</v>
      </c>
      <c r="AU401" s="1"/>
    </row>
    <row r="402" spans="1:47" ht="14.25" customHeight="1">
      <c r="A402" s="1">
        <v>23</v>
      </c>
      <c r="B402" s="3" t="s">
        <v>215</v>
      </c>
      <c r="C402" s="1">
        <v>2027</v>
      </c>
      <c r="D402" s="13">
        <f>VLOOKUP(B402,Population!$B$1:$O$48,11,FALSE)</f>
        <v>137983.1588406009</v>
      </c>
      <c r="E402" s="13" t="str">
        <f t="shared" si="22"/>
        <v>Medium</v>
      </c>
      <c r="F402" s="54">
        <f>VLOOKUP(B402,'Household Information'!$B$1:$E$48,2,FALSE)</f>
        <v>2.7568018275271275</v>
      </c>
      <c r="G402" s="54">
        <f t="shared" si="0"/>
        <v>50051.89617288264</v>
      </c>
      <c r="H402" s="55">
        <f>IF(D402&gt;Variables!$C$6,H355,H355*(1+Variables!$C$9))</f>
        <v>14.881089649499996</v>
      </c>
      <c r="I402" s="1"/>
      <c r="J402" s="13">
        <f>H402*Variables!$C$21</f>
        <v>267.85961369099994</v>
      </c>
      <c r="K402" s="13">
        <f t="shared" si="12"/>
        <v>267.85961369099994</v>
      </c>
      <c r="L402" s="54">
        <f t="shared" si="1"/>
        <v>0</v>
      </c>
      <c r="M402" s="56"/>
      <c r="N402" s="57"/>
      <c r="O402" s="57"/>
      <c r="P402" s="57"/>
      <c r="Q402" s="57"/>
      <c r="R402" s="57"/>
      <c r="S402" s="58">
        <v>0</v>
      </c>
      <c r="T402" s="59">
        <f>$L402*Variables!$C$22/100</f>
        <v>0</v>
      </c>
      <c r="U402" s="59">
        <f>$L402*Variables!$C$23/100</f>
        <v>0</v>
      </c>
      <c r="V402" s="59">
        <f>$L402*Variables!$C$24/100</f>
        <v>0</v>
      </c>
      <c r="W402" s="59">
        <f>$L402*Variables!$C$25/100</f>
        <v>0</v>
      </c>
      <c r="X402" s="62">
        <f>T402*Variables!$E$26*Variables!$C$18+'Cost Calculations'!U402*Variables!$E$27*Variables!$C$18+'Cost Calculations'!V402*Variables!$E$28*Variables!$C$18+W402*Variables!$E$29*Variables!$C$18</f>
        <v>0</v>
      </c>
      <c r="Y402" s="58">
        <f>J402*Variables!$E$30</f>
        <v>175448.04696760495</v>
      </c>
      <c r="Z402" s="1"/>
      <c r="AA402" s="245">
        <f>D402*(IF(D402&lt;Variables!$C$7,Variables!$C$38,IF(D402&gt;Variables!$C$6,Variables!$C$36,Variables!$C$37)))</f>
        <v>165.57979060872105</v>
      </c>
      <c r="AB402" s="64">
        <f t="shared" si="13"/>
        <v>163</v>
      </c>
      <c r="AC402" s="66">
        <f t="shared" si="2"/>
        <v>3</v>
      </c>
      <c r="AD402" s="62">
        <f>AC402*Variables!$E$41</f>
        <v>1612800</v>
      </c>
      <c r="AE402" s="71">
        <f>ROUND((H402/(3.14*Variables!$C$35^2)),0)</f>
        <v>19</v>
      </c>
      <c r="AF402" s="57">
        <f t="shared" si="14"/>
        <v>19</v>
      </c>
      <c r="AG402" s="57">
        <f t="shared" si="3"/>
        <v>0</v>
      </c>
      <c r="AH402" s="58">
        <f>AG402*Variables!$E$42*Variables!$C$18</f>
        <v>0</v>
      </c>
      <c r="AI402" s="73">
        <f t="shared" si="4"/>
        <v>1</v>
      </c>
      <c r="AJ402" s="66">
        <f t="shared" si="15"/>
        <v>1</v>
      </c>
      <c r="AK402" s="66">
        <f t="shared" si="5"/>
        <v>0</v>
      </c>
      <c r="AL402" s="62">
        <f>IF(AK402*Variables!$E$43*Variables!$C$18&lt;0,0,AK402*Variables!$E$43*Variables!$C$18)</f>
        <v>0</v>
      </c>
      <c r="AM402" s="58">
        <f>AA402*Variables!$E$39*Variables!$C$18</f>
        <v>47861221.727081954</v>
      </c>
      <c r="AN402" s="1"/>
      <c r="AO402" s="76">
        <f t="shared" si="16"/>
        <v>0.67714285714285716</v>
      </c>
      <c r="AP402" s="76">
        <f t="shared" si="6"/>
        <v>112.00491996410214</v>
      </c>
      <c r="AQ402" s="75">
        <f>VLOOKUP(B402,'Household Information'!$B$2:$E$48,4,FALSE)</f>
        <v>65.935833333333335</v>
      </c>
      <c r="AR402" s="79">
        <f>IF(12*(AP402-Variables!$C$45*AQ402*F402)*(G402/5)&lt;0,0,12*(AP402-Variables!$C$45*AQ402*F402)*(G402/5))</f>
        <v>10179248.256665191</v>
      </c>
      <c r="AS402" s="1"/>
      <c r="AT402" s="62">
        <v>0</v>
      </c>
      <c r="AU402" s="1"/>
    </row>
    <row r="403" spans="1:47" ht="14.25" customHeight="1">
      <c r="A403" s="1">
        <v>24</v>
      </c>
      <c r="B403" s="3" t="s">
        <v>216</v>
      </c>
      <c r="C403" s="1">
        <v>2027</v>
      </c>
      <c r="D403" s="13">
        <f>VLOOKUP(B403,Population!$B$1:$O$48,11,FALSE)</f>
        <v>86594.639786482396</v>
      </c>
      <c r="E403" s="13" t="str">
        <f t="shared" si="22"/>
        <v>Small</v>
      </c>
      <c r="F403" s="54">
        <f>VLOOKUP(B403,'Household Information'!$B$1:$E$48,2,FALSE)</f>
        <v>2.845682723378673</v>
      </c>
      <c r="G403" s="54">
        <f t="shared" si="0"/>
        <v>30430.180805142172</v>
      </c>
      <c r="H403" s="55">
        <f>IF(D403&gt;Variables!$C$6,H356,H356*(1+Variables!$C$9))</f>
        <v>11.019399154880679</v>
      </c>
      <c r="I403" s="1"/>
      <c r="J403" s="13">
        <f>H403*Variables!$C$21</f>
        <v>198.34918478785221</v>
      </c>
      <c r="K403" s="13">
        <f t="shared" si="12"/>
        <v>192.01276358940197</v>
      </c>
      <c r="L403" s="54">
        <f t="shared" si="1"/>
        <v>6.336421198450239</v>
      </c>
      <c r="M403" s="56"/>
      <c r="N403" s="57"/>
      <c r="O403" s="57"/>
      <c r="P403" s="57"/>
      <c r="Q403" s="57"/>
      <c r="R403" s="57"/>
      <c r="S403" s="58">
        <v>0</v>
      </c>
      <c r="T403" s="59">
        <f>$L403*Variables!$C$22/100</f>
        <v>0.34405906959910793</v>
      </c>
      <c r="U403" s="59">
        <f>$L403*Variables!$C$23/100</f>
        <v>0.60210337179843898</v>
      </c>
      <c r="V403" s="59">
        <f>$L403*Variables!$C$24/100</f>
        <v>0.63077496093169794</v>
      </c>
      <c r="W403" s="59">
        <f>$L403*Variables!$C$25/100</f>
        <v>4.5874542613214402</v>
      </c>
      <c r="X403" s="62">
        <f>T403*Variables!$E$26*Variables!$C$18+'Cost Calculations'!U403*Variables!$E$27*Variables!$C$18+'Cost Calculations'!V403*Variables!$E$28*Variables!$C$18+W403*Variables!$E$29*Variables!$C$18</f>
        <v>7202787.2527139988</v>
      </c>
      <c r="Y403" s="58">
        <f>J403*Variables!$E$30</f>
        <v>129918.7160360432</v>
      </c>
      <c r="Z403" s="1"/>
      <c r="AA403" s="245">
        <f>D403*(IF(D403&lt;Variables!$C$7,Variables!$C$38,IF(D403&gt;Variables!$C$6,Variables!$C$36,Variables!$C$37)))</f>
        <v>69.275711829185923</v>
      </c>
      <c r="AB403" s="64">
        <f t="shared" si="13"/>
        <v>68</v>
      </c>
      <c r="AC403" s="66">
        <f t="shared" si="2"/>
        <v>1</v>
      </c>
      <c r="AD403" s="62">
        <f>AC403*Variables!$E$41</f>
        <v>537600</v>
      </c>
      <c r="AE403" s="71">
        <f>ROUND((H403/(3.14*Variables!$C$35^2)),0)</f>
        <v>14</v>
      </c>
      <c r="AF403" s="57">
        <f t="shared" si="14"/>
        <v>14</v>
      </c>
      <c r="AG403" s="57">
        <f t="shared" si="3"/>
        <v>0</v>
      </c>
      <c r="AH403" s="58">
        <f>AG403*Variables!$E$42*Variables!$C$18</f>
        <v>0</v>
      </c>
      <c r="AI403" s="73">
        <f t="shared" si="4"/>
        <v>1</v>
      </c>
      <c r="AJ403" s="66">
        <f t="shared" si="15"/>
        <v>1</v>
      </c>
      <c r="AK403" s="66">
        <f t="shared" si="5"/>
        <v>0</v>
      </c>
      <c r="AL403" s="62">
        <f>IF(AK403*Variables!$E$43*Variables!$C$18&lt;0,0,AK403*Variables!$E$43*Variables!$C$18)</f>
        <v>0</v>
      </c>
      <c r="AM403" s="58">
        <f>AA403*Variables!$E$39*Variables!$C$18</f>
        <v>20024304.850059815</v>
      </c>
      <c r="AN403" s="1"/>
      <c r="AO403" s="76">
        <f t="shared" si="16"/>
        <v>0.67714285714285716</v>
      </c>
      <c r="AP403" s="76">
        <f t="shared" si="6"/>
        <v>115.61602378984207</v>
      </c>
      <c r="AQ403" s="75">
        <f>VLOOKUP(B403,'Household Information'!$B$2:$E$48,4,FALSE)</f>
        <v>65.935833333333335</v>
      </c>
      <c r="AR403" s="79">
        <f>IF(12*(AP403-Variables!$C$45*AQ403*F403)*(G403/5)&lt;0,0,12*(AP403-Variables!$C$45*AQ403*F403)*(G403/5))</f>
        <v>6388231.3138038786</v>
      </c>
      <c r="AS403" s="1"/>
      <c r="AT403" s="62">
        <v>0</v>
      </c>
      <c r="AU403" s="1"/>
    </row>
    <row r="404" spans="1:47" ht="14.25" customHeight="1">
      <c r="A404" s="1">
        <v>25</v>
      </c>
      <c r="B404" s="3" t="s">
        <v>217</v>
      </c>
      <c r="C404" s="1">
        <v>2027</v>
      </c>
      <c r="D404" s="13">
        <f>VLOOKUP(B404,Population!$B$1:$O$48,11,FALSE)</f>
        <v>179445.90951832206</v>
      </c>
      <c r="E404" s="13" t="str">
        <f t="shared" si="22"/>
        <v>Medium</v>
      </c>
      <c r="F404" s="54">
        <f>VLOOKUP(B404,'Household Information'!$B$1:$E$48,2,FALSE)</f>
        <v>2.502264030612245</v>
      </c>
      <c r="G404" s="54">
        <f t="shared" si="0"/>
        <v>71713.419256726425</v>
      </c>
      <c r="H404" s="55">
        <f>IF(D404&gt;Variables!$C$6,H357,H357*(1+Variables!$C$9))</f>
        <v>22.498002944169993</v>
      </c>
      <c r="I404" s="1"/>
      <c r="J404" s="13">
        <f>H404*Variables!$C$21</f>
        <v>404.96405299505989</v>
      </c>
      <c r="K404" s="13">
        <f t="shared" si="12"/>
        <v>404.96405299505989</v>
      </c>
      <c r="L404" s="54">
        <f t="shared" si="1"/>
        <v>0</v>
      </c>
      <c r="M404" s="56"/>
      <c r="N404" s="57"/>
      <c r="O404" s="57"/>
      <c r="P404" s="57"/>
      <c r="Q404" s="57"/>
      <c r="R404" s="57"/>
      <c r="S404" s="58">
        <v>0</v>
      </c>
      <c r="T404" s="59">
        <f>$L404*Variables!$C$22/100</f>
        <v>0</v>
      </c>
      <c r="U404" s="59">
        <f>$L404*Variables!$C$23/100</f>
        <v>0</v>
      </c>
      <c r="V404" s="59">
        <f>$L404*Variables!$C$24/100</f>
        <v>0</v>
      </c>
      <c r="W404" s="59">
        <f>$L404*Variables!$C$25/100</f>
        <v>0</v>
      </c>
      <c r="X404" s="62">
        <f>T404*Variables!$E$26*Variables!$C$18+'Cost Calculations'!U404*Variables!$E$27*Variables!$C$18+'Cost Calculations'!V404*Variables!$E$28*Variables!$C$18+W404*Variables!$E$29*Variables!$C$18</f>
        <v>0</v>
      </c>
      <c r="Y404" s="58">
        <f>J404*Variables!$E$30</f>
        <v>265251.45471176424</v>
      </c>
      <c r="Z404" s="1"/>
      <c r="AA404" s="245">
        <f>D404*(IF(D404&lt;Variables!$C$7,Variables!$C$38,IF(D404&gt;Variables!$C$6,Variables!$C$36,Variables!$C$37)))</f>
        <v>215.33509142198645</v>
      </c>
      <c r="AB404" s="64">
        <f t="shared" si="13"/>
        <v>212</v>
      </c>
      <c r="AC404" s="66">
        <f t="shared" si="2"/>
        <v>3</v>
      </c>
      <c r="AD404" s="62">
        <f>AC404*Variables!$E$41</f>
        <v>1612800</v>
      </c>
      <c r="AE404" s="71">
        <f>ROUND((H404/(3.14*Variables!$C$35^2)),0)</f>
        <v>29</v>
      </c>
      <c r="AF404" s="57">
        <f t="shared" si="14"/>
        <v>29</v>
      </c>
      <c r="AG404" s="57">
        <f t="shared" si="3"/>
        <v>0</v>
      </c>
      <c r="AH404" s="58">
        <f>AG404*Variables!$E$42*Variables!$C$18</f>
        <v>0</v>
      </c>
      <c r="AI404" s="73">
        <f t="shared" si="4"/>
        <v>2</v>
      </c>
      <c r="AJ404" s="66">
        <f t="shared" si="15"/>
        <v>2</v>
      </c>
      <c r="AK404" s="66">
        <f t="shared" si="5"/>
        <v>0</v>
      </c>
      <c r="AL404" s="62">
        <f>IF(AK404*Variables!$E$43*Variables!$C$18&lt;0,0,AK404*Variables!$E$43*Variables!$C$18)</f>
        <v>0</v>
      </c>
      <c r="AM404" s="58">
        <f>AA404*Variables!$E$39*Variables!$C$18</f>
        <v>62243106.590970241</v>
      </c>
      <c r="AN404" s="1"/>
      <c r="AO404" s="76">
        <f t="shared" si="16"/>
        <v>0.67714285714285716</v>
      </c>
      <c r="AP404" s="76">
        <f t="shared" si="6"/>
        <v>101.66341290087463</v>
      </c>
      <c r="AQ404" s="75">
        <f>VLOOKUP(B404,'Household Information'!$B$2:$E$48,4,FALSE)</f>
        <v>65.935833333333335</v>
      </c>
      <c r="AR404" s="79">
        <f>IF(12*(AP404-Variables!$C$45*AQ404*F404)*(G404/5)&lt;0,0,12*(AP404-Variables!$C$45*AQ404*F404)*(G404/5))</f>
        <v>13238024.676186813</v>
      </c>
      <c r="AS404" s="1"/>
      <c r="AT404" s="62">
        <v>0</v>
      </c>
      <c r="AU404" s="1"/>
    </row>
    <row r="405" spans="1:47" ht="14.25" customHeight="1">
      <c r="A405" s="1">
        <v>26</v>
      </c>
      <c r="B405" s="3" t="s">
        <v>219</v>
      </c>
      <c r="C405" s="1">
        <v>2027</v>
      </c>
      <c r="D405" s="13">
        <f>VLOOKUP(B405,Population!$B$1:$O$48,11,FALSE)</f>
        <v>48987.400105790613</v>
      </c>
      <c r="E405" s="13" t="str">
        <f t="shared" si="22"/>
        <v>Small</v>
      </c>
      <c r="F405" s="54">
        <f>VLOOKUP(B405,'Household Information'!$B$1:$E$48,2,FALSE)</f>
        <v>3.6899491861166136</v>
      </c>
      <c r="G405" s="54">
        <f t="shared" si="0"/>
        <v>13275.901004302465</v>
      </c>
      <c r="H405" s="55">
        <f>IF(D405&gt;Variables!$C$6,H358,H358*(1+Variables!$C$9))</f>
        <v>4.7973819438552177</v>
      </c>
      <c r="I405" s="1"/>
      <c r="J405" s="13">
        <f>H405*Variables!$C$21</f>
        <v>86.352874989393911</v>
      </c>
      <c r="K405" s="13">
        <f t="shared" si="12"/>
        <v>83.594264268532356</v>
      </c>
      <c r="L405" s="54">
        <f t="shared" si="1"/>
        <v>2.7586107208615545</v>
      </c>
      <c r="M405" s="56"/>
      <c r="N405" s="57"/>
      <c r="O405" s="57"/>
      <c r="P405" s="57"/>
      <c r="Q405" s="57"/>
      <c r="R405" s="57"/>
      <c r="S405" s="58">
        <v>0</v>
      </c>
      <c r="T405" s="59">
        <f>$L405*Variables!$C$22/100</f>
        <v>0.14978881742234684</v>
      </c>
      <c r="U405" s="59">
        <f>$L405*Variables!$C$23/100</f>
        <v>0.262130430489107</v>
      </c>
      <c r="V405" s="59">
        <f>$L405*Variables!$C$24/100</f>
        <v>0.27461283194096919</v>
      </c>
      <c r="W405" s="59">
        <f>$L405*Variables!$C$25/100</f>
        <v>1.9971842322979581</v>
      </c>
      <c r="X405" s="62">
        <f>T405*Variables!$E$26*Variables!$C$18+'Cost Calculations'!U405*Variables!$E$27*Variables!$C$18+'Cost Calculations'!V405*Variables!$E$28*Variables!$C$18+W405*Variables!$E$29*Variables!$C$18</f>
        <v>3135789.9850915056</v>
      </c>
      <c r="Y405" s="58">
        <f>J405*Variables!$E$30</f>
        <v>56561.133118053011</v>
      </c>
      <c r="Z405" s="1"/>
      <c r="AA405" s="245">
        <f>D405*(IF(D405&lt;Variables!$C$7,Variables!$C$38,IF(D405&gt;Variables!$C$6,Variables!$C$36,Variables!$C$37)))</f>
        <v>24.493700052895306</v>
      </c>
      <c r="AB405" s="64">
        <f t="shared" si="13"/>
        <v>24</v>
      </c>
      <c r="AC405" s="66">
        <f t="shared" si="2"/>
        <v>0</v>
      </c>
      <c r="AD405" s="62">
        <f>AC405*Variables!$E$41</f>
        <v>0</v>
      </c>
      <c r="AE405" s="71">
        <f>ROUND((H405/(3.14*Variables!$C$35^2)),0)</f>
        <v>6</v>
      </c>
      <c r="AF405" s="57">
        <f t="shared" si="14"/>
        <v>6</v>
      </c>
      <c r="AG405" s="57">
        <f t="shared" si="3"/>
        <v>0</v>
      </c>
      <c r="AH405" s="58">
        <f>AG405*Variables!$E$42*Variables!$C$18</f>
        <v>0</v>
      </c>
      <c r="AI405" s="73">
        <f t="shared" si="4"/>
        <v>0</v>
      </c>
      <c r="AJ405" s="66">
        <f t="shared" si="15"/>
        <v>0</v>
      </c>
      <c r="AK405" s="66">
        <f t="shared" si="5"/>
        <v>0</v>
      </c>
      <c r="AL405" s="62">
        <f>IF(AK405*Variables!$E$43*Variables!$C$18&lt;0,0,AK405*Variables!$E$43*Variables!$C$18)</f>
        <v>0</v>
      </c>
      <c r="AM405" s="58">
        <f>AA405*Variables!$E$39*Variables!$C$18</f>
        <v>7079960.6935033556</v>
      </c>
      <c r="AN405" s="1"/>
      <c r="AO405" s="76">
        <f t="shared" si="16"/>
        <v>0.67714285714285716</v>
      </c>
      <c r="AP405" s="76">
        <f t="shared" si="6"/>
        <v>149.91736407593783</v>
      </c>
      <c r="AQ405" s="75">
        <f>VLOOKUP(B405,'Household Information'!$B$2:$E$48,4,FALSE)</f>
        <v>65.935833333333335</v>
      </c>
      <c r="AR405" s="79">
        <f>IF(12*(AP405-Variables!$C$45*AQ405*F405)*(G405/5)&lt;0,0,12*(AP405-Variables!$C$45*AQ405*F405)*(G405/5))</f>
        <v>3613882.3847443489</v>
      </c>
      <c r="AS405" s="1"/>
      <c r="AT405" s="62">
        <v>0</v>
      </c>
      <c r="AU405" s="1"/>
    </row>
    <row r="406" spans="1:47" ht="14.25" customHeight="1">
      <c r="A406" s="1">
        <v>27</v>
      </c>
      <c r="B406" s="3" t="s">
        <v>220</v>
      </c>
      <c r="C406" s="1">
        <v>2027</v>
      </c>
      <c r="D406" s="13">
        <f>VLOOKUP(B406,Population!$B$1:$O$48,11,FALSE)</f>
        <v>9187.1384522926801</v>
      </c>
      <c r="E406" s="13" t="str">
        <f t="shared" si="22"/>
        <v>Small</v>
      </c>
      <c r="F406" s="54">
        <f>VLOOKUP(B406,'Household Information'!$B$1:$E$48,2,FALSE)</f>
        <v>2.667113684852179</v>
      </c>
      <c r="G406" s="54">
        <f t="shared" si="0"/>
        <v>3444.5994951287066</v>
      </c>
      <c r="H406" s="55">
        <f>IF(D406&gt;Variables!$C$6,H359,H359*(1+Variables!$C$9))</f>
        <v>0.78179135378984832</v>
      </c>
      <c r="I406" s="1"/>
      <c r="J406" s="13">
        <f>H406*Variables!$C$21</f>
        <v>14.07224436821727</v>
      </c>
      <c r="K406" s="13">
        <f t="shared" si="12"/>
        <v>13.622695419377802</v>
      </c>
      <c r="L406" s="54">
        <f t="shared" si="1"/>
        <v>0.4495489488394675</v>
      </c>
      <c r="M406" s="56"/>
      <c r="N406" s="57"/>
      <c r="O406" s="57"/>
      <c r="P406" s="57"/>
      <c r="Q406" s="57"/>
      <c r="R406" s="57"/>
      <c r="S406" s="58">
        <v>0</v>
      </c>
      <c r="T406" s="59">
        <f>$L406*Variables!$C$22/100</f>
        <v>2.4409897674541218E-2</v>
      </c>
      <c r="U406" s="59">
        <f>$L406*Variables!$C$23/100</f>
        <v>4.2717320930447132E-2</v>
      </c>
      <c r="V406" s="59">
        <f>$L406*Variables!$C$24/100</f>
        <v>4.4751479069992238E-2</v>
      </c>
      <c r="W406" s="59">
        <f>$L406*Variables!$C$25/100</f>
        <v>0.32546530232721627</v>
      </c>
      <c r="X406" s="62">
        <f>T406*Variables!$E$26*Variables!$C$18+'Cost Calculations'!U406*Variables!$E$27*Variables!$C$18+'Cost Calculations'!V406*Variables!$E$28*Variables!$C$18+W406*Variables!$E$29*Variables!$C$18</f>
        <v>511014.86734559952</v>
      </c>
      <c r="Y406" s="58">
        <f>J406*Variables!$E$30</f>
        <v>9217.3200611823122</v>
      </c>
      <c r="Z406" s="1"/>
      <c r="AA406" s="245">
        <f>D406*(IF(D406&lt;Variables!$C$7,Variables!$C$38,IF(D406&gt;Variables!$C$6,Variables!$C$36,Variables!$C$37)))</f>
        <v>4.5935692261463403</v>
      </c>
      <c r="AB406" s="64">
        <f t="shared" si="13"/>
        <v>78</v>
      </c>
      <c r="AC406" s="66">
        <f t="shared" si="2"/>
        <v>0</v>
      </c>
      <c r="AD406" s="62">
        <f>AC406*Variables!$E$41</f>
        <v>0</v>
      </c>
      <c r="AE406" s="71">
        <f>ROUND((H406/(3.14*Variables!$C$35^2)),0)</f>
        <v>1</v>
      </c>
      <c r="AF406" s="57">
        <f t="shared" si="14"/>
        <v>1</v>
      </c>
      <c r="AG406" s="57">
        <f t="shared" si="3"/>
        <v>0</v>
      </c>
      <c r="AH406" s="58">
        <f>AG406*Variables!$E$42*Variables!$C$18</f>
        <v>0</v>
      </c>
      <c r="AI406" s="73">
        <f t="shared" si="4"/>
        <v>0</v>
      </c>
      <c r="AJ406" s="66">
        <f t="shared" si="15"/>
        <v>0</v>
      </c>
      <c r="AK406" s="66">
        <f t="shared" si="5"/>
        <v>0</v>
      </c>
      <c r="AL406" s="62">
        <f>IF(AK406*Variables!$E$43*Variables!$C$18&lt;0,0,AK406*Variables!$E$43*Variables!$C$18)</f>
        <v>0</v>
      </c>
      <c r="AM406" s="58">
        <f>AA406*Variables!$E$39*Variables!$C$18</f>
        <v>1327781.8171109017</v>
      </c>
      <c r="AN406" s="1"/>
      <c r="AO406" s="76">
        <f t="shared" si="16"/>
        <v>0.67714285714285716</v>
      </c>
      <c r="AP406" s="76">
        <f t="shared" si="6"/>
        <v>108.3610188531371</v>
      </c>
      <c r="AQ406" s="75">
        <f>VLOOKUP(B406,'Household Information'!$B$2:$E$48,4,FALSE)</f>
        <v>65.935833333333335</v>
      </c>
      <c r="AR406" s="79">
        <f>IF(12*(AP406-Variables!$C$45*AQ406*F406)*(G406/5)&lt;0,0,12*(AP406-Variables!$C$45*AQ406*F406)*(G406/5))</f>
        <v>677750.55927132978</v>
      </c>
      <c r="AS406" s="1"/>
      <c r="AT406" s="62">
        <v>0</v>
      </c>
      <c r="AU406" s="1"/>
    </row>
    <row r="407" spans="1:47" ht="14.25" customHeight="1">
      <c r="A407" s="1">
        <v>28</v>
      </c>
      <c r="B407" s="3" t="s">
        <v>221</v>
      </c>
      <c r="C407" s="1">
        <v>2027</v>
      </c>
      <c r="D407" s="13">
        <f>VLOOKUP(B407,Population!$B$1:$O$48,11,FALSE)</f>
        <v>54981.050356807194</v>
      </c>
      <c r="E407" s="13" t="str">
        <f t="shared" si="22"/>
        <v>Small</v>
      </c>
      <c r="F407" s="54">
        <f>VLOOKUP(B407,'Household Information'!$B$1:$E$48,2,FALSE)</f>
        <v>2.5363152064982328</v>
      </c>
      <c r="G407" s="54">
        <f t="shared" si="0"/>
        <v>21677.530543499306</v>
      </c>
      <c r="H407" s="55">
        <f>IF(D407&gt;Variables!$C$6,H360,H360*(1+Variables!$C$9))</f>
        <v>6.7422665156884145</v>
      </c>
      <c r="I407" s="1"/>
      <c r="J407" s="13">
        <f>H407*Variables!$C$21</f>
        <v>121.36079728239146</v>
      </c>
      <c r="K407" s="13">
        <f t="shared" si="12"/>
        <v>124.62</v>
      </c>
      <c r="L407" s="54">
        <f t="shared" si="1"/>
        <v>0</v>
      </c>
      <c r="M407" s="56"/>
      <c r="N407" s="57"/>
      <c r="O407" s="57"/>
      <c r="P407" s="57"/>
      <c r="Q407" s="57"/>
      <c r="R407" s="57"/>
      <c r="S407" s="58">
        <v>0</v>
      </c>
      <c r="T407" s="59">
        <f>$L407*Variables!$C$22/100</f>
        <v>0</v>
      </c>
      <c r="U407" s="59">
        <f>$L407*Variables!$C$23/100</f>
        <v>0</v>
      </c>
      <c r="V407" s="59">
        <f>$L407*Variables!$C$24/100</f>
        <v>0</v>
      </c>
      <c r="W407" s="59">
        <f>$L407*Variables!$C$25/100</f>
        <v>0</v>
      </c>
      <c r="X407" s="62">
        <f>T407*Variables!$E$26*Variables!$C$18+'Cost Calculations'!U407*Variables!$E$27*Variables!$C$18+'Cost Calculations'!V407*Variables!$E$28*Variables!$C$18+W407*Variables!$E$29*Variables!$C$18</f>
        <v>0</v>
      </c>
      <c r="Y407" s="58">
        <f>J407*Variables!$E$30</f>
        <v>79491.322219966401</v>
      </c>
      <c r="Z407" s="1"/>
      <c r="AA407" s="245">
        <f>D407*(IF(D407&lt;Variables!$C$7,Variables!$C$38,IF(D407&gt;Variables!$C$6,Variables!$C$36,Variables!$C$37)))</f>
        <v>43.984840285445756</v>
      </c>
      <c r="AB407" s="64">
        <f t="shared" si="13"/>
        <v>43</v>
      </c>
      <c r="AC407" s="66">
        <f t="shared" si="2"/>
        <v>1</v>
      </c>
      <c r="AD407" s="62">
        <f>AC407*Variables!$E$41</f>
        <v>537600</v>
      </c>
      <c r="AE407" s="71">
        <f>ROUND((H407/(3.14*Variables!$C$35^2)),0)</f>
        <v>9</v>
      </c>
      <c r="AF407" s="57">
        <f t="shared" si="14"/>
        <v>8</v>
      </c>
      <c r="AG407" s="57">
        <f t="shared" si="3"/>
        <v>1</v>
      </c>
      <c r="AH407" s="58">
        <f>AG407*Variables!$E$42*Variables!$C$18</f>
        <v>1148.2560000000001</v>
      </c>
      <c r="AI407" s="73">
        <f t="shared" si="4"/>
        <v>0</v>
      </c>
      <c r="AJ407" s="66">
        <f t="shared" si="15"/>
        <v>0</v>
      </c>
      <c r="AK407" s="66">
        <f t="shared" si="5"/>
        <v>0</v>
      </c>
      <c r="AL407" s="62">
        <f>IF(AK407*Variables!$E$43*Variables!$C$18&lt;0,0,AK407*Variables!$E$43*Variables!$C$18)</f>
        <v>0</v>
      </c>
      <c r="AM407" s="58">
        <f>AA407*Variables!$E$39*Variables!$C$18</f>
        <v>12713919.8919915</v>
      </c>
      <c r="AN407" s="1"/>
      <c r="AO407" s="76">
        <f t="shared" si="16"/>
        <v>0.67714285714285716</v>
      </c>
      <c r="AP407" s="76">
        <f t="shared" si="6"/>
        <v>103.04686353258533</v>
      </c>
      <c r="AQ407" s="75">
        <f>VLOOKUP(B407,'Household Information'!$B$2:$E$48,4,FALSE)</f>
        <v>65.935833333333335</v>
      </c>
      <c r="AR407" s="79">
        <f>IF(12*(AP407-Variables!$C$45*AQ407*F407)*(G407/5)&lt;0,0,12*(AP407-Variables!$C$45*AQ407*F407)*(G407/5))</f>
        <v>4056043.9817201192</v>
      </c>
      <c r="AS407" s="1"/>
      <c r="AT407" s="62">
        <v>0</v>
      </c>
      <c r="AU407" s="1"/>
    </row>
    <row r="408" spans="1:47" ht="14.25" customHeight="1">
      <c r="A408" s="1">
        <v>29</v>
      </c>
      <c r="B408" s="3" t="s">
        <v>222</v>
      </c>
      <c r="C408" s="1">
        <v>2027</v>
      </c>
      <c r="D408" s="13">
        <f>VLOOKUP(B408,Population!$B$1:$O$48,11,FALSE)</f>
        <v>55365.229388539658</v>
      </c>
      <c r="E408" s="13" t="str">
        <f t="shared" si="22"/>
        <v>Small</v>
      </c>
      <c r="F408" s="54">
        <f>VLOOKUP(B408,'Household Information'!$B$1:$E$48,2,FALSE)</f>
        <v>2.6066968130921619</v>
      </c>
      <c r="G408" s="54">
        <f t="shared" si="0"/>
        <v>21239.612182923313</v>
      </c>
      <c r="H408" s="55">
        <f>IF(D408&gt;Variables!$C$6,H361,H361*(1+Variables!$C$9))</f>
        <v>4.2528142637419224</v>
      </c>
      <c r="I408" s="1"/>
      <c r="J408" s="13">
        <f>H408*Variables!$C$21</f>
        <v>76.550656747354608</v>
      </c>
      <c r="K408" s="13">
        <f t="shared" si="12"/>
        <v>74.105185621834096</v>
      </c>
      <c r="L408" s="54">
        <f t="shared" si="1"/>
        <v>2.4454711255205126</v>
      </c>
      <c r="M408" s="56"/>
      <c r="N408" s="57"/>
      <c r="O408" s="57"/>
      <c r="P408" s="57"/>
      <c r="Q408" s="57"/>
      <c r="R408" s="57"/>
      <c r="S408" s="58">
        <v>0</v>
      </c>
      <c r="T408" s="59">
        <f>$L408*Variables!$C$22/100</f>
        <v>0.13278576247170201</v>
      </c>
      <c r="U408" s="59">
        <f>$L408*Variables!$C$23/100</f>
        <v>0.2323750843254786</v>
      </c>
      <c r="V408" s="59">
        <f>$L408*Variables!$C$24/100</f>
        <v>0.24344056453145374</v>
      </c>
      <c r="W408" s="59">
        <f>$L408*Variables!$C$25/100</f>
        <v>1.7704768329560272</v>
      </c>
      <c r="X408" s="62">
        <f>T408*Variables!$E$26*Variables!$C$18+'Cost Calculations'!U408*Variables!$E$27*Variables!$C$18+'Cost Calculations'!V408*Variables!$E$28*Variables!$C$18+W408*Variables!$E$29*Variables!$C$18</f>
        <v>2779835.4462432801</v>
      </c>
      <c r="Y408" s="58">
        <f>J408*Variables!$E$30</f>
        <v>50140.680169517269</v>
      </c>
      <c r="Z408" s="1"/>
      <c r="AA408" s="245">
        <f>D408*(IF(D408&lt;Variables!$C$7,Variables!$C$38,IF(D408&gt;Variables!$C$6,Variables!$C$36,Variables!$C$37)))</f>
        <v>44.292183510831727</v>
      </c>
      <c r="AB408" s="64">
        <f t="shared" si="13"/>
        <v>44</v>
      </c>
      <c r="AC408" s="66">
        <f t="shared" si="2"/>
        <v>0</v>
      </c>
      <c r="AD408" s="62">
        <f>AC408*Variables!$E$41</f>
        <v>0</v>
      </c>
      <c r="AE408" s="71">
        <f>ROUND((H408/(3.14*Variables!$C$35^2)),0)</f>
        <v>5</v>
      </c>
      <c r="AF408" s="57">
        <f t="shared" si="14"/>
        <v>5</v>
      </c>
      <c r="AG408" s="57">
        <f t="shared" si="3"/>
        <v>0</v>
      </c>
      <c r="AH408" s="58">
        <f>AG408*Variables!$E$42*Variables!$C$18</f>
        <v>0</v>
      </c>
      <c r="AI408" s="73">
        <f t="shared" si="4"/>
        <v>0</v>
      </c>
      <c r="AJ408" s="66">
        <f t="shared" si="15"/>
        <v>0</v>
      </c>
      <c r="AK408" s="66">
        <f t="shared" si="5"/>
        <v>0</v>
      </c>
      <c r="AL408" s="62">
        <f>IF(AK408*Variables!$E$43*Variables!$C$18&lt;0,0,AK408*Variables!$E$43*Variables!$C$18)</f>
        <v>0</v>
      </c>
      <c r="AM408" s="58">
        <f>AA408*Variables!$E$39*Variables!$C$18</f>
        <v>12802758.162667146</v>
      </c>
      <c r="AN408" s="1"/>
      <c r="AO408" s="76">
        <f t="shared" si="16"/>
        <v>0.67714285714285716</v>
      </c>
      <c r="AP408" s="76">
        <f t="shared" si="6"/>
        <v>105.9063676633444</v>
      </c>
      <c r="AQ408" s="75">
        <f>VLOOKUP(B408,'Household Information'!$B$2:$E$48,4,FALSE)</f>
        <v>65.935833333333335</v>
      </c>
      <c r="AR408" s="79">
        <f>IF(12*(AP408-Variables!$C$45*AQ408*F408)*(G408/5)&lt;0,0,12*(AP408-Variables!$C$45*AQ408*F408)*(G408/5))</f>
        <v>4084385.5110188336</v>
      </c>
      <c r="AS408" s="1"/>
      <c r="AT408" s="62">
        <v>0</v>
      </c>
      <c r="AU408" s="1"/>
    </row>
    <row r="409" spans="1:47" ht="14.25" customHeight="1">
      <c r="A409" s="1">
        <v>30</v>
      </c>
      <c r="B409" s="3" t="s">
        <v>223</v>
      </c>
      <c r="C409" s="1">
        <v>2027</v>
      </c>
      <c r="D409" s="13">
        <f>VLOOKUP(B409,Population!$B$1:$O$48,11,FALSE)</f>
        <v>22625.400833101125</v>
      </c>
      <c r="E409" s="13" t="str">
        <f t="shared" si="22"/>
        <v>Small</v>
      </c>
      <c r="F409" s="54">
        <f>VLOOKUP(B409,'Household Information'!$B$1:$E$48,2,FALSE)</f>
        <v>2.8820273812991553</v>
      </c>
      <c r="G409" s="54">
        <f t="shared" si="0"/>
        <v>7850.5155710568188</v>
      </c>
      <c r="H409" s="55">
        <f>IF(D409&gt;Variables!$C$6,H362,H362*(1+Variables!$C$9))</f>
        <v>4.4084050294885779</v>
      </c>
      <c r="I409" s="1"/>
      <c r="J409" s="13">
        <f>H409*Variables!$C$21</f>
        <v>79.351290530794401</v>
      </c>
      <c r="K409" s="13">
        <f t="shared" si="12"/>
        <v>76.816350949462162</v>
      </c>
      <c r="L409" s="54">
        <f t="shared" si="1"/>
        <v>2.5349395813322388</v>
      </c>
      <c r="M409" s="56"/>
      <c r="N409" s="57"/>
      <c r="O409" s="57"/>
      <c r="P409" s="57"/>
      <c r="Q409" s="57"/>
      <c r="R409" s="57"/>
      <c r="S409" s="58">
        <v>0</v>
      </c>
      <c r="T409" s="59">
        <f>$L409*Variables!$C$22/100</f>
        <v>0.13764377817188625</v>
      </c>
      <c r="U409" s="59">
        <f>$L409*Variables!$C$23/100</f>
        <v>0.24087661180080097</v>
      </c>
      <c r="V409" s="59">
        <f>$L409*Variables!$C$24/100</f>
        <v>0.25234692664845815</v>
      </c>
      <c r="W409" s="59">
        <f>$L409*Variables!$C$25/100</f>
        <v>1.8352503756251501</v>
      </c>
      <c r="X409" s="62">
        <f>T409*Variables!$E$26*Variables!$C$18+'Cost Calculations'!U409*Variables!$E$27*Variables!$C$18+'Cost Calculations'!V409*Variables!$E$28*Variables!$C$18+W409*Variables!$E$29*Variables!$C$18</f>
        <v>2881536.7430570587</v>
      </c>
      <c r="Y409" s="58">
        <f>J409*Variables!$E$30</f>
        <v>51975.095297670334</v>
      </c>
      <c r="Z409" s="1"/>
      <c r="AA409" s="245">
        <f>D409*(IF(D409&lt;Variables!$C$7,Variables!$C$38,IF(D409&gt;Variables!$C$6,Variables!$C$36,Variables!$C$37)))</f>
        <v>11.312700416550562</v>
      </c>
      <c r="AB409" s="64">
        <f t="shared" si="13"/>
        <v>11</v>
      </c>
      <c r="AC409" s="66">
        <f t="shared" si="2"/>
        <v>0</v>
      </c>
      <c r="AD409" s="62">
        <f>AC409*Variables!$E$41</f>
        <v>0</v>
      </c>
      <c r="AE409" s="71">
        <f>ROUND((H409/(3.14*Variables!$C$35^2)),0)</f>
        <v>6</v>
      </c>
      <c r="AF409" s="57">
        <f t="shared" si="14"/>
        <v>5</v>
      </c>
      <c r="AG409" s="57">
        <f t="shared" si="3"/>
        <v>1</v>
      </c>
      <c r="AH409" s="58">
        <f>AG409*Variables!$E$42*Variables!$C$18</f>
        <v>1148.2560000000001</v>
      </c>
      <c r="AI409" s="73">
        <f t="shared" si="4"/>
        <v>0</v>
      </c>
      <c r="AJ409" s="66">
        <f t="shared" si="15"/>
        <v>0</v>
      </c>
      <c r="AK409" s="66">
        <f t="shared" si="5"/>
        <v>0</v>
      </c>
      <c r="AL409" s="62">
        <f>IF(AK409*Variables!$E$43*Variables!$C$18&lt;0,0,AK409*Variables!$E$43*Variables!$C$18)</f>
        <v>0</v>
      </c>
      <c r="AM409" s="58">
        <f>AA409*Variables!$E$39*Variables!$C$18</f>
        <v>3269962.2398245824</v>
      </c>
      <c r="AN409" s="1"/>
      <c r="AO409" s="76">
        <f t="shared" si="16"/>
        <v>0.67714285714285716</v>
      </c>
      <c r="AP409" s="76">
        <f t="shared" si="6"/>
        <v>117.09265532021139</v>
      </c>
      <c r="AQ409" s="75">
        <f>VLOOKUP(B409,'Household Information'!$B$2:$E$48,4,FALSE)</f>
        <v>65.935833333333335</v>
      </c>
      <c r="AR409" s="79">
        <f>IF(12*(AP409-Variables!$C$45*AQ409*F409)*(G409/5)&lt;0,0,12*(AP409-Variables!$C$45*AQ409*F409)*(G409/5))</f>
        <v>1669113.6361992625</v>
      </c>
      <c r="AS409" s="1"/>
      <c r="AT409" s="62">
        <v>0</v>
      </c>
      <c r="AU409" s="1"/>
    </row>
    <row r="410" spans="1:47" ht="14.25" customHeight="1">
      <c r="A410" s="1">
        <v>31</v>
      </c>
      <c r="B410" s="3" t="s">
        <v>224</v>
      </c>
      <c r="C410" s="1">
        <v>2027</v>
      </c>
      <c r="D410" s="13">
        <f>VLOOKUP(B410,Population!$B$1:$O$48,11,FALSE)</f>
        <v>34420.611819268051</v>
      </c>
      <c r="E410" s="13" t="str">
        <f t="shared" si="22"/>
        <v>Small</v>
      </c>
      <c r="F410" s="54">
        <f>VLOOKUP(B410,'Household Information'!$B$1:$E$48,2,FALSE)</f>
        <v>3.407</v>
      </c>
      <c r="G410" s="54">
        <f t="shared" si="0"/>
        <v>10102.909251326108</v>
      </c>
      <c r="H410" s="55">
        <f>IF(D410&gt;Variables!$C$6,H363,H363*(1+Variables!$C$9))</f>
        <v>4.7066206638363353</v>
      </c>
      <c r="I410" s="1"/>
      <c r="J410" s="13">
        <f>H410*Variables!$C$21</f>
        <v>84.719171949054029</v>
      </c>
      <c r="K410" s="13">
        <f t="shared" si="12"/>
        <v>83</v>
      </c>
      <c r="L410" s="54">
        <f t="shared" si="1"/>
        <v>1.7191719490540294</v>
      </c>
      <c r="M410" s="56"/>
      <c r="N410" s="57"/>
      <c r="O410" s="57"/>
      <c r="P410" s="57"/>
      <c r="Q410" s="57"/>
      <c r="R410" s="57"/>
      <c r="S410" s="58">
        <v>0</v>
      </c>
      <c r="T410" s="59">
        <f>$L410*Variables!$C$22/100</f>
        <v>9.3348703116055878E-2</v>
      </c>
      <c r="U410" s="59">
        <f>$L410*Variables!$C$23/100</f>
        <v>0.1633602304530978</v>
      </c>
      <c r="V410" s="59">
        <f>$L410*Variables!$C$24/100</f>
        <v>0.17113928904610248</v>
      </c>
      <c r="W410" s="59">
        <f>$L410*Variables!$C$25/100</f>
        <v>1.2446493748807452</v>
      </c>
      <c r="X410" s="62">
        <f>T410*Variables!$E$26*Variables!$C$18+'Cost Calculations'!U410*Variables!$E$27*Variables!$C$18+'Cost Calculations'!V410*Variables!$E$28*Variables!$C$18+W410*Variables!$E$29*Variables!$C$18</f>
        <v>1954230.8524089956</v>
      </c>
      <c r="Y410" s="58">
        <f>J410*Variables!$E$30</f>
        <v>55491.057626630391</v>
      </c>
      <c r="Z410" s="1"/>
      <c r="AA410" s="245">
        <f>D410*(IF(D410&lt;Variables!$C$7,Variables!$C$38,IF(D410&gt;Variables!$C$6,Variables!$C$36,Variables!$C$37)))</f>
        <v>17.210305909634027</v>
      </c>
      <c r="AB410" s="64">
        <f t="shared" si="13"/>
        <v>17</v>
      </c>
      <c r="AC410" s="66">
        <f t="shared" si="2"/>
        <v>0</v>
      </c>
      <c r="AD410" s="62">
        <f>AC410*Variables!$E$41</f>
        <v>0</v>
      </c>
      <c r="AE410" s="71">
        <f>ROUND((H410/(3.14*Variables!$C$35^2)),0)</f>
        <v>6</v>
      </c>
      <c r="AF410" s="57">
        <f t="shared" si="14"/>
        <v>6</v>
      </c>
      <c r="AG410" s="57">
        <f t="shared" si="3"/>
        <v>0</v>
      </c>
      <c r="AH410" s="58">
        <f>AG410*Variables!$E$42*Variables!$C$18</f>
        <v>0</v>
      </c>
      <c r="AI410" s="73">
        <f t="shared" si="4"/>
        <v>0</v>
      </c>
      <c r="AJ410" s="66">
        <f t="shared" si="15"/>
        <v>0</v>
      </c>
      <c r="AK410" s="66">
        <f t="shared" si="5"/>
        <v>0</v>
      </c>
      <c r="AL410" s="62">
        <f>IF(AK410*Variables!$E$43*Variables!$C$18&lt;0,0,AK410*Variables!$E$43*Variables!$C$18)</f>
        <v>0</v>
      </c>
      <c r="AM410" s="58">
        <f>AA410*Variables!$E$39*Variables!$C$18</f>
        <v>4974678.7582211047</v>
      </c>
      <c r="AN410" s="1"/>
      <c r="AO410" s="76">
        <f t="shared" si="16"/>
        <v>0.67714285714285716</v>
      </c>
      <c r="AP410" s="76">
        <f t="shared" si="6"/>
        <v>138.42154285714284</v>
      </c>
      <c r="AQ410" s="75">
        <f>VLOOKUP(B410,'Household Information'!$B$2:$E$48,4,FALSE)</f>
        <v>65.935833333333335</v>
      </c>
      <c r="AR410" s="79">
        <f>IF(12*(AP410-Variables!$C$45*AQ410*F410)*(G410/5)&lt;0,0,12*(AP410-Variables!$C$45*AQ410*F410)*(G410/5))</f>
        <v>2539266.065501444</v>
      </c>
      <c r="AS410" s="1"/>
      <c r="AT410" s="62">
        <v>0</v>
      </c>
      <c r="AU410" s="1"/>
    </row>
    <row r="411" spans="1:47" ht="14.25" customHeight="1">
      <c r="A411" s="1">
        <v>32</v>
      </c>
      <c r="B411" s="3" t="s">
        <v>225</v>
      </c>
      <c r="C411" s="1">
        <v>2027</v>
      </c>
      <c r="D411" s="13">
        <f>VLOOKUP(B411,Population!$B$1:$O$48,11,FALSE)</f>
        <v>31682.192828198862</v>
      </c>
      <c r="E411" s="13" t="str">
        <f t="shared" si="22"/>
        <v>Small</v>
      </c>
      <c r="F411" s="54">
        <f>VLOOKUP(B411,'Household Information'!$B$1:$E$48,2,FALSE)</f>
        <v>4.9791554357592096</v>
      </c>
      <c r="G411" s="54">
        <f t="shared" si="0"/>
        <v>6362.9652130689183</v>
      </c>
      <c r="H411" s="55">
        <f>IF(D411&gt;Variables!$C$6,H364,H364*(1+Variables!$C$9))</f>
        <v>4.0194281151219382</v>
      </c>
      <c r="I411" s="1"/>
      <c r="J411" s="13">
        <f>H411*Variables!$C$21</f>
        <v>72.349706072194891</v>
      </c>
      <c r="K411" s="13">
        <f t="shared" si="12"/>
        <v>70.038437630391968</v>
      </c>
      <c r="L411" s="54">
        <f t="shared" si="1"/>
        <v>2.3112684418029232</v>
      </c>
      <c r="M411" s="56"/>
      <c r="N411" s="57"/>
      <c r="O411" s="57"/>
      <c r="P411" s="57"/>
      <c r="Q411" s="57"/>
      <c r="R411" s="57"/>
      <c r="S411" s="58">
        <v>0</v>
      </c>
      <c r="T411" s="59">
        <f>$L411*Variables!$C$22/100</f>
        <v>0.12549873892142568</v>
      </c>
      <c r="U411" s="59">
        <f>$L411*Variables!$C$23/100</f>
        <v>0.21962279311249497</v>
      </c>
      <c r="V411" s="59">
        <f>$L411*Variables!$C$24/100</f>
        <v>0.2300810213559471</v>
      </c>
      <c r="W411" s="59">
        <f>$L411*Variables!$C$25/100</f>
        <v>1.6733165189523425</v>
      </c>
      <c r="X411" s="62">
        <f>T411*Variables!$E$26*Variables!$C$18+'Cost Calculations'!U411*Variables!$E$27*Variables!$C$18+'Cost Calculations'!V411*Variables!$E$28*Variables!$C$18+W411*Variables!$E$29*Variables!$C$18</f>
        <v>2627283.5010226117</v>
      </c>
      <c r="Y411" s="58">
        <f>J411*Variables!$E$30</f>
        <v>47389.057477287657</v>
      </c>
      <c r="Z411" s="1"/>
      <c r="AA411" s="245">
        <f>D411*(IF(D411&lt;Variables!$C$7,Variables!$C$38,IF(D411&gt;Variables!$C$6,Variables!$C$36,Variables!$C$37)))</f>
        <v>15.841096414099431</v>
      </c>
      <c r="AB411" s="64">
        <f t="shared" si="13"/>
        <v>16</v>
      </c>
      <c r="AC411" s="66">
        <f t="shared" si="2"/>
        <v>0</v>
      </c>
      <c r="AD411" s="62">
        <f>AC411*Variables!$E$41</f>
        <v>0</v>
      </c>
      <c r="AE411" s="71">
        <f>ROUND((H411/(3.14*Variables!$C$35^2)),0)</f>
        <v>5</v>
      </c>
      <c r="AF411" s="57">
        <f t="shared" si="14"/>
        <v>5</v>
      </c>
      <c r="AG411" s="57">
        <f t="shared" si="3"/>
        <v>0</v>
      </c>
      <c r="AH411" s="58">
        <f>AG411*Variables!$E$42*Variables!$C$18</f>
        <v>0</v>
      </c>
      <c r="AI411" s="73">
        <f t="shared" si="4"/>
        <v>0</v>
      </c>
      <c r="AJ411" s="66">
        <f t="shared" si="15"/>
        <v>1</v>
      </c>
      <c r="AK411" s="66">
        <f t="shared" si="5"/>
        <v>0</v>
      </c>
      <c r="AL411" s="62">
        <f>IF(AK411*Variables!$E$43*Variables!$C$18&lt;0,0,AK411*Variables!$E$43*Variables!$C$18)</f>
        <v>0</v>
      </c>
      <c r="AM411" s="58">
        <f>AA411*Variables!$E$39*Variables!$C$18</f>
        <v>4578905.5843591746</v>
      </c>
      <c r="AN411" s="1"/>
      <c r="AO411" s="76">
        <f t="shared" si="16"/>
        <v>0.67714285714285716</v>
      </c>
      <c r="AP411" s="76">
        <f t="shared" si="6"/>
        <v>202.29597227570272</v>
      </c>
      <c r="AQ411" s="75">
        <f>VLOOKUP(B411,'Household Information'!$B$2:$E$48,4,FALSE)</f>
        <v>65.935833333333335</v>
      </c>
      <c r="AR411" s="79">
        <f>IF(12*(AP411-Variables!$C$45*AQ411*F411)*(G411/5)&lt;0,0,12*(AP411-Variables!$C$45*AQ411*F411)*(G411/5))</f>
        <v>2337248.3194585284</v>
      </c>
      <c r="AS411" s="1"/>
      <c r="AT411" s="62">
        <v>0</v>
      </c>
      <c r="AU411" s="1"/>
    </row>
    <row r="412" spans="1:47" ht="14.25" customHeight="1">
      <c r="A412" s="1">
        <v>33</v>
      </c>
      <c r="B412" s="3" t="s">
        <v>226</v>
      </c>
      <c r="C412" s="1">
        <v>2027</v>
      </c>
      <c r="D412" s="13">
        <f>VLOOKUP(B412,Population!$B$1:$O$48,11,FALSE)</f>
        <v>135838.15924676132</v>
      </c>
      <c r="E412" s="13" t="str">
        <f t="shared" si="22"/>
        <v>Medium</v>
      </c>
      <c r="F412" s="54">
        <f>VLOOKUP(B412,'Household Information'!$B$1:$E$48,2,FALSE)</f>
        <v>2.6362587373793409</v>
      </c>
      <c r="G412" s="54">
        <f t="shared" si="0"/>
        <v>51526.869241141212</v>
      </c>
      <c r="H412" s="55">
        <f>IF(D412&gt;Variables!$C$6,H365,H365*(1+Variables!$C$9))</f>
        <v>12.015102013299996</v>
      </c>
      <c r="I412" s="1"/>
      <c r="J412" s="13">
        <f>H412*Variables!$C$21</f>
        <v>216.27183623939993</v>
      </c>
      <c r="K412" s="13">
        <f t="shared" si="12"/>
        <v>216.27183623939993</v>
      </c>
      <c r="L412" s="54">
        <f t="shared" si="1"/>
        <v>0</v>
      </c>
      <c r="M412" s="56"/>
      <c r="N412" s="57"/>
      <c r="O412" s="57"/>
      <c r="P412" s="57"/>
      <c r="Q412" s="57"/>
      <c r="R412" s="57"/>
      <c r="S412" s="58">
        <v>0</v>
      </c>
      <c r="T412" s="59">
        <f>$L412*Variables!$C$22/100</f>
        <v>0</v>
      </c>
      <c r="U412" s="59">
        <f>$L412*Variables!$C$23/100</f>
        <v>0</v>
      </c>
      <c r="V412" s="59">
        <f>$L412*Variables!$C$24/100</f>
        <v>0</v>
      </c>
      <c r="W412" s="59">
        <f>$L412*Variables!$C$25/100</f>
        <v>0</v>
      </c>
      <c r="X412" s="62">
        <f>T412*Variables!$E$26*Variables!$C$18+'Cost Calculations'!U412*Variables!$E$27*Variables!$C$18+'Cost Calculations'!V412*Variables!$E$28*Variables!$C$18+W412*Variables!$E$29*Variables!$C$18</f>
        <v>0</v>
      </c>
      <c r="Y412" s="58">
        <f>J412*Variables!$E$30</f>
        <v>141658.05273680695</v>
      </c>
      <c r="Z412" s="1"/>
      <c r="AA412" s="245">
        <f>D412*(IF(D412&lt;Variables!$C$7,Variables!$C$38,IF(D412&gt;Variables!$C$6,Variables!$C$36,Variables!$C$37)))</f>
        <v>163.00579109611357</v>
      </c>
      <c r="AB412" s="64">
        <f t="shared" si="13"/>
        <v>161</v>
      </c>
      <c r="AC412" s="66">
        <f t="shared" si="2"/>
        <v>2</v>
      </c>
      <c r="AD412" s="62">
        <f>AC412*Variables!$E$41</f>
        <v>1075200</v>
      </c>
      <c r="AE412" s="71">
        <f>ROUND((H412/(3.14*Variables!$C$35^2)),0)</f>
        <v>15</v>
      </c>
      <c r="AF412" s="57">
        <f t="shared" si="14"/>
        <v>15</v>
      </c>
      <c r="AG412" s="57">
        <f t="shared" si="3"/>
        <v>0</v>
      </c>
      <c r="AH412" s="58">
        <f>AG412*Variables!$E$42*Variables!$C$18</f>
        <v>0</v>
      </c>
      <c r="AI412" s="73">
        <f t="shared" si="4"/>
        <v>1</v>
      </c>
      <c r="AJ412" s="66">
        <f t="shared" si="15"/>
        <v>1</v>
      </c>
      <c r="AK412" s="66">
        <f t="shared" si="5"/>
        <v>0</v>
      </c>
      <c r="AL412" s="62">
        <f>IF(AK412*Variables!$E$43*Variables!$C$18&lt;0,0,AK412*Variables!$E$43*Variables!$C$18)</f>
        <v>0</v>
      </c>
      <c r="AM412" s="58">
        <f>AA412*Variables!$E$39*Variables!$C$18</f>
        <v>47117201.210173421</v>
      </c>
      <c r="AN412" s="1"/>
      <c r="AO412" s="76">
        <f t="shared" si="16"/>
        <v>0.67714285714285716</v>
      </c>
      <c r="AP412" s="76">
        <f t="shared" si="6"/>
        <v>107.10742641581207</v>
      </c>
      <c r="AQ412" s="75">
        <f>VLOOKUP(B412,'Household Information'!$B$2:$E$48,4,FALSE)</f>
        <v>40.760000000000005</v>
      </c>
      <c r="AR412" s="79">
        <f>IF(12*(AP412-Variables!$C$45*AQ412*F412)*(G412/5)&lt;0,0,12*(AP412-Variables!$C$45*AQ412*F412)*(G412/5))</f>
        <v>11252150.040115209</v>
      </c>
      <c r="AS412" s="1"/>
      <c r="AT412" s="62">
        <v>0</v>
      </c>
      <c r="AU412" s="1"/>
    </row>
    <row r="413" spans="1:47" ht="14.25" customHeight="1">
      <c r="A413" s="1">
        <v>34</v>
      </c>
      <c r="B413" s="3" t="s">
        <v>227</v>
      </c>
      <c r="C413" s="1">
        <v>2027</v>
      </c>
      <c r="D413" s="13">
        <f>VLOOKUP(B413,Population!$B$1:$O$48,11,FALSE)</f>
        <v>120647.08003367351</v>
      </c>
      <c r="E413" s="13" t="str">
        <f t="shared" si="22"/>
        <v>Medium</v>
      </c>
      <c r="F413" s="54">
        <f>VLOOKUP(B413,'Household Information'!$B$1:$E$48,2,FALSE)</f>
        <v>2.8808529227072923</v>
      </c>
      <c r="G413" s="54">
        <f t="shared" si="0"/>
        <v>41878.94462876465</v>
      </c>
      <c r="H413" s="55">
        <f>IF(D413&gt;Variables!$C$6,H366,H366*(1+Variables!$C$9))</f>
        <v>8.2342029393899967</v>
      </c>
      <c r="I413" s="1"/>
      <c r="J413" s="13">
        <f>H413*Variables!$C$21</f>
        <v>148.21565290901995</v>
      </c>
      <c r="K413" s="13">
        <f t="shared" si="12"/>
        <v>148.21565290901995</v>
      </c>
      <c r="L413" s="54">
        <f t="shared" si="1"/>
        <v>0</v>
      </c>
      <c r="M413" s="56"/>
      <c r="N413" s="57"/>
      <c r="O413" s="57"/>
      <c r="P413" s="57"/>
      <c r="Q413" s="57"/>
      <c r="R413" s="57"/>
      <c r="S413" s="58">
        <v>0</v>
      </c>
      <c r="T413" s="59">
        <f>$L413*Variables!$C$22/100</f>
        <v>0</v>
      </c>
      <c r="U413" s="59">
        <f>$L413*Variables!$C$23/100</f>
        <v>0</v>
      </c>
      <c r="V413" s="59">
        <f>$L413*Variables!$C$24/100</f>
        <v>0</v>
      </c>
      <c r="W413" s="59">
        <f>$L413*Variables!$C$25/100</f>
        <v>0</v>
      </c>
      <c r="X413" s="62">
        <f>T413*Variables!$E$26*Variables!$C$18+'Cost Calculations'!U413*Variables!$E$27*Variables!$C$18+'Cost Calculations'!V413*Variables!$E$28*Variables!$C$18+W413*Variables!$E$29*Variables!$C$18</f>
        <v>0</v>
      </c>
      <c r="Y413" s="58">
        <f>J413*Variables!$E$30</f>
        <v>97081.252655408069</v>
      </c>
      <c r="Z413" s="1"/>
      <c r="AA413" s="245">
        <f>D413*(IF(D413&lt;Variables!$C$7,Variables!$C$38,IF(D413&gt;Variables!$C$6,Variables!$C$36,Variables!$C$37)))</f>
        <v>144.7764960404082</v>
      </c>
      <c r="AB413" s="64">
        <f t="shared" si="13"/>
        <v>143</v>
      </c>
      <c r="AC413" s="66">
        <f t="shared" si="2"/>
        <v>2</v>
      </c>
      <c r="AD413" s="62">
        <f>AC413*Variables!$E$41</f>
        <v>1075200</v>
      </c>
      <c r="AE413" s="71">
        <f>ROUND((H413/(3.14*Variables!$C$35^2)),0)</f>
        <v>10</v>
      </c>
      <c r="AF413" s="57">
        <f t="shared" si="14"/>
        <v>10</v>
      </c>
      <c r="AG413" s="57">
        <f t="shared" si="3"/>
        <v>0</v>
      </c>
      <c r="AH413" s="58">
        <f>AG413*Variables!$E$42*Variables!$C$18</f>
        <v>0</v>
      </c>
      <c r="AI413" s="73">
        <f t="shared" si="4"/>
        <v>1</v>
      </c>
      <c r="AJ413" s="66">
        <f t="shared" si="15"/>
        <v>1</v>
      </c>
      <c r="AK413" s="66">
        <f t="shared" si="5"/>
        <v>0</v>
      </c>
      <c r="AL413" s="62">
        <f>IF(AK413*Variables!$E$43*Variables!$C$18&lt;0,0,AK413*Variables!$E$43*Variables!$C$18)</f>
        <v>0</v>
      </c>
      <c r="AM413" s="58">
        <f>AA413*Variables!$E$39*Variables!$C$18</f>
        <v>41847981.280724131</v>
      </c>
      <c r="AN413" s="1"/>
      <c r="AO413" s="76">
        <f t="shared" si="16"/>
        <v>0.67714285714285716</v>
      </c>
      <c r="AP413" s="76">
        <f t="shared" si="6"/>
        <v>117.04493874542199</v>
      </c>
      <c r="AQ413" s="75">
        <f>VLOOKUP(B413,'Household Information'!$B$2:$E$48,4,FALSE)</f>
        <v>40.760000000000005</v>
      </c>
      <c r="AR413" s="79">
        <f>IF(12*(AP413-Variables!$C$45*AQ413*F413)*(G413/5)&lt;0,0,12*(AP413-Variables!$C$45*AQ413*F413)*(G413/5))</f>
        <v>9993797.4275299124</v>
      </c>
      <c r="AS413" s="1"/>
      <c r="AT413" s="62">
        <v>0</v>
      </c>
      <c r="AU413" s="1"/>
    </row>
    <row r="414" spans="1:47" ht="14.25" customHeight="1">
      <c r="A414" s="1">
        <v>35</v>
      </c>
      <c r="B414" s="3" t="s">
        <v>228</v>
      </c>
      <c r="C414" s="1">
        <v>2027</v>
      </c>
      <c r="D414" s="13">
        <f>VLOOKUP(B414,Population!$B$1:$O$48,11,FALSE)</f>
        <v>551000.77253245737</v>
      </c>
      <c r="E414" s="13" t="str">
        <f t="shared" si="22"/>
        <v>Medium</v>
      </c>
      <c r="F414" s="54">
        <f>VLOOKUP(B414,'Household Information'!$B$1:$E$48,2,FALSE)</f>
        <v>2.7382605632202197</v>
      </c>
      <c r="G414" s="54">
        <f t="shared" si="0"/>
        <v>201222.91498968066</v>
      </c>
      <c r="H414" s="55">
        <f>IF(D414&gt;Variables!$C$6,H367,H367*(1+Variables!$C$9))</f>
        <v>24.726831923274581</v>
      </c>
      <c r="I414" s="1"/>
      <c r="J414" s="13">
        <f>H414*Variables!$C$21</f>
        <v>445.08297461894244</v>
      </c>
      <c r="K414" s="13">
        <f t="shared" si="12"/>
        <v>445.08297461894244</v>
      </c>
      <c r="L414" s="54">
        <f t="shared" si="1"/>
        <v>0</v>
      </c>
      <c r="M414" s="56"/>
      <c r="N414" s="57"/>
      <c r="O414" s="57"/>
      <c r="P414" s="57"/>
      <c r="Q414" s="57"/>
      <c r="R414" s="57"/>
      <c r="S414" s="58">
        <v>0</v>
      </c>
      <c r="T414" s="59">
        <f>$L414*Variables!$C$22/100</f>
        <v>0</v>
      </c>
      <c r="U414" s="59">
        <f>$L414*Variables!$C$23/100</f>
        <v>0</v>
      </c>
      <c r="V414" s="59">
        <f>$L414*Variables!$C$24/100</f>
        <v>0</v>
      </c>
      <c r="W414" s="59">
        <f>$L414*Variables!$C$25/100</f>
        <v>0</v>
      </c>
      <c r="X414" s="62">
        <f>T414*Variables!$E$26*Variables!$C$18+'Cost Calculations'!U414*Variables!$E$27*Variables!$C$18+'Cost Calculations'!V414*Variables!$E$28*Variables!$C$18+W414*Variables!$E$29*Variables!$C$18</f>
        <v>0</v>
      </c>
      <c r="Y414" s="58">
        <f>J414*Variables!$E$30</f>
        <v>291529.34837540728</v>
      </c>
      <c r="Z414" s="1"/>
      <c r="AA414" s="245">
        <f>D414*(IF(D414&lt;Variables!$C$7,Variables!$C$38,IF(D414&gt;Variables!$C$6,Variables!$C$36,Variables!$C$37)))</f>
        <v>661.20092703894875</v>
      </c>
      <c r="AB414" s="64">
        <f t="shared" si="13"/>
        <v>651</v>
      </c>
      <c r="AC414" s="66">
        <f t="shared" si="2"/>
        <v>10</v>
      </c>
      <c r="AD414" s="62">
        <f>AC414*Variables!$E$41</f>
        <v>5376000</v>
      </c>
      <c r="AE414" s="71">
        <f>ROUND((H414/(3.14*Variables!$C$35^2)),0)</f>
        <v>31</v>
      </c>
      <c r="AF414" s="57">
        <f t="shared" si="14"/>
        <v>31</v>
      </c>
      <c r="AG414" s="57">
        <f t="shared" si="3"/>
        <v>0</v>
      </c>
      <c r="AH414" s="58">
        <f>AG414*Variables!$E$42*Variables!$C$18</f>
        <v>0</v>
      </c>
      <c r="AI414" s="73">
        <f t="shared" si="4"/>
        <v>6</v>
      </c>
      <c r="AJ414" s="66">
        <f t="shared" si="15"/>
        <v>5</v>
      </c>
      <c r="AK414" s="66">
        <f t="shared" si="5"/>
        <v>1</v>
      </c>
      <c r="AL414" s="62">
        <f>IF(AK414*Variables!$E$43*Variables!$C$18&lt;0,0,AK414*Variables!$E$43*Variables!$C$18)</f>
        <v>945381.49199999997</v>
      </c>
      <c r="AM414" s="58">
        <f>AA414*Variables!$E$39*Variables!$C$18</f>
        <v>191121658.37886065</v>
      </c>
      <c r="AN414" s="1"/>
      <c r="AO414" s="76">
        <f t="shared" si="16"/>
        <v>0.67714285714285716</v>
      </c>
      <c r="AP414" s="76">
        <f t="shared" si="6"/>
        <v>111.25161488283292</v>
      </c>
      <c r="AQ414" s="75">
        <f>VLOOKUP(B414,'Household Information'!$B$2:$E$48,4,FALSE)</f>
        <v>40.760000000000005</v>
      </c>
      <c r="AR414" s="79">
        <f>IF(12*(AP414-Variables!$C$45*AQ414*F414)*(G414/5)&lt;0,0,12*(AP414-Variables!$C$45*AQ414*F414)*(G414/5))</f>
        <v>45642133.249846883</v>
      </c>
      <c r="AS414" s="1"/>
      <c r="AT414" s="62">
        <v>0</v>
      </c>
      <c r="AU414" s="1"/>
    </row>
    <row r="415" spans="1:47" ht="14.25" customHeight="1">
      <c r="A415" s="1">
        <v>36</v>
      </c>
      <c r="B415" s="3" t="s">
        <v>229</v>
      </c>
      <c r="C415" s="1">
        <v>2027</v>
      </c>
      <c r="D415" s="13">
        <f>VLOOKUP(B415,Population!$B$1:$O$48,11,FALSE)</f>
        <v>295503.42219076311</v>
      </c>
      <c r="E415" s="13" t="str">
        <f t="shared" si="22"/>
        <v>Medium</v>
      </c>
      <c r="F415" s="54">
        <f>VLOOKUP(B415,'Household Information'!$B$1:$E$48,2,FALSE)</f>
        <v>2.7303604631507774</v>
      </c>
      <c r="G415" s="54">
        <f t="shared" si="0"/>
        <v>108228.72151091673</v>
      </c>
      <c r="H415" s="55">
        <f>IF(D415&gt;Variables!$C$6,H368,H368*(1+Variables!$C$9))</f>
        <v>25.407115316792478</v>
      </c>
      <c r="I415" s="1"/>
      <c r="J415" s="13">
        <f>H415*Variables!$C$21</f>
        <v>457.32807570226458</v>
      </c>
      <c r="K415" s="13">
        <f t="shared" si="12"/>
        <v>457.32807570226458</v>
      </c>
      <c r="L415" s="54">
        <f t="shared" si="1"/>
        <v>0</v>
      </c>
      <c r="M415" s="56"/>
      <c r="N415" s="57"/>
      <c r="O415" s="57"/>
      <c r="P415" s="57"/>
      <c r="Q415" s="57"/>
      <c r="R415" s="57"/>
      <c r="S415" s="58">
        <v>0</v>
      </c>
      <c r="T415" s="59">
        <f>$L415*Variables!$C$22/100</f>
        <v>0</v>
      </c>
      <c r="U415" s="59">
        <f>$L415*Variables!$C$23/100</f>
        <v>0</v>
      </c>
      <c r="V415" s="59">
        <f>$L415*Variables!$C$24/100</f>
        <v>0</v>
      </c>
      <c r="W415" s="59">
        <f>$L415*Variables!$C$25/100</f>
        <v>0</v>
      </c>
      <c r="X415" s="62">
        <f>T415*Variables!$E$26*Variables!$C$18+'Cost Calculations'!U415*Variables!$E$27*Variables!$C$18+'Cost Calculations'!V415*Variables!$E$28*Variables!$C$18+W415*Variables!$E$29*Variables!$C$18</f>
        <v>0</v>
      </c>
      <c r="Y415" s="58">
        <f>J415*Variables!$E$30</f>
        <v>299549.88958498329</v>
      </c>
      <c r="Z415" s="1"/>
      <c r="AA415" s="245">
        <f>D415*(IF(D415&lt;Variables!$C$7,Variables!$C$38,IF(D415&gt;Variables!$C$6,Variables!$C$36,Variables!$C$37)))</f>
        <v>354.6041066289157</v>
      </c>
      <c r="AB415" s="64">
        <f t="shared" si="13"/>
        <v>349</v>
      </c>
      <c r="AC415" s="66">
        <f t="shared" si="2"/>
        <v>6</v>
      </c>
      <c r="AD415" s="62">
        <f>AC415*Variables!$E$41</f>
        <v>3225600</v>
      </c>
      <c r="AE415" s="71">
        <f>ROUND((H415/(3.14*Variables!$C$35^2)),0)</f>
        <v>32</v>
      </c>
      <c r="AF415" s="57">
        <f t="shared" si="14"/>
        <v>32</v>
      </c>
      <c r="AG415" s="57">
        <f t="shared" si="3"/>
        <v>0</v>
      </c>
      <c r="AH415" s="58">
        <f>AG415*Variables!$E$42*Variables!$C$18</f>
        <v>0</v>
      </c>
      <c r="AI415" s="73">
        <f t="shared" si="4"/>
        <v>3</v>
      </c>
      <c r="AJ415" s="66">
        <f t="shared" si="15"/>
        <v>3</v>
      </c>
      <c r="AK415" s="66">
        <f t="shared" si="5"/>
        <v>0</v>
      </c>
      <c r="AL415" s="62">
        <f>IF(AK415*Variables!$E$43*Variables!$C$18&lt;0,0,AK415*Variables!$E$43*Variables!$C$18)</f>
        <v>0</v>
      </c>
      <c r="AM415" s="58">
        <f>AA415*Variables!$E$39*Variables!$C$18</f>
        <v>102499137.78914058</v>
      </c>
      <c r="AN415" s="1"/>
      <c r="AO415" s="76">
        <f t="shared" si="16"/>
        <v>0.67714285714285716</v>
      </c>
      <c r="AP415" s="76">
        <f t="shared" si="6"/>
        <v>110.93064510286872</v>
      </c>
      <c r="AQ415" s="75">
        <f>VLOOKUP(B415,'Household Information'!$B$2:$E$48,4,FALSE)</f>
        <v>27.28</v>
      </c>
      <c r="AR415" s="79">
        <f>IF(12*(AP415-Variables!$C$45*AQ415*F415)*(G415/5)&lt;0,0,12*(AP415-Variables!$C$45*AQ415*F415)*(G415/5))</f>
        <v>25912036.541424278</v>
      </c>
      <c r="AS415" s="1"/>
      <c r="AT415" s="62">
        <v>0</v>
      </c>
      <c r="AU415" s="1"/>
    </row>
    <row r="416" spans="1:47" ht="14.25" customHeight="1">
      <c r="A416" s="1">
        <v>37</v>
      </c>
      <c r="B416" s="3" t="s">
        <v>230</v>
      </c>
      <c r="C416" s="1">
        <v>2027</v>
      </c>
      <c r="D416" s="13">
        <f>VLOOKUP(B416,Population!$B$1:$O$48,11,FALSE)</f>
        <v>137735.04321594036</v>
      </c>
      <c r="E416" s="13" t="str">
        <f t="shared" si="22"/>
        <v>Medium</v>
      </c>
      <c r="F416" s="54">
        <f>VLOOKUP(B416,'Household Information'!$B$1:$E$48,2,FALSE)</f>
        <v>2.4882673717260184</v>
      </c>
      <c r="G416" s="54">
        <f t="shared" si="0"/>
        <v>55353.795488785712</v>
      </c>
      <c r="H416" s="55">
        <f>IF(D416&gt;Variables!$C$6,H369,H369*(1+Variables!$C$9))</f>
        <v>33.664331695979989</v>
      </c>
      <c r="I416" s="1"/>
      <c r="J416" s="13">
        <f>H416*Variables!$C$21</f>
        <v>605.95797052763976</v>
      </c>
      <c r="K416" s="13">
        <f t="shared" si="12"/>
        <v>605.95797052763976</v>
      </c>
      <c r="L416" s="54">
        <f t="shared" si="1"/>
        <v>0</v>
      </c>
      <c r="M416" s="56"/>
      <c r="N416" s="57"/>
      <c r="O416" s="57"/>
      <c r="P416" s="57"/>
      <c r="Q416" s="57"/>
      <c r="R416" s="57"/>
      <c r="S416" s="58">
        <v>0</v>
      </c>
      <c r="T416" s="59">
        <f>$L416*Variables!$C$22/100</f>
        <v>0</v>
      </c>
      <c r="U416" s="59">
        <f>$L416*Variables!$C$23/100</f>
        <v>0</v>
      </c>
      <c r="V416" s="59">
        <f>$L416*Variables!$C$24/100</f>
        <v>0</v>
      </c>
      <c r="W416" s="59">
        <f>$L416*Variables!$C$25/100</f>
        <v>0</v>
      </c>
      <c r="X416" s="62">
        <f>T416*Variables!$E$26*Variables!$C$18+'Cost Calculations'!U416*Variables!$E$27*Variables!$C$18+'Cost Calculations'!V416*Variables!$E$28*Variables!$C$18+W416*Variables!$E$29*Variables!$C$18</f>
        <v>0</v>
      </c>
      <c r="Y416" s="58">
        <f>J416*Variables!$E$30</f>
        <v>396902.47069560405</v>
      </c>
      <c r="Z416" s="1"/>
      <c r="AA416" s="245">
        <f>D416*(IF(D416&lt;Variables!$C$7,Variables!$C$38,IF(D416&gt;Variables!$C$6,Variables!$C$36,Variables!$C$37)))</f>
        <v>165.28205185912842</v>
      </c>
      <c r="AB416" s="64">
        <f t="shared" si="13"/>
        <v>163</v>
      </c>
      <c r="AC416" s="66">
        <f t="shared" si="2"/>
        <v>2</v>
      </c>
      <c r="AD416" s="62">
        <f>AC416*Variables!$E$41</f>
        <v>1075200</v>
      </c>
      <c r="AE416" s="71">
        <f>ROUND((H416/(3.14*Variables!$C$35^2)),0)</f>
        <v>43</v>
      </c>
      <c r="AF416" s="57">
        <f t="shared" si="14"/>
        <v>43</v>
      </c>
      <c r="AG416" s="57">
        <f t="shared" si="3"/>
        <v>0</v>
      </c>
      <c r="AH416" s="58">
        <f>AG416*Variables!$E$42*Variables!$C$18</f>
        <v>0</v>
      </c>
      <c r="AI416" s="73">
        <f t="shared" si="4"/>
        <v>1</v>
      </c>
      <c r="AJ416" s="66">
        <f t="shared" si="15"/>
        <v>1</v>
      </c>
      <c r="AK416" s="66">
        <f t="shared" si="5"/>
        <v>0</v>
      </c>
      <c r="AL416" s="62">
        <f>IF(AK416*Variables!$E$43*Variables!$C$18&lt;0,0,AK416*Variables!$E$43*Variables!$C$18)</f>
        <v>0</v>
      </c>
      <c r="AM416" s="58">
        <f>AA416*Variables!$E$39*Variables!$C$18</f>
        <v>47775159.652364925</v>
      </c>
      <c r="AN416" s="1"/>
      <c r="AO416" s="76">
        <f t="shared" si="16"/>
        <v>0.67714285714285716</v>
      </c>
      <c r="AP416" s="76">
        <f t="shared" si="6"/>
        <v>101.09474864555423</v>
      </c>
      <c r="AQ416" s="75">
        <f>VLOOKUP(B416,'Household Information'!$B$2:$E$48,4,FALSE)</f>
        <v>40.760000000000005</v>
      </c>
      <c r="AR416" s="79">
        <f>IF(12*(AP416-Variables!$C$45*AQ416*F416)*(G416/5)&lt;0,0,12*(AP416-Variables!$C$45*AQ416*F416)*(G416/5))</f>
        <v>11409278.369505469</v>
      </c>
      <c r="AS416" s="1"/>
      <c r="AT416" s="62">
        <v>0</v>
      </c>
      <c r="AU416" s="1"/>
    </row>
    <row r="417" spans="1:47" ht="14.25" customHeight="1">
      <c r="A417" s="1">
        <v>38</v>
      </c>
      <c r="B417" s="3" t="s">
        <v>231</v>
      </c>
      <c r="C417" s="1">
        <v>2027</v>
      </c>
      <c r="D417" s="13">
        <f>VLOOKUP(B417,Population!$B$1:$O$48,11,FALSE)</f>
        <v>40654.373965117426</v>
      </c>
      <c r="E417" s="13" t="str">
        <f t="shared" si="22"/>
        <v>Small</v>
      </c>
      <c r="F417" s="54">
        <f>VLOOKUP(B417,'Household Information'!$B$1:$E$48,2,FALSE)</f>
        <v>3.5815854318168161</v>
      </c>
      <c r="G417" s="54">
        <f t="shared" si="0"/>
        <v>11350.943524609673</v>
      </c>
      <c r="H417" s="55">
        <f>IF(D417&gt;Variables!$C$6,H370,H370*(1+Variables!$C$9))</f>
        <v>4.6677229723996723</v>
      </c>
      <c r="I417" s="1"/>
      <c r="J417" s="13">
        <f>H417*Variables!$C$21</f>
        <v>84.019013503194103</v>
      </c>
      <c r="K417" s="13">
        <f t="shared" si="12"/>
        <v>81.334959828842301</v>
      </c>
      <c r="L417" s="54">
        <f t="shared" si="1"/>
        <v>2.6840536743518015</v>
      </c>
      <c r="M417" s="56"/>
      <c r="N417" s="57"/>
      <c r="O417" s="57"/>
      <c r="P417" s="57"/>
      <c r="Q417" s="57"/>
      <c r="R417" s="57"/>
      <c r="S417" s="58">
        <v>0</v>
      </c>
      <c r="T417" s="59">
        <f>$L417*Variables!$C$22/100</f>
        <v>0.14574047100552767</v>
      </c>
      <c r="U417" s="59">
        <f>$L417*Variables!$C$23/100</f>
        <v>0.25504582425967348</v>
      </c>
      <c r="V417" s="59">
        <f>$L417*Variables!$C$24/100</f>
        <v>0.2671908635101341</v>
      </c>
      <c r="W417" s="59">
        <f>$L417*Variables!$C$25/100</f>
        <v>1.9432062800737022</v>
      </c>
      <c r="X417" s="62">
        <f>T417*Variables!$E$26*Variables!$C$18+'Cost Calculations'!U417*Variables!$E$27*Variables!$C$18+'Cost Calculations'!V417*Variables!$E$28*Variables!$C$18+W417*Variables!$E$29*Variables!$C$18</f>
        <v>3051038.9044133779</v>
      </c>
      <c r="Y417" s="58">
        <f>J417*Variables!$E$30</f>
        <v>55032.453844592135</v>
      </c>
      <c r="Z417" s="1"/>
      <c r="AA417" s="245">
        <f>D417*(IF(D417&lt;Variables!$C$7,Variables!$C$38,IF(D417&gt;Variables!$C$6,Variables!$C$36,Variables!$C$37)))</f>
        <v>20.327186982558715</v>
      </c>
      <c r="AB417" s="64">
        <f t="shared" si="13"/>
        <v>20</v>
      </c>
      <c r="AC417" s="66">
        <f t="shared" si="2"/>
        <v>0</v>
      </c>
      <c r="AD417" s="62">
        <f>AC417*Variables!$E$41</f>
        <v>0</v>
      </c>
      <c r="AE417" s="71">
        <f>ROUND((H417/(3.14*Variables!$C$35^2)),0)</f>
        <v>6</v>
      </c>
      <c r="AF417" s="57">
        <f t="shared" si="14"/>
        <v>6</v>
      </c>
      <c r="AG417" s="57">
        <f t="shared" si="3"/>
        <v>0</v>
      </c>
      <c r="AH417" s="58">
        <f>AG417*Variables!$E$42*Variables!$C$18</f>
        <v>0</v>
      </c>
      <c r="AI417" s="73">
        <f t="shared" si="4"/>
        <v>0</v>
      </c>
      <c r="AJ417" s="66">
        <f t="shared" si="15"/>
        <v>0</v>
      </c>
      <c r="AK417" s="66">
        <f t="shared" si="5"/>
        <v>0</v>
      </c>
      <c r="AL417" s="62">
        <f>IF(AK417*Variables!$E$43*Variables!$C$18&lt;0,0,AK417*Variables!$E$43*Variables!$C$18)</f>
        <v>0</v>
      </c>
      <c r="AM417" s="58">
        <f>AA417*Variables!$E$39*Variables!$C$18</f>
        <v>5875620.4466951117</v>
      </c>
      <c r="AN417" s="1"/>
      <c r="AO417" s="76">
        <f t="shared" si="16"/>
        <v>0.67714285714285716</v>
      </c>
      <c r="AP417" s="76">
        <f t="shared" si="6"/>
        <v>145.51469954410035</v>
      </c>
      <c r="AQ417" s="75">
        <f>VLOOKUP(B417,'Household Information'!$B$2:$E$48,4,FALSE)</f>
        <v>40.760000000000005</v>
      </c>
      <c r="AR417" s="79">
        <f>IF(12*(AP417-Variables!$C$45*AQ417*F417)*(G417/5)&lt;0,0,12*(AP417-Variables!$C$45*AQ417*F417)*(G417/5))</f>
        <v>3367603.9058469599</v>
      </c>
      <c r="AS417" s="1"/>
      <c r="AT417" s="62">
        <v>0</v>
      </c>
      <c r="AU417" s="1"/>
    </row>
    <row r="418" spans="1:47" ht="14.25" customHeight="1">
      <c r="A418" s="1">
        <v>39</v>
      </c>
      <c r="B418" s="3" t="s">
        <v>232</v>
      </c>
      <c r="C418" s="1">
        <v>2027</v>
      </c>
      <c r="D418" s="13">
        <f>VLOOKUP(B418,Population!$B$1:$O$48,11,FALSE)</f>
        <v>76742.048368510281</v>
      </c>
      <c r="E418" s="13" t="str">
        <f t="shared" si="22"/>
        <v>Small</v>
      </c>
      <c r="F418" s="54">
        <f>VLOOKUP(B418,'Household Information'!$B$1:$E$48,2,FALSE)</f>
        <v>3.4614749871067563</v>
      </c>
      <c r="G418" s="54">
        <f t="shared" si="0"/>
        <v>22170.33162289422</v>
      </c>
      <c r="H418" s="55">
        <f>IF(D418&gt;Variables!$C$6,H371,H371*(1+Variables!$C$9))</f>
        <v>7.6109816244405755</v>
      </c>
      <c r="I418" s="1"/>
      <c r="J418" s="13">
        <f>H418*Variables!$C$21</f>
        <v>136.99766923993036</v>
      </c>
      <c r="K418" s="13">
        <f t="shared" si="12"/>
        <v>132.62117060980674</v>
      </c>
      <c r="L418" s="54">
        <f t="shared" si="1"/>
        <v>4.3764986301236206</v>
      </c>
      <c r="M418" s="56"/>
      <c r="N418" s="57"/>
      <c r="O418" s="57"/>
      <c r="P418" s="57"/>
      <c r="Q418" s="57"/>
      <c r="R418" s="57"/>
      <c r="S418" s="58">
        <v>0</v>
      </c>
      <c r="T418" s="59">
        <f>$L418*Variables!$C$22/100</f>
        <v>0.2376379346673459</v>
      </c>
      <c r="U418" s="59">
        <f>$L418*Variables!$C$23/100</f>
        <v>0.41586638566785539</v>
      </c>
      <c r="V418" s="59">
        <f>$L418*Variables!$C$24/100</f>
        <v>0.43566954689013421</v>
      </c>
      <c r="W418" s="59">
        <f>$L418*Variables!$C$25/100</f>
        <v>3.1685057955646125</v>
      </c>
      <c r="X418" s="62">
        <f>T418*Variables!$E$26*Variables!$C$18+'Cost Calculations'!U418*Variables!$E$27*Variables!$C$18+'Cost Calculations'!V418*Variables!$E$28*Variables!$C$18+W418*Variables!$E$29*Variables!$C$18</f>
        <v>4974888.4358073575</v>
      </c>
      <c r="Y418" s="58">
        <f>J418*Variables!$E$30</f>
        <v>89733.473352154382</v>
      </c>
      <c r="Z418" s="1"/>
      <c r="AA418" s="245">
        <f>D418*(IF(D418&lt;Variables!$C$7,Variables!$C$38,IF(D418&gt;Variables!$C$6,Variables!$C$36,Variables!$C$37)))</f>
        <v>61.393638694808224</v>
      </c>
      <c r="AB418" s="64">
        <f t="shared" si="13"/>
        <v>60</v>
      </c>
      <c r="AC418" s="66">
        <f t="shared" si="2"/>
        <v>1</v>
      </c>
      <c r="AD418" s="62">
        <f>AC418*Variables!$E$41</f>
        <v>537600</v>
      </c>
      <c r="AE418" s="71">
        <f>ROUND((H418/(3.14*Variables!$C$35^2)),0)</f>
        <v>10</v>
      </c>
      <c r="AF418" s="57">
        <f t="shared" si="14"/>
        <v>9</v>
      </c>
      <c r="AG418" s="57">
        <f t="shared" si="3"/>
        <v>1</v>
      </c>
      <c r="AH418" s="58">
        <f>AG418*Variables!$E$42*Variables!$C$18</f>
        <v>1148.2560000000001</v>
      </c>
      <c r="AI418" s="73">
        <f t="shared" si="4"/>
        <v>1</v>
      </c>
      <c r="AJ418" s="66">
        <f t="shared" si="15"/>
        <v>3</v>
      </c>
      <c r="AK418" s="66">
        <f t="shared" si="5"/>
        <v>0</v>
      </c>
      <c r="AL418" s="62">
        <f>IF(AK418*Variables!$E$43*Variables!$C$18&lt;0,0,AK418*Variables!$E$43*Variables!$C$18)</f>
        <v>0</v>
      </c>
      <c r="AM418" s="58">
        <f>AA418*Variables!$E$39*Variables!$C$18</f>
        <v>17745973.366690628</v>
      </c>
      <c r="AN418" s="1"/>
      <c r="AO418" s="76">
        <f t="shared" si="16"/>
        <v>0.67714285714285716</v>
      </c>
      <c r="AP418" s="76">
        <f t="shared" si="6"/>
        <v>140.63478376188021</v>
      </c>
      <c r="AQ418" s="75">
        <f>VLOOKUP(B418,'Household Information'!$B$2:$E$48,4,FALSE)</f>
        <v>40.760000000000005</v>
      </c>
      <c r="AR418" s="79">
        <f>IF(12*(AP418-Variables!$C$45*AQ418*F418)*(G418/5)&lt;0,0,12*(AP418-Variables!$C$45*AQ418*F418)*(G418/5))</f>
        <v>6356925.3839755962</v>
      </c>
      <c r="AS418" s="1"/>
      <c r="AT418" s="62">
        <v>0</v>
      </c>
      <c r="AU418" s="1"/>
    </row>
    <row r="419" spans="1:47" ht="14.25" customHeight="1">
      <c r="A419" s="1">
        <v>40</v>
      </c>
      <c r="B419" s="3" t="s">
        <v>233</v>
      </c>
      <c r="C419" s="1">
        <v>2027</v>
      </c>
      <c r="D419" s="13">
        <f>VLOOKUP(B419,Population!$B$1:$O$48,11,FALSE)</f>
        <v>3471.331965296898</v>
      </c>
      <c r="E419" s="13" t="str">
        <f t="shared" si="22"/>
        <v>Small</v>
      </c>
      <c r="F419" s="54">
        <f>VLOOKUP(B419,'Household Information'!$B$1:$E$48,2,FALSE)</f>
        <v>3.9153259949195598</v>
      </c>
      <c r="G419" s="54">
        <f t="shared" si="0"/>
        <v>886.60100584248198</v>
      </c>
      <c r="H419" s="55">
        <f>IF(D419&gt;Variables!$C$6,H372,H372*(1+Variables!$C$9))</f>
        <v>0.25931794291109289</v>
      </c>
      <c r="I419" s="1"/>
      <c r="J419" s="13">
        <f>H419*Variables!$C$21</f>
        <v>4.6677229723996723</v>
      </c>
      <c r="K419" s="13">
        <f t="shared" si="12"/>
        <v>21.97</v>
      </c>
      <c r="L419" s="54">
        <f t="shared" si="1"/>
        <v>0</v>
      </c>
      <c r="M419" s="56"/>
      <c r="N419" s="57"/>
      <c r="O419" s="57"/>
      <c r="P419" s="57"/>
      <c r="Q419" s="57"/>
      <c r="R419" s="57"/>
      <c r="S419" s="58">
        <v>0</v>
      </c>
      <c r="T419" s="59">
        <f>$L419*Variables!$C$22/100</f>
        <v>0</v>
      </c>
      <c r="U419" s="59">
        <f>$L419*Variables!$C$23/100</f>
        <v>0</v>
      </c>
      <c r="V419" s="59">
        <f>$L419*Variables!$C$24/100</f>
        <v>0</v>
      </c>
      <c r="W419" s="59">
        <f>$L419*Variables!$C$25/100</f>
        <v>0</v>
      </c>
      <c r="X419" s="62">
        <f>T419*Variables!$E$26*Variables!$C$18+'Cost Calculations'!U419*Variables!$E$27*Variables!$C$18+'Cost Calculations'!V419*Variables!$E$28*Variables!$C$18+W419*Variables!$E$29*Variables!$C$18</f>
        <v>0</v>
      </c>
      <c r="Y419" s="58">
        <f>J419*Variables!$E$30</f>
        <v>3057.3585469217855</v>
      </c>
      <c r="Z419" s="1"/>
      <c r="AA419" s="245">
        <f>D419*(IF(D419&lt;Variables!$C$7,Variables!$C$38,IF(D419&gt;Variables!$C$6,Variables!$C$36,Variables!$C$37)))</f>
        <v>1.7356659826484491</v>
      </c>
      <c r="AB419" s="64">
        <f t="shared" si="13"/>
        <v>2</v>
      </c>
      <c r="AC419" s="66">
        <f t="shared" si="2"/>
        <v>0</v>
      </c>
      <c r="AD419" s="62">
        <f>AC419*Variables!$E$41</f>
        <v>0</v>
      </c>
      <c r="AE419" s="71">
        <f>ROUND((H419/(3.14*Variables!$C$35^2)),0)</f>
        <v>0</v>
      </c>
      <c r="AF419" s="57">
        <f t="shared" si="14"/>
        <v>0</v>
      </c>
      <c r="AG419" s="57">
        <f t="shared" si="3"/>
        <v>0</v>
      </c>
      <c r="AH419" s="58">
        <f>AG419*Variables!$E$42*Variables!$C$18</f>
        <v>0</v>
      </c>
      <c r="AI419" s="73">
        <f t="shared" si="4"/>
        <v>0</v>
      </c>
      <c r="AJ419" s="66">
        <f t="shared" si="15"/>
        <v>0</v>
      </c>
      <c r="AK419" s="66">
        <f t="shared" si="5"/>
        <v>0</v>
      </c>
      <c r="AL419" s="62">
        <f>IF(AK419*Variables!$E$43*Variables!$C$18&lt;0,0,AK419*Variables!$E$43*Variables!$C$18)</f>
        <v>0</v>
      </c>
      <c r="AM419" s="58">
        <f>AA419*Variables!$E$39*Variables!$C$18</f>
        <v>501698.26966380805</v>
      </c>
      <c r="AN419" s="1"/>
      <c r="AO419" s="76">
        <f t="shared" si="16"/>
        <v>0.67714285714285716</v>
      </c>
      <c r="AP419" s="76">
        <f t="shared" si="6"/>
        <v>159.07410185073181</v>
      </c>
      <c r="AQ419" s="75">
        <f>VLOOKUP(B419,'Household Information'!$B$2:$E$48,4,FALSE)</f>
        <v>40.760000000000005</v>
      </c>
      <c r="AR419" s="79">
        <f>IF(12*(AP419-Variables!$C$45*AQ419*F419)*(G419/5)&lt;0,0,12*(AP419-Variables!$C$45*AQ419*F419)*(G419/5))</f>
        <v>287547.68416445522</v>
      </c>
      <c r="AS419" s="1"/>
      <c r="AT419" s="62">
        <v>0</v>
      </c>
      <c r="AU419" s="1"/>
    </row>
    <row r="420" spans="1:47" ht="14.25" customHeight="1">
      <c r="A420" s="1">
        <v>41</v>
      </c>
      <c r="B420" s="3" t="s">
        <v>234</v>
      </c>
      <c r="C420" s="1">
        <v>2027</v>
      </c>
      <c r="D420" s="13">
        <f>VLOOKUP(B420,Population!$B$1:$O$48,11,FALSE)</f>
        <v>59823.306902601777</v>
      </c>
      <c r="E420" s="13" t="str">
        <f t="shared" si="22"/>
        <v>Small</v>
      </c>
      <c r="F420" s="54">
        <f>VLOOKUP(B420,'Household Information'!$B$1:$E$48,2,FALSE)</f>
        <v>2.524</v>
      </c>
      <c r="G420" s="54">
        <f t="shared" si="0"/>
        <v>23701.785619097376</v>
      </c>
      <c r="H420" s="55">
        <f>IF(D420&gt;Variables!$C$6,H373,H373*(1+Variables!$C$9))</f>
        <v>5.1863588582218574</v>
      </c>
      <c r="I420" s="1"/>
      <c r="J420" s="13">
        <f>H420*Variables!$C$21</f>
        <v>93.354459447993435</v>
      </c>
      <c r="K420" s="13">
        <f t="shared" si="12"/>
        <v>105</v>
      </c>
      <c r="L420" s="54">
        <f t="shared" si="1"/>
        <v>0</v>
      </c>
      <c r="M420" s="56"/>
      <c r="N420" s="57"/>
      <c r="O420" s="57"/>
      <c r="P420" s="57"/>
      <c r="Q420" s="57"/>
      <c r="R420" s="57"/>
      <c r="S420" s="58">
        <v>0</v>
      </c>
      <c r="T420" s="59">
        <f>$L420*Variables!$C$22/100</f>
        <v>0</v>
      </c>
      <c r="U420" s="59">
        <f>$L420*Variables!$C$23/100</f>
        <v>0</v>
      </c>
      <c r="V420" s="59">
        <f>$L420*Variables!$C$24/100</f>
        <v>0</v>
      </c>
      <c r="W420" s="59">
        <f>$L420*Variables!$C$25/100</f>
        <v>0</v>
      </c>
      <c r="X420" s="62">
        <f>T420*Variables!$E$26*Variables!$C$18+'Cost Calculations'!U420*Variables!$E$27*Variables!$C$18+'Cost Calculations'!V420*Variables!$E$28*Variables!$C$18+W420*Variables!$E$29*Variables!$C$18</f>
        <v>0</v>
      </c>
      <c r="Y420" s="58">
        <f>J420*Variables!$E$30</f>
        <v>61147.170938435702</v>
      </c>
      <c r="Z420" s="1"/>
      <c r="AA420" s="245">
        <f>D420*(IF(D420&lt;Variables!$C$7,Variables!$C$38,IF(D420&gt;Variables!$C$6,Variables!$C$36,Variables!$C$37)))</f>
        <v>47.858645522081424</v>
      </c>
      <c r="AB420" s="64">
        <f t="shared" si="13"/>
        <v>47</v>
      </c>
      <c r="AC420" s="66">
        <f t="shared" si="2"/>
        <v>1</v>
      </c>
      <c r="AD420" s="62">
        <f>AC420*Variables!$E$41</f>
        <v>537600</v>
      </c>
      <c r="AE420" s="71">
        <f>ROUND((H420/(3.14*Variables!$C$35^2)),0)</f>
        <v>7</v>
      </c>
      <c r="AF420" s="57">
        <f t="shared" si="14"/>
        <v>6</v>
      </c>
      <c r="AG420" s="57">
        <f t="shared" si="3"/>
        <v>1</v>
      </c>
      <c r="AH420" s="58">
        <f>AG420*Variables!$E$42*Variables!$C$18</f>
        <v>1148.2560000000001</v>
      </c>
      <c r="AI420" s="73">
        <f t="shared" si="4"/>
        <v>0</v>
      </c>
      <c r="AJ420" s="66">
        <f t="shared" si="15"/>
        <v>2</v>
      </c>
      <c r="AK420" s="66">
        <f t="shared" si="5"/>
        <v>0</v>
      </c>
      <c r="AL420" s="62">
        <f>IF(AK420*Variables!$E$43*Variables!$C$18&lt;0,0,AK420*Variables!$E$43*Variables!$C$18)</f>
        <v>0</v>
      </c>
      <c r="AM420" s="58">
        <f>AA420*Variables!$E$39*Variables!$C$18</f>
        <v>13833652.261965796</v>
      </c>
      <c r="AN420" s="1"/>
      <c r="AO420" s="76">
        <f t="shared" si="16"/>
        <v>0.67714285714285716</v>
      </c>
      <c r="AP420" s="76">
        <f t="shared" si="6"/>
        <v>102.54651428571428</v>
      </c>
      <c r="AQ420" s="75">
        <f>VLOOKUP(B420,'Household Information'!$B$2:$E$48,4,FALSE)</f>
        <v>40.760000000000005</v>
      </c>
      <c r="AR420" s="79">
        <f>IF(12*(AP420-Variables!$C$45*AQ420*F420)*(G420/5)&lt;0,0,12*(AP420-Variables!$C$45*AQ420*F420)*(G420/5))</f>
        <v>4955461.9180396777</v>
      </c>
      <c r="AS420" s="1"/>
      <c r="AT420" s="62">
        <v>0</v>
      </c>
      <c r="AU420" s="1"/>
    </row>
    <row r="421" spans="1:47" ht="14.25" customHeight="1">
      <c r="A421" s="1">
        <v>42</v>
      </c>
      <c r="B421" s="3" t="s">
        <v>235</v>
      </c>
      <c r="C421" s="1">
        <v>2027</v>
      </c>
      <c r="D421" s="13">
        <f>VLOOKUP(B421,Population!$B$1:$O$48,11,FALSE)</f>
        <v>52048.255069920975</v>
      </c>
      <c r="E421" s="13" t="str">
        <f t="shared" si="22"/>
        <v>Small</v>
      </c>
      <c r="F421" s="54">
        <f>VLOOKUP(B421,'Household Information'!$B$1:$E$48,2,FALSE)</f>
        <v>2.7236881469514751</v>
      </c>
      <c r="G421" s="54">
        <f t="shared" si="0"/>
        <v>19109.476658763848</v>
      </c>
      <c r="H421" s="55">
        <f>IF(D421&gt;Variables!$C$6,H374,H374*(1+Variables!$C$9))</f>
        <v>6.6126075442328665</v>
      </c>
      <c r="I421" s="1"/>
      <c r="J421" s="13">
        <f>H421*Variables!$C$21</f>
        <v>119.02693579619159</v>
      </c>
      <c r="K421" s="13">
        <f t="shared" si="12"/>
        <v>115.22452642419323</v>
      </c>
      <c r="L421" s="54">
        <f t="shared" si="1"/>
        <v>3.8024093719983654</v>
      </c>
      <c r="M421" s="56"/>
      <c r="N421" s="57"/>
      <c r="O421" s="57"/>
      <c r="P421" s="57"/>
      <c r="Q421" s="57"/>
      <c r="R421" s="57"/>
      <c r="S421" s="58">
        <v>0</v>
      </c>
      <c r="T421" s="59">
        <f>$L421*Variables!$C$22/100</f>
        <v>0.20646566725782978</v>
      </c>
      <c r="U421" s="59">
        <f>$L421*Variables!$C$23/100</f>
        <v>0.36131491770120211</v>
      </c>
      <c r="V421" s="59">
        <f>$L421*Variables!$C$24/100</f>
        <v>0.378520389972688</v>
      </c>
      <c r="W421" s="59">
        <f>$L421*Variables!$C$25/100</f>
        <v>2.7528755634377307</v>
      </c>
      <c r="X421" s="62">
        <f>T421*Variables!$E$26*Variables!$C$18+'Cost Calculations'!U421*Variables!$E$27*Variables!$C$18+'Cost Calculations'!V421*Variables!$E$28*Variables!$C$18+W421*Variables!$E$29*Variables!$C$18</f>
        <v>4322305.1145855961</v>
      </c>
      <c r="Y421" s="58">
        <f>J421*Variables!$E$30</f>
        <v>77962.642946505497</v>
      </c>
      <c r="Z421" s="1"/>
      <c r="AA421" s="245">
        <f>D421*(IF(D421&lt;Variables!$C$7,Variables!$C$38,IF(D421&gt;Variables!$C$6,Variables!$C$36,Variables!$C$37)))</f>
        <v>41.638604055936781</v>
      </c>
      <c r="AB421" s="64">
        <f t="shared" si="13"/>
        <v>41</v>
      </c>
      <c r="AC421" s="66">
        <f t="shared" si="2"/>
        <v>1</v>
      </c>
      <c r="AD421" s="62">
        <f>AC421*Variables!$E$41</f>
        <v>537600</v>
      </c>
      <c r="AE421" s="71">
        <f>ROUND((H421/(3.14*Variables!$C$35^2)),0)</f>
        <v>8</v>
      </c>
      <c r="AF421" s="57">
        <f t="shared" si="14"/>
        <v>8</v>
      </c>
      <c r="AG421" s="57">
        <f t="shared" si="3"/>
        <v>0</v>
      </c>
      <c r="AH421" s="58">
        <f>AG421*Variables!$E$42*Variables!$C$18</f>
        <v>0</v>
      </c>
      <c r="AI421" s="73">
        <f t="shared" si="4"/>
        <v>0</v>
      </c>
      <c r="AJ421" s="66">
        <f t="shared" si="15"/>
        <v>0</v>
      </c>
      <c r="AK421" s="66">
        <f t="shared" si="5"/>
        <v>0</v>
      </c>
      <c r="AL421" s="62">
        <f>IF(AK421*Variables!$E$43*Variables!$C$18&lt;0,0,AK421*Variables!$E$43*Variables!$C$18)</f>
        <v>0</v>
      </c>
      <c r="AM421" s="58">
        <f>AA421*Variables!$E$39*Variables!$C$18</f>
        <v>12035734.879244376</v>
      </c>
      <c r="AN421" s="1"/>
      <c r="AO421" s="76">
        <f t="shared" si="16"/>
        <v>0.67714285714285716</v>
      </c>
      <c r="AP421" s="76">
        <f t="shared" si="6"/>
        <v>110.65955842757135</v>
      </c>
      <c r="AQ421" s="75">
        <f>VLOOKUP(B421,'Household Information'!$B$2:$E$48,4,FALSE)</f>
        <v>40.760000000000005</v>
      </c>
      <c r="AR421" s="79">
        <f>IF(12*(AP421-Variables!$C$45*AQ421*F421)*(G421/5)&lt;0,0,12*(AP421-Variables!$C$45*AQ421*F421)*(G421/5))</f>
        <v>4311415.7216239003</v>
      </c>
      <c r="AS421" s="1"/>
      <c r="AT421" s="62">
        <v>0</v>
      </c>
      <c r="AU421" s="1"/>
    </row>
    <row r="422" spans="1:47" ht="14.25" customHeight="1">
      <c r="A422" s="1">
        <v>43</v>
      </c>
      <c r="B422" s="3" t="s">
        <v>236</v>
      </c>
      <c r="C422" s="1">
        <v>2027</v>
      </c>
      <c r="D422" s="13">
        <f>VLOOKUP(B422,Population!$B$1:$O$48,11,FALSE)</f>
        <v>27483.664838551231</v>
      </c>
      <c r="E422" s="13" t="str">
        <f t="shared" si="22"/>
        <v>Small</v>
      </c>
      <c r="F422" s="54">
        <f>VLOOKUP(B422,'Household Information'!$B$1:$E$48,2,FALSE)</f>
        <v>3.4114391143911438</v>
      </c>
      <c r="G422" s="54">
        <f t="shared" si="0"/>
        <v>8056.3257666277814</v>
      </c>
      <c r="H422" s="55">
        <f>IF(D422&gt;Variables!$C$6,H375,H375*(1+Variables!$C$9))</f>
        <v>5.6551247400286035</v>
      </c>
      <c r="I422" s="1"/>
      <c r="J422" s="13">
        <f>H422*Variables!$C$21</f>
        <v>101.79224532051487</v>
      </c>
      <c r="K422" s="13">
        <f t="shared" si="12"/>
        <v>98.540411733315466</v>
      </c>
      <c r="L422" s="54">
        <f t="shared" si="1"/>
        <v>3.2518335871993997</v>
      </c>
      <c r="M422" s="56"/>
      <c r="N422" s="57"/>
      <c r="O422" s="57"/>
      <c r="P422" s="57"/>
      <c r="Q422" s="57"/>
      <c r="R422" s="57"/>
      <c r="S422" s="58">
        <v>0</v>
      </c>
      <c r="T422" s="59">
        <f>$L422*Variables!$C$22/100</f>
        <v>0.1765701495311891</v>
      </c>
      <c r="U422" s="59">
        <f>$L422*Variables!$C$23/100</f>
        <v>0.30899776167958098</v>
      </c>
      <c r="V422" s="59">
        <f>$L422*Variables!$C$24/100</f>
        <v>0.32371194080718008</v>
      </c>
      <c r="W422" s="59">
        <f>$L422*Variables!$C$25/100</f>
        <v>2.3542686604158551</v>
      </c>
      <c r="X422" s="62">
        <f>T422*Variables!$E$26*Variables!$C$18+'Cost Calculations'!U422*Variables!$E$27*Variables!$C$18+'Cost Calculations'!V422*Variables!$E$28*Variables!$C$18+W422*Variables!$E$29*Variables!$C$18</f>
        <v>3696450.2163391034</v>
      </c>
      <c r="Y422" s="58">
        <f>J422*Variables!$E$30</f>
        <v>66673.920684937242</v>
      </c>
      <c r="Z422" s="1"/>
      <c r="AA422" s="245">
        <f>D422*(IF(D422&lt;Variables!$C$7,Variables!$C$38,IF(D422&gt;Variables!$C$6,Variables!$C$36,Variables!$C$37)))</f>
        <v>13.741832419275616</v>
      </c>
      <c r="AB422" s="64">
        <f t="shared" si="13"/>
        <v>14</v>
      </c>
      <c r="AC422" s="66">
        <f t="shared" si="2"/>
        <v>0</v>
      </c>
      <c r="AD422" s="62">
        <f>AC422*Variables!$E$41</f>
        <v>0</v>
      </c>
      <c r="AE422" s="71">
        <f>ROUND((H422/(3.14*Variables!$C$35^2)),0)</f>
        <v>7</v>
      </c>
      <c r="AF422" s="57">
        <f t="shared" si="14"/>
        <v>7</v>
      </c>
      <c r="AG422" s="57">
        <f t="shared" si="3"/>
        <v>0</v>
      </c>
      <c r="AH422" s="58">
        <f>AG422*Variables!$E$42*Variables!$C$18</f>
        <v>0</v>
      </c>
      <c r="AI422" s="73">
        <f t="shared" si="4"/>
        <v>0</v>
      </c>
      <c r="AJ422" s="66">
        <f t="shared" si="15"/>
        <v>0</v>
      </c>
      <c r="AK422" s="66">
        <f t="shared" si="5"/>
        <v>0</v>
      </c>
      <c r="AL422" s="62">
        <f>IF(AK422*Variables!$E$43*Variables!$C$18&lt;0,0,AK422*Variables!$E$43*Variables!$C$18)</f>
        <v>0</v>
      </c>
      <c r="AM422" s="58">
        <f>AA422*Variables!$E$39*Variables!$C$18</f>
        <v>3972108.467690696</v>
      </c>
      <c r="AN422" s="1"/>
      <c r="AO422" s="76">
        <f t="shared" si="16"/>
        <v>0.67714285714285716</v>
      </c>
      <c r="AP422" s="76">
        <f t="shared" si="6"/>
        <v>138.60189773326303</v>
      </c>
      <c r="AQ422" s="75">
        <f>VLOOKUP(B422,'Household Information'!$B$2:$E$48,4,FALSE)</f>
        <v>40.760000000000005</v>
      </c>
      <c r="AR422" s="79">
        <f>IF(12*(AP422-Variables!$C$45*AQ422*F422)*(G422/5)&lt;0,0,12*(AP422-Variables!$C$45*AQ422*F422)*(G422/5))</f>
        <v>2276608.5916538239</v>
      </c>
      <c r="AS422" s="1"/>
      <c r="AT422" s="62">
        <v>0</v>
      </c>
      <c r="AU422" s="1"/>
    </row>
    <row r="423" spans="1:47" ht="14.25" customHeight="1">
      <c r="A423" s="1">
        <v>44</v>
      </c>
      <c r="B423" s="3" t="s">
        <v>241</v>
      </c>
      <c r="C423" s="1">
        <v>2027</v>
      </c>
      <c r="D423" s="13">
        <f>VLOOKUP(B423,Population!$B$1:$O$48,11,FALSE)</f>
        <v>106300.020388302</v>
      </c>
      <c r="E423" s="13" t="str">
        <f t="shared" si="22"/>
        <v>Medium</v>
      </c>
      <c r="F423" s="54">
        <f>VLOOKUP(B423,'Household Information'!$B$1:$E$48,2,FALSE)</f>
        <v>2.919</v>
      </c>
      <c r="G423" s="54">
        <f t="shared" si="0"/>
        <v>36416.588005584788</v>
      </c>
      <c r="H423" s="55">
        <f>IF(D423&gt;Variables!$C$6,H376,H376*(1+Variables!$C$9))</f>
        <v>11.723279703725108</v>
      </c>
      <c r="I423" s="1"/>
      <c r="J423" s="13">
        <f>H423*Variables!$C$21</f>
        <v>211.01903466705195</v>
      </c>
      <c r="K423" s="13">
        <f t="shared" si="12"/>
        <v>211.01903466705195</v>
      </c>
      <c r="L423" s="54">
        <f t="shared" si="1"/>
        <v>0</v>
      </c>
      <c r="M423" s="56"/>
      <c r="N423" s="57"/>
      <c r="O423" s="57"/>
      <c r="P423" s="57"/>
      <c r="Q423" s="57"/>
      <c r="R423" s="57"/>
      <c r="S423" s="58">
        <v>0</v>
      </c>
      <c r="T423" s="59">
        <f>$L423*Variables!$C$22/100</f>
        <v>0</v>
      </c>
      <c r="U423" s="59">
        <f>$L423*Variables!$C$23/100</f>
        <v>0</v>
      </c>
      <c r="V423" s="59">
        <f>$L423*Variables!$C$24/100</f>
        <v>0</v>
      </c>
      <c r="W423" s="59">
        <f>$L423*Variables!$C$25/100</f>
        <v>0</v>
      </c>
      <c r="X423" s="62">
        <f>T423*Variables!$E$26*Variables!$C$18+'Cost Calculations'!U423*Variables!$E$27*Variables!$C$18+'Cost Calculations'!V423*Variables!$E$28*Variables!$C$18+W423*Variables!$E$29*Variables!$C$18</f>
        <v>0</v>
      </c>
      <c r="Y423" s="58">
        <f>J423*Variables!$E$30</f>
        <v>138217.46770691904</v>
      </c>
      <c r="Z423" s="1"/>
      <c r="AA423" s="245">
        <f>D423*(IF(D423&lt;Variables!$C$7,Variables!$C$38,IF(D423&gt;Variables!$C$6,Variables!$C$36,Variables!$C$37)))</f>
        <v>127.56002446596239</v>
      </c>
      <c r="AB423" s="64">
        <f t="shared" si="13"/>
        <v>126</v>
      </c>
      <c r="AC423" s="66">
        <f t="shared" si="2"/>
        <v>2</v>
      </c>
      <c r="AD423" s="62">
        <f>AC423*Variables!$E$41</f>
        <v>1075200</v>
      </c>
      <c r="AE423" s="71">
        <f>ROUND((H423/(3.14*Variables!$C$35^2)),0)</f>
        <v>15</v>
      </c>
      <c r="AF423" s="57">
        <f t="shared" si="14"/>
        <v>15</v>
      </c>
      <c r="AG423" s="57">
        <f t="shared" si="3"/>
        <v>0</v>
      </c>
      <c r="AH423" s="58">
        <f>AG423*Variables!$E$42*Variables!$C$18</f>
        <v>0</v>
      </c>
      <c r="AI423" s="73">
        <f t="shared" si="4"/>
        <v>1</v>
      </c>
      <c r="AJ423" s="66">
        <f t="shared" si="15"/>
        <v>1</v>
      </c>
      <c r="AK423" s="66">
        <f t="shared" si="5"/>
        <v>0</v>
      </c>
      <c r="AL423" s="62">
        <f>IF(AK423*Variables!$E$43*Variables!$C$18&lt;0,0,AK423*Variables!$E$43*Variables!$C$18)</f>
        <v>0</v>
      </c>
      <c r="AM423" s="58">
        <f>AA423*Variables!$E$39*Variables!$C$18</f>
        <v>36871520.322818108</v>
      </c>
      <c r="AN423" s="1"/>
      <c r="AO423" s="76">
        <f t="shared" si="16"/>
        <v>0.67714285714285716</v>
      </c>
      <c r="AP423" s="76">
        <f t="shared" si="6"/>
        <v>118.59479999999999</v>
      </c>
      <c r="AQ423" s="75">
        <f>VLOOKUP(B423,'Household Information'!$B$2:$E$48,4,FALSE)</f>
        <v>40.760000000000005</v>
      </c>
      <c r="AR423" s="79">
        <f>IF(12*(AP423-Variables!$C$45*AQ423*F423)*(G423/5)&lt;0,0,12*(AP423-Variables!$C$45*AQ423*F423)*(G423/5))</f>
        <v>8805359.1517215557</v>
      </c>
      <c r="AS423" s="1"/>
      <c r="AT423" s="62">
        <v>0</v>
      </c>
      <c r="AU423" s="1"/>
    </row>
    <row r="424" spans="1:47" ht="14.25" customHeight="1">
      <c r="A424" s="1">
        <v>45</v>
      </c>
      <c r="B424" s="3" t="s">
        <v>242</v>
      </c>
      <c r="C424" s="1">
        <v>2027</v>
      </c>
      <c r="D424" s="13">
        <f>VLOOKUP(B424,Population!$B$1:$O$48,11,FALSE)</f>
        <v>27002.297658910258</v>
      </c>
      <c r="E424" s="13" t="str">
        <f t="shared" si="22"/>
        <v>Small</v>
      </c>
      <c r="F424" s="54">
        <f>VLOOKUP(B424,'Household Information'!$B$1:$E$48,2,FALSE)</f>
        <v>2.377290114757399</v>
      </c>
      <c r="G424" s="54">
        <f t="shared" si="0"/>
        <v>11358.436015566331</v>
      </c>
      <c r="H424" s="55">
        <f>IF(D424&gt;Variables!$C$6,H377,H377*(1+Variables!$C$9))</f>
        <v>4.927040915310763</v>
      </c>
      <c r="I424" s="1"/>
      <c r="J424" s="13">
        <f>H424*Variables!$C$21</f>
        <v>88.686736475593733</v>
      </c>
      <c r="K424" s="13">
        <f t="shared" si="12"/>
        <v>85.853568708222397</v>
      </c>
      <c r="L424" s="54">
        <f t="shared" si="1"/>
        <v>2.8331677673713358</v>
      </c>
      <c r="M424" s="56"/>
      <c r="N424" s="57"/>
      <c r="O424" s="57"/>
      <c r="P424" s="57"/>
      <c r="Q424" s="57"/>
      <c r="R424" s="57"/>
      <c r="S424" s="58">
        <v>0</v>
      </c>
      <c r="T424" s="59">
        <f>$L424*Variables!$C$22/100</f>
        <v>0.15383716383916754</v>
      </c>
      <c r="U424" s="59">
        <f>$L424*Variables!$C$23/100</f>
        <v>0.26921503671854319</v>
      </c>
      <c r="V424" s="59">
        <f>$L424*Variables!$C$24/100</f>
        <v>0.28203480037180717</v>
      </c>
      <c r="W424" s="59">
        <f>$L424*Variables!$C$25/100</f>
        <v>2.0511621845222341</v>
      </c>
      <c r="X424" s="62">
        <f>T424*Variables!$E$26*Variables!$C$18+'Cost Calculations'!U424*Variables!$E$27*Variables!$C$18+'Cost Calculations'!V424*Variables!$E$28*Variables!$C$18+W424*Variables!$E$29*Variables!$C$18</f>
        <v>3220541.0657696659</v>
      </c>
      <c r="Y424" s="58">
        <f>J424*Variables!$E$30</f>
        <v>58089.812391513893</v>
      </c>
      <c r="Z424" s="1"/>
      <c r="AA424" s="245">
        <f>D424*(IF(D424&lt;Variables!$C$7,Variables!$C$38,IF(D424&gt;Variables!$C$6,Variables!$C$36,Variables!$C$37)))</f>
        <v>13.501148829455129</v>
      </c>
      <c r="AB424" s="64">
        <f t="shared" si="13"/>
        <v>13</v>
      </c>
      <c r="AC424" s="66">
        <f t="shared" si="2"/>
        <v>1</v>
      </c>
      <c r="AD424" s="62">
        <f>AC424*Variables!$E$41</f>
        <v>537600</v>
      </c>
      <c r="AE424" s="71">
        <f>ROUND((H424/(3.14*Variables!$C$35^2)),0)</f>
        <v>6</v>
      </c>
      <c r="AF424" s="57">
        <f t="shared" si="14"/>
        <v>6</v>
      </c>
      <c r="AG424" s="57">
        <f t="shared" si="3"/>
        <v>0</v>
      </c>
      <c r="AH424" s="58">
        <f>AG424*Variables!$E$42*Variables!$C$18</f>
        <v>0</v>
      </c>
      <c r="AI424" s="73">
        <f t="shared" si="4"/>
        <v>0</v>
      </c>
      <c r="AJ424" s="66">
        <f t="shared" si="15"/>
        <v>0</v>
      </c>
      <c r="AK424" s="66">
        <f t="shared" si="5"/>
        <v>0</v>
      </c>
      <c r="AL424" s="62">
        <f>IF(AK424*Variables!$E$43*Variables!$C$18&lt;0,0,AK424*Variables!$E$43*Variables!$C$18)</f>
        <v>0</v>
      </c>
      <c r="AM424" s="58">
        <f>AA424*Variables!$E$39*Variables!$C$18</f>
        <v>3902538.3189659058</v>
      </c>
      <c r="AN424" s="1"/>
      <c r="AO424" s="76">
        <f t="shared" si="16"/>
        <v>0.67714285714285716</v>
      </c>
      <c r="AP424" s="76">
        <f t="shared" si="6"/>
        <v>96.585901233857754</v>
      </c>
      <c r="AQ424" s="75">
        <f>VLOOKUP(B424,'Household Information'!$B$2:$E$48,4,FALSE)</f>
        <v>40.760000000000005</v>
      </c>
      <c r="AR424" s="79">
        <f>IF(12*(AP424-Variables!$C$45*AQ424*F424)*(G424/5)&lt;0,0,12*(AP424-Variables!$C$45*AQ424*F424)*(G424/5))</f>
        <v>2236734.555081612</v>
      </c>
      <c r="AS424" s="1"/>
      <c r="AT424" s="62">
        <v>0</v>
      </c>
      <c r="AU424" s="1"/>
    </row>
    <row r="425" spans="1:47" ht="14.25" customHeight="1">
      <c r="A425" s="1">
        <v>46</v>
      </c>
      <c r="B425" s="3" t="s">
        <v>243</v>
      </c>
      <c r="C425" s="1">
        <v>2027</v>
      </c>
      <c r="D425" s="13">
        <f>VLOOKUP(B425,Population!$B$1:$O$48,11,FALSE)</f>
        <v>34510.939627324202</v>
      </c>
      <c r="E425" s="13" t="str">
        <f t="shared" si="22"/>
        <v>Small</v>
      </c>
      <c r="F425" s="54">
        <f>VLOOKUP(B425,'Household Information'!$B$1:$E$48,2,FALSE)</f>
        <v>2.6682284299858559</v>
      </c>
      <c r="G425" s="54">
        <f t="shared" si="0"/>
        <v>12934.027401659589</v>
      </c>
      <c r="H425" s="55">
        <f>IF(D425&gt;Variables!$C$6,H378,H378*(1+Variables!$C$9))</f>
        <v>4.8022284254732908</v>
      </c>
      <c r="I425" s="1"/>
      <c r="J425" s="13">
        <f>H425*Variables!$C$21</f>
        <v>86.440111658519228</v>
      </c>
      <c r="K425" s="13">
        <f t="shared" si="12"/>
        <v>83.678714093435858</v>
      </c>
      <c r="L425" s="54">
        <f t="shared" si="1"/>
        <v>2.7613975650833709</v>
      </c>
      <c r="M425" s="56"/>
      <c r="N425" s="57"/>
      <c r="O425" s="57"/>
      <c r="P425" s="57"/>
      <c r="Q425" s="57"/>
      <c r="R425" s="57"/>
      <c r="S425" s="58">
        <v>0</v>
      </c>
      <c r="T425" s="59">
        <f>$L425*Variables!$C$22/100</f>
        <v>0.149940139280545</v>
      </c>
      <c r="U425" s="59">
        <f>$L425*Variables!$C$23/100</f>
        <v>0.2623952437409538</v>
      </c>
      <c r="V425" s="59">
        <f>$L425*Variables!$C$24/100</f>
        <v>0.27489025534766592</v>
      </c>
      <c r="W425" s="59">
        <f>$L425*Variables!$C$25/100</f>
        <v>1.9992018570739336</v>
      </c>
      <c r="X425" s="62">
        <f>T425*Variables!$E$26*Variables!$C$18+'Cost Calculations'!U425*Variables!$E$27*Variables!$C$18+'Cost Calculations'!V425*Variables!$E$28*Variables!$C$18+W425*Variables!$E$29*Variables!$C$18</f>
        <v>3138957.8688870315</v>
      </c>
      <c r="Y425" s="58">
        <f>J425*Variables!$E$30</f>
        <v>56618.273136330092</v>
      </c>
      <c r="Z425" s="1"/>
      <c r="AA425" s="245">
        <f>D425*(IF(D425&lt;Variables!$C$7,Variables!$C$38,IF(D425&gt;Variables!$C$6,Variables!$C$36,Variables!$C$37)))</f>
        <v>17.255469813662103</v>
      </c>
      <c r="AB425" s="64">
        <f t="shared" si="13"/>
        <v>17</v>
      </c>
      <c r="AC425" s="66">
        <f t="shared" si="2"/>
        <v>0</v>
      </c>
      <c r="AD425" s="62">
        <f>AC425*Variables!$E$41</f>
        <v>0</v>
      </c>
      <c r="AE425" s="71">
        <f>ROUND((H425/(3.14*Variables!$C$35^2)),0)</f>
        <v>6</v>
      </c>
      <c r="AF425" s="57">
        <f t="shared" si="14"/>
        <v>6</v>
      </c>
      <c r="AG425" s="57">
        <f t="shared" si="3"/>
        <v>0</v>
      </c>
      <c r="AH425" s="58">
        <f>AG425*Variables!$E$42*Variables!$C$18</f>
        <v>0</v>
      </c>
      <c r="AI425" s="73">
        <f t="shared" si="4"/>
        <v>0</v>
      </c>
      <c r="AJ425" s="66">
        <f t="shared" si="15"/>
        <v>0</v>
      </c>
      <c r="AK425" s="66">
        <f t="shared" si="5"/>
        <v>0</v>
      </c>
      <c r="AL425" s="62">
        <f>IF(AK425*Variables!$E$43*Variables!$C$18&lt;0,0,AK425*Variables!$E$43*Variables!$C$18)</f>
        <v>0</v>
      </c>
      <c r="AM425" s="58">
        <f>AA425*Variables!$E$39*Variables!$C$18</f>
        <v>4987733.4892169693</v>
      </c>
      <c r="AN425" s="1"/>
      <c r="AO425" s="76">
        <f t="shared" si="16"/>
        <v>0.67714285714285716</v>
      </c>
      <c r="AP425" s="76">
        <f t="shared" si="6"/>
        <v>108.40630935542534</v>
      </c>
      <c r="AQ425" s="75">
        <f>VLOOKUP(B425,'Household Information'!$B$2:$E$48,4,FALSE)</f>
        <v>40.760000000000005</v>
      </c>
      <c r="AR425" s="79">
        <f>IF(12*(AP425-Variables!$C$45*AQ425*F425)*(G425/5)&lt;0,0,12*(AP425-Variables!$C$45*AQ425*F425)*(G425/5))</f>
        <v>2858712.6980025535</v>
      </c>
      <c r="AS425" s="1"/>
      <c r="AT425" s="62">
        <v>0</v>
      </c>
      <c r="AU425" s="1"/>
    </row>
    <row r="426" spans="1:47" ht="14.25" customHeight="1">
      <c r="A426" s="1">
        <v>47</v>
      </c>
      <c r="B426" s="3" t="s">
        <v>244</v>
      </c>
      <c r="C426" s="1">
        <v>2027</v>
      </c>
      <c r="D426" s="13">
        <f>VLOOKUP(B426,Population!$B$1:$O$48,11,FALSE)</f>
        <v>73135.796386116854</v>
      </c>
      <c r="E426" s="13" t="str">
        <f t="shared" si="22"/>
        <v>Small</v>
      </c>
      <c r="F426" s="54">
        <f>VLOOKUP(B426,'Household Information'!$B$1:$E$48,2,FALSE)</f>
        <v>3.4580000000000002</v>
      </c>
      <c r="G426" s="54">
        <f t="shared" si="0"/>
        <v>21149.738688871268</v>
      </c>
      <c r="H426" s="55">
        <f>IF(D426&gt;Variables!$C$6,H379,H379*(1+Variables!$C$9))</f>
        <v>5.4456768011329508</v>
      </c>
      <c r="I426" s="1"/>
      <c r="J426" s="13">
        <f>H426*Variables!$C$21</f>
        <v>98.022182420393108</v>
      </c>
      <c r="K426" s="13">
        <f t="shared" si="12"/>
        <v>94.890786466982689</v>
      </c>
      <c r="L426" s="54">
        <f t="shared" si="1"/>
        <v>3.1313959534104185</v>
      </c>
      <c r="M426" s="56"/>
      <c r="N426" s="57"/>
      <c r="O426" s="57"/>
      <c r="P426" s="57"/>
      <c r="Q426" s="57"/>
      <c r="R426" s="57"/>
      <c r="S426" s="58">
        <v>0</v>
      </c>
      <c r="T426" s="59">
        <f>$L426*Variables!$C$22/100</f>
        <v>0.17003054950644805</v>
      </c>
      <c r="U426" s="59">
        <f>$L426*Variables!$C$23/100</f>
        <v>0.2975534616362841</v>
      </c>
      <c r="V426" s="59">
        <f>$L426*Variables!$C$24/100</f>
        <v>0.31172267409515481</v>
      </c>
      <c r="W426" s="59">
        <f>$L426*Variables!$C$25/100</f>
        <v>2.2670739934193076</v>
      </c>
      <c r="X426" s="62">
        <f>T426*Variables!$E$26*Variables!$C$18+'Cost Calculations'!U426*Variables!$E$27*Variables!$C$18+'Cost Calculations'!V426*Variables!$E$28*Variables!$C$18+W426*Variables!$E$29*Variables!$C$18</f>
        <v>3559545.3884822559</v>
      </c>
      <c r="Y426" s="58">
        <f>J426*Variables!$E$30</f>
        <v>64204.529485357489</v>
      </c>
      <c r="Z426" s="1"/>
      <c r="AA426" s="245">
        <f>D426*(IF(D426&lt;Variables!$C$7,Variables!$C$38,IF(D426&gt;Variables!$C$6,Variables!$C$36,Variables!$C$37)))</f>
        <v>58.508637108893488</v>
      </c>
      <c r="AB426" s="64">
        <f t="shared" si="13"/>
        <v>58</v>
      </c>
      <c r="AC426" s="66">
        <f t="shared" si="2"/>
        <v>1</v>
      </c>
      <c r="AD426" s="62">
        <f>AC426*Variables!$E$41</f>
        <v>537600</v>
      </c>
      <c r="AE426" s="71">
        <f>ROUND((H426/(3.14*Variables!$C$35^2)),0)</f>
        <v>7</v>
      </c>
      <c r="AF426" s="57">
        <f t="shared" si="14"/>
        <v>7</v>
      </c>
      <c r="AG426" s="57">
        <f t="shared" si="3"/>
        <v>0</v>
      </c>
      <c r="AH426" s="58">
        <f>AG426*Variables!$E$42*Variables!$C$18</f>
        <v>0</v>
      </c>
      <c r="AI426" s="73">
        <f t="shared" si="4"/>
        <v>0</v>
      </c>
      <c r="AJ426" s="66">
        <f t="shared" si="15"/>
        <v>0</v>
      </c>
      <c r="AK426" s="66">
        <f t="shared" si="5"/>
        <v>0</v>
      </c>
      <c r="AL426" s="62">
        <f>IF(AK426*Variables!$E$43*Variables!$C$18&lt;0,0,AK426*Variables!$E$43*Variables!$C$18)</f>
        <v>0</v>
      </c>
      <c r="AM426" s="58">
        <f>AA426*Variables!$E$39*Variables!$C$18</f>
        <v>16912056.980646014</v>
      </c>
      <c r="AN426" s="1"/>
      <c r="AO426" s="76">
        <f t="shared" si="16"/>
        <v>0.67714285714285716</v>
      </c>
      <c r="AP426" s="76">
        <f t="shared" si="6"/>
        <v>140.49359999999999</v>
      </c>
      <c r="AQ426" s="75">
        <f>VLOOKUP(B426,'Household Information'!$B$2:$E$48,4,FALSE)</f>
        <v>40.760000000000005</v>
      </c>
      <c r="AR426" s="79">
        <f>IF(12*(AP426-Variables!$C$45*AQ426*F426)*(G426/5)&lt;0,0,12*(AP426-Variables!$C$45*AQ426*F426)*(G426/5))</f>
        <v>6058201.6040498056</v>
      </c>
      <c r="AS426" s="1"/>
      <c r="AT426" s="62">
        <v>0</v>
      </c>
      <c r="AU426" s="1"/>
    </row>
    <row r="427" spans="1:47" ht="14.25" customHeight="1">
      <c r="A427" s="1">
        <v>1</v>
      </c>
      <c r="B427" s="3" t="s">
        <v>76</v>
      </c>
      <c r="C427" s="1">
        <v>2028</v>
      </c>
      <c r="D427" s="13">
        <f>VLOOKUP(B427,Population!$B$1:$O$48,12,FALSE)</f>
        <v>8334387.9581525289</v>
      </c>
      <c r="E427" s="13" t="str">
        <f t="shared" si="22"/>
        <v>Large</v>
      </c>
      <c r="F427" s="54">
        <f>VLOOKUP(B427,'Household Information'!$B$1:$E$48,2,FALSE)</f>
        <v>2.8458153079093123</v>
      </c>
      <c r="G427" s="54">
        <f t="shared" si="0"/>
        <v>2928646.822226638</v>
      </c>
      <c r="H427" s="55">
        <f>IF(D427&gt;Variables!$C$6,H380,H380*(1+Variables!$C$9))</f>
        <v>418.2688494446499</v>
      </c>
      <c r="I427" s="1"/>
      <c r="J427" s="13">
        <f>H427*Variables!$C$21</f>
        <v>7528.8392900036979</v>
      </c>
      <c r="K427" s="13">
        <f t="shared" si="12"/>
        <v>13984</v>
      </c>
      <c r="L427" s="54">
        <f t="shared" si="1"/>
        <v>0</v>
      </c>
      <c r="M427" s="56"/>
      <c r="N427" s="57"/>
      <c r="O427" s="57"/>
      <c r="P427" s="57"/>
      <c r="Q427" s="57"/>
      <c r="R427" s="57"/>
      <c r="S427" s="58">
        <v>0</v>
      </c>
      <c r="T427" s="59">
        <f>$L427*Variables!$C$22/100</f>
        <v>0</v>
      </c>
      <c r="U427" s="59">
        <f>$L427*Variables!$C$23/100</f>
        <v>0</v>
      </c>
      <c r="V427" s="59">
        <f>$L427*Variables!$C$24/100</f>
        <v>0</v>
      </c>
      <c r="W427" s="59">
        <f>$L427*Variables!$C$25/100</f>
        <v>0</v>
      </c>
      <c r="X427" s="62">
        <f>T427*Variables!$E$26*Variables!$C$18+'Cost Calculations'!U427*Variables!$E$27*Variables!$C$18+'Cost Calculations'!V427*Variables!$E$28*Variables!$C$18+W427*Variables!$E$29*Variables!$C$18</f>
        <v>0</v>
      </c>
      <c r="Y427" s="58">
        <f>J427*Variables!$E$30</f>
        <v>4931389.7349524219</v>
      </c>
      <c r="Z427" s="1"/>
      <c r="AA427" s="245">
        <f>D427*(IF(D427&lt;Variables!$C$7,Variables!$C$38,IF(D427&gt;Variables!$C$6,Variables!$C$36,Variables!$C$37)))</f>
        <v>10001.265549783033</v>
      </c>
      <c r="AB427" s="64">
        <f t="shared" si="13"/>
        <v>9853</v>
      </c>
      <c r="AC427" s="66">
        <f t="shared" si="2"/>
        <v>148</v>
      </c>
      <c r="AD427" s="62">
        <f>AC427*Variables!$E$41</f>
        <v>79564800</v>
      </c>
      <c r="AE427" s="71">
        <f>ROUND((H427/(3.14*Variables!$C$35^2)),0)</f>
        <v>533</v>
      </c>
      <c r="AF427" s="57">
        <f t="shared" si="14"/>
        <v>853</v>
      </c>
      <c r="AG427" s="57">
        <f t="shared" si="3"/>
        <v>0</v>
      </c>
      <c r="AH427" s="58">
        <f>AG427*Variables!$E$42*Variables!$C$18</f>
        <v>0</v>
      </c>
      <c r="AI427" s="73">
        <f t="shared" si="4"/>
        <v>83</v>
      </c>
      <c r="AJ427" s="66">
        <f t="shared" si="15"/>
        <v>82</v>
      </c>
      <c r="AK427" s="66">
        <f t="shared" si="5"/>
        <v>1</v>
      </c>
      <c r="AL427" s="62">
        <f>IF(AK427*Variables!$E$43*Variables!$C$18&lt;0,0,AK427*Variables!$E$43*Variables!$C$18)</f>
        <v>945381.49199999997</v>
      </c>
      <c r="AM427" s="58">
        <f>AA427*Variables!$E$39*Variables!$C$18</f>
        <v>2890888956.1331549</v>
      </c>
      <c r="AN427" s="1"/>
      <c r="AO427" s="76">
        <f t="shared" si="16"/>
        <v>0.68340000000000001</v>
      </c>
      <c r="AP427" s="76">
        <f t="shared" si="6"/>
        <v>116.68981088551344</v>
      </c>
      <c r="AQ427" s="75">
        <f>VLOOKUP(B427,'Household Information'!$B$2:$E$48,4,FALSE)</f>
        <v>91.36</v>
      </c>
      <c r="AR427" s="79">
        <f>IF(12*(AP427-Variables!$C$45*AQ427*F427)*(G427/5)&lt;0,0,12*(AP427-Variables!$C$45*AQ427*F427)*(G427/5))</f>
        <v>546069099.01815367</v>
      </c>
      <c r="AS427" s="1"/>
      <c r="AT427" s="62">
        <v>0</v>
      </c>
      <c r="AU427" s="1"/>
    </row>
    <row r="428" spans="1:47" ht="14.25" customHeight="1">
      <c r="A428" s="1">
        <v>2</v>
      </c>
      <c r="B428" s="3" t="s">
        <v>87</v>
      </c>
      <c r="C428" s="1">
        <v>2028</v>
      </c>
      <c r="D428" s="13">
        <f>VLOOKUP(B428,Population!$B$1:$O$48,12,FALSE)</f>
        <v>2753185.8154319106</v>
      </c>
      <c r="E428" s="13" t="str">
        <f t="shared" si="22"/>
        <v>Large</v>
      </c>
      <c r="F428" s="54">
        <f>VLOOKUP(B428,'Household Information'!$B$1:$E$48,2,FALSE)</f>
        <v>2.6591126390039355</v>
      </c>
      <c r="G428" s="54">
        <f t="shared" si="0"/>
        <v>1035377.6575870112</v>
      </c>
      <c r="H428" s="55">
        <f>IF(D428&gt;Variables!$C$6,H381,H381*(1+Variables!$C$9))</f>
        <v>119.58406164038337</v>
      </c>
      <c r="I428" s="1"/>
      <c r="J428" s="13">
        <f>H428*Variables!$C$21</f>
        <v>2152.5131095269007</v>
      </c>
      <c r="K428" s="13">
        <f t="shared" si="12"/>
        <v>2152.5131095269007</v>
      </c>
      <c r="L428" s="54">
        <f t="shared" si="1"/>
        <v>0</v>
      </c>
      <c r="M428" s="56"/>
      <c r="N428" s="57"/>
      <c r="O428" s="57"/>
      <c r="P428" s="57"/>
      <c r="Q428" s="57"/>
      <c r="R428" s="57"/>
      <c r="S428" s="58">
        <v>0</v>
      </c>
      <c r="T428" s="59">
        <f>$L428*Variables!$C$22/100</f>
        <v>0</v>
      </c>
      <c r="U428" s="59">
        <f>$L428*Variables!$C$23/100</f>
        <v>0</v>
      </c>
      <c r="V428" s="59">
        <f>$L428*Variables!$C$24/100</f>
        <v>0</v>
      </c>
      <c r="W428" s="59">
        <f>$L428*Variables!$C$25/100</f>
        <v>0</v>
      </c>
      <c r="X428" s="62">
        <f>T428*Variables!$E$26*Variables!$C$18+'Cost Calculations'!U428*Variables!$E$27*Variables!$C$18+'Cost Calculations'!V428*Variables!$E$28*Variables!$C$18+W428*Variables!$E$29*Variables!$C$18</f>
        <v>0</v>
      </c>
      <c r="Y428" s="58">
        <f>J428*Variables!$E$30</f>
        <v>1409896.0867401201</v>
      </c>
      <c r="Z428" s="1"/>
      <c r="AA428" s="245">
        <f>D428*(IF(D428&lt;Variables!$C$7,Variables!$C$38,IF(D428&gt;Variables!$C$6,Variables!$C$36,Variables!$C$37)))</f>
        <v>3303.8229785182925</v>
      </c>
      <c r="AB428" s="64">
        <f t="shared" si="13"/>
        <v>4664</v>
      </c>
      <c r="AC428" s="66">
        <f t="shared" si="2"/>
        <v>0</v>
      </c>
      <c r="AD428" s="62">
        <f>AC428*Variables!$E$41</f>
        <v>0</v>
      </c>
      <c r="AE428" s="71">
        <f>ROUND((H428/(3.14*Variables!$C$35^2)),0)</f>
        <v>152</v>
      </c>
      <c r="AF428" s="57">
        <f t="shared" si="14"/>
        <v>152</v>
      </c>
      <c r="AG428" s="57">
        <f t="shared" si="3"/>
        <v>0</v>
      </c>
      <c r="AH428" s="58">
        <f>AG428*Variables!$E$42*Variables!$C$18</f>
        <v>0</v>
      </c>
      <c r="AI428" s="73">
        <f t="shared" si="4"/>
        <v>28</v>
      </c>
      <c r="AJ428" s="66">
        <f t="shared" si="15"/>
        <v>27</v>
      </c>
      <c r="AK428" s="66">
        <f t="shared" si="5"/>
        <v>1</v>
      </c>
      <c r="AL428" s="62">
        <f>IF(AK428*Variables!$E$43*Variables!$C$18&lt;0,0,AK428*Variables!$E$43*Variables!$C$18)</f>
        <v>945381.49199999997</v>
      </c>
      <c r="AM428" s="58">
        <f>AA428*Variables!$E$39*Variables!$C$18</f>
        <v>954977678.98230386</v>
      </c>
      <c r="AN428" s="1"/>
      <c r="AO428" s="76">
        <f t="shared" si="16"/>
        <v>0.75480000000000003</v>
      </c>
      <c r="AP428" s="76">
        <f t="shared" si="6"/>
        <v>120.42589319521024</v>
      </c>
      <c r="AQ428" s="75">
        <f>VLOOKUP(B428,'Household Information'!$B$2:$E$48,4,FALSE)</f>
        <v>73.64</v>
      </c>
      <c r="AR428" s="79">
        <f>IF(12*(AP428-Variables!$C$45*AQ428*F428)*(G428/5)&lt;0,0,12*(AP428-Variables!$C$45*AQ428*F428)*(G428/5))</f>
        <v>226259012.86084679</v>
      </c>
      <c r="AS428" s="1"/>
      <c r="AT428" s="62">
        <v>0</v>
      </c>
      <c r="AU428" s="1"/>
    </row>
    <row r="429" spans="1:47" ht="14.25" customHeight="1">
      <c r="A429" s="1">
        <v>3</v>
      </c>
      <c r="B429" s="3" t="s">
        <v>103</v>
      </c>
      <c r="C429" s="1">
        <v>2028</v>
      </c>
      <c r="D429" s="13">
        <f>VLOOKUP(B429,Population!$B$1:$O$48,12,FALSE)</f>
        <v>2115513.8931727675</v>
      </c>
      <c r="E429" s="13" t="str">
        <f t="shared" si="22"/>
        <v>Large</v>
      </c>
      <c r="F429" s="54">
        <f>VLOOKUP(B429,'Household Information'!$B$1:$E$48,2,FALSE)</f>
        <v>2.6407866430045996</v>
      </c>
      <c r="G429" s="54">
        <f t="shared" si="0"/>
        <v>801092.31799423438</v>
      </c>
      <c r="H429" s="55">
        <f>IF(D429&gt;Variables!$C$6,H382,H382*(1+Variables!$C$9))</f>
        <v>224.70642399999997</v>
      </c>
      <c r="I429" s="1"/>
      <c r="J429" s="13">
        <f>H429*Variables!$C$21</f>
        <v>4044.7156319999995</v>
      </c>
      <c r="K429" s="13">
        <f t="shared" si="12"/>
        <v>4044.7156319999995</v>
      </c>
      <c r="L429" s="54">
        <f t="shared" si="1"/>
        <v>0</v>
      </c>
      <c r="M429" s="56"/>
      <c r="N429" s="57"/>
      <c r="O429" s="57"/>
      <c r="P429" s="57"/>
      <c r="Q429" s="57"/>
      <c r="R429" s="57"/>
      <c r="S429" s="58">
        <v>0</v>
      </c>
      <c r="T429" s="59">
        <f>$L429*Variables!$C$22/100</f>
        <v>0</v>
      </c>
      <c r="U429" s="59">
        <f>$L429*Variables!$C$23/100</f>
        <v>0</v>
      </c>
      <c r="V429" s="59">
        <f>$L429*Variables!$C$24/100</f>
        <v>0</v>
      </c>
      <c r="W429" s="59">
        <f>$L429*Variables!$C$25/100</f>
        <v>0</v>
      </c>
      <c r="X429" s="62">
        <f>T429*Variables!$E$26*Variables!$C$18+'Cost Calculations'!U429*Variables!$E$27*Variables!$C$18+'Cost Calculations'!V429*Variables!$E$28*Variables!$C$18+W429*Variables!$E$29*Variables!$C$18</f>
        <v>0</v>
      </c>
      <c r="Y429" s="58">
        <f>J429*Variables!$E$30</f>
        <v>2649288.7389599998</v>
      </c>
      <c r="Z429" s="1"/>
      <c r="AA429" s="245">
        <f>D429*(IF(D429&lt;Variables!$C$7,Variables!$C$38,IF(D429&gt;Variables!$C$6,Variables!$C$36,Variables!$C$37)))</f>
        <v>2538.6166718073209</v>
      </c>
      <c r="AB429" s="64">
        <f t="shared" si="13"/>
        <v>2501</v>
      </c>
      <c r="AC429" s="66">
        <f t="shared" si="2"/>
        <v>38</v>
      </c>
      <c r="AD429" s="62">
        <f>AC429*Variables!$E$41</f>
        <v>20428800</v>
      </c>
      <c r="AE429" s="71">
        <f>ROUND((H429/(3.14*Variables!$C$35^2)),0)</f>
        <v>286</v>
      </c>
      <c r="AF429" s="57">
        <f t="shared" si="14"/>
        <v>286</v>
      </c>
      <c r="AG429" s="57">
        <f t="shared" si="3"/>
        <v>0</v>
      </c>
      <c r="AH429" s="58">
        <f>AG429*Variables!$E$42*Variables!$C$18</f>
        <v>0</v>
      </c>
      <c r="AI429" s="73">
        <f t="shared" si="4"/>
        <v>21</v>
      </c>
      <c r="AJ429" s="66">
        <f t="shared" si="15"/>
        <v>21</v>
      </c>
      <c r="AK429" s="66">
        <f t="shared" si="5"/>
        <v>0</v>
      </c>
      <c r="AL429" s="62">
        <f>IF(AK429*Variables!$E$43*Variables!$C$18&lt;0,0,AK429*Variables!$E$43*Variables!$C$18)</f>
        <v>0</v>
      </c>
      <c r="AM429" s="58">
        <f>AA429*Variables!$E$39*Variables!$C$18</f>
        <v>733793024.87798631</v>
      </c>
      <c r="AN429" s="1"/>
      <c r="AO429" s="76">
        <f t="shared" si="16"/>
        <v>0.61199999999999999</v>
      </c>
      <c r="AP429" s="76">
        <f t="shared" si="6"/>
        <v>96.969685531128903</v>
      </c>
      <c r="AQ429" s="75">
        <f>VLOOKUP(B429,'Household Information'!$B$2:$E$48,4,FALSE)</f>
        <v>61.12</v>
      </c>
      <c r="AR429" s="79">
        <f>IF(12*(AP429-Variables!$C$45*AQ429*F429)*(G429/5)&lt;0,0,12*(AP429-Variables!$C$45*AQ429*F429)*(G429/5))</f>
        <v>139887933.08327061</v>
      </c>
      <c r="AS429" s="1"/>
      <c r="AT429" s="62">
        <v>0</v>
      </c>
      <c r="AU429" s="1"/>
    </row>
    <row r="430" spans="1:47" ht="14.25" customHeight="1">
      <c r="A430" s="1">
        <v>4</v>
      </c>
      <c r="B430" s="3" t="s">
        <v>104</v>
      </c>
      <c r="C430" s="1">
        <v>2028</v>
      </c>
      <c r="D430" s="13">
        <f>VLOOKUP(B430,Population!$B$1:$O$48,12,FALSE)</f>
        <v>1299925.259733144</v>
      </c>
      <c r="E430" s="13" t="str">
        <f t="shared" si="22"/>
        <v>Large</v>
      </c>
      <c r="F430" s="54">
        <f>VLOOKUP(B430,'Household Information'!$B$1:$E$48,2,FALSE)</f>
        <v>3.2280741697119208</v>
      </c>
      <c r="G430" s="54">
        <f t="shared" si="0"/>
        <v>402693.73979382624</v>
      </c>
      <c r="H430" s="55">
        <f>IF(D430&gt;Variables!$C$6,H383,H383*(1+Variables!$C$9))</f>
        <v>154</v>
      </c>
      <c r="I430" s="1"/>
      <c r="J430" s="13">
        <f>H430*Variables!$C$21</f>
        <v>2772</v>
      </c>
      <c r="K430" s="13">
        <f t="shared" si="12"/>
        <v>3916</v>
      </c>
      <c r="L430" s="54">
        <f t="shared" si="1"/>
        <v>0</v>
      </c>
      <c r="M430" s="56"/>
      <c r="N430" s="57"/>
      <c r="O430" s="57"/>
      <c r="P430" s="57"/>
      <c r="Q430" s="57"/>
      <c r="R430" s="57"/>
      <c r="S430" s="58">
        <v>0</v>
      </c>
      <c r="T430" s="59">
        <f>$L430*Variables!$C$22/100</f>
        <v>0</v>
      </c>
      <c r="U430" s="59">
        <f>$L430*Variables!$C$23/100</f>
        <v>0</v>
      </c>
      <c r="V430" s="59">
        <f>$L430*Variables!$C$24/100</f>
        <v>0</v>
      </c>
      <c r="W430" s="59">
        <f>$L430*Variables!$C$25/100</f>
        <v>0</v>
      </c>
      <c r="X430" s="62">
        <f>T430*Variables!$E$26*Variables!$C$18+'Cost Calculations'!U430*Variables!$E$27*Variables!$C$18+'Cost Calculations'!V430*Variables!$E$28*Variables!$C$18+W430*Variables!$E$29*Variables!$C$18</f>
        <v>0</v>
      </c>
      <c r="Y430" s="58">
        <f>J430*Variables!$E$30</f>
        <v>1815660</v>
      </c>
      <c r="Z430" s="1"/>
      <c r="AA430" s="245">
        <f>D430*(IF(D430&lt;Variables!$C$7,Variables!$C$38,IF(D430&gt;Variables!$C$6,Variables!$C$36,Variables!$C$37)))</f>
        <v>1559.9103116797726</v>
      </c>
      <c r="AB430" s="64">
        <f t="shared" si="13"/>
        <v>2043</v>
      </c>
      <c r="AC430" s="66">
        <f t="shared" si="2"/>
        <v>0</v>
      </c>
      <c r="AD430" s="62">
        <f>AC430*Variables!$E$41</f>
        <v>0</v>
      </c>
      <c r="AE430" s="71">
        <f>ROUND((H430/(3.14*Variables!$C$35^2)),0)</f>
        <v>196</v>
      </c>
      <c r="AF430" s="57">
        <f t="shared" si="14"/>
        <v>196</v>
      </c>
      <c r="AG430" s="57">
        <f t="shared" si="3"/>
        <v>0</v>
      </c>
      <c r="AH430" s="58">
        <f>AG430*Variables!$E$42*Variables!$C$18</f>
        <v>0</v>
      </c>
      <c r="AI430" s="73">
        <f t="shared" si="4"/>
        <v>13</v>
      </c>
      <c r="AJ430" s="66">
        <f t="shared" si="15"/>
        <v>13</v>
      </c>
      <c r="AK430" s="66">
        <f t="shared" si="5"/>
        <v>0</v>
      </c>
      <c r="AL430" s="62">
        <f>IF(AK430*Variables!$E$43*Variables!$C$18&lt;0,0,AK430*Variables!$E$43*Variables!$C$18)</f>
        <v>0</v>
      </c>
      <c r="AM430" s="58">
        <f>AA430*Variables!$E$39*Variables!$C$18</f>
        <v>450895686.16554844</v>
      </c>
      <c r="AN430" s="1"/>
      <c r="AO430" s="76">
        <f t="shared" si="16"/>
        <v>0.6804</v>
      </c>
      <c r="AP430" s="76">
        <f t="shared" si="6"/>
        <v>131.78289990431946</v>
      </c>
      <c r="AQ430" s="75">
        <f>VLOOKUP(B430,'Household Information'!$B$2:$E$48,4,FALSE)</f>
        <v>42.71</v>
      </c>
      <c r="AR430" s="79">
        <f>IF(12*(AP430-Variables!$C$45*AQ430*F430)*(G430/5)&lt;0,0,12*(AP430-Variables!$C$45*AQ430*F430)*(G430/5))</f>
        <v>107376426.30447719</v>
      </c>
      <c r="AS430" s="1"/>
      <c r="AT430" s="62">
        <v>0</v>
      </c>
      <c r="AU430" s="1"/>
    </row>
    <row r="431" spans="1:47" ht="14.25" customHeight="1">
      <c r="A431" s="1">
        <v>5</v>
      </c>
      <c r="B431" s="3" t="s">
        <v>105</v>
      </c>
      <c r="C431" s="1">
        <v>2028</v>
      </c>
      <c r="D431" s="13">
        <f>VLOOKUP(B431,Population!$B$1:$O$48,12,FALSE)</f>
        <v>613757.81801867497</v>
      </c>
      <c r="E431" s="13" t="str">
        <f t="shared" si="22"/>
        <v>Medium</v>
      </c>
      <c r="F431" s="54">
        <f>VLOOKUP(B431,'Household Information'!$B$1:$E$48,2,FALSE)</f>
        <v>2.791645991913092</v>
      </c>
      <c r="G431" s="54">
        <f t="shared" si="0"/>
        <v>219855.1749744142</v>
      </c>
      <c r="H431" s="55">
        <f>IF(D431&gt;Variables!$C$6,H384,H384*(1+Variables!$C$9))</f>
        <v>76.806648999999993</v>
      </c>
      <c r="I431" s="1"/>
      <c r="J431" s="13">
        <f>H431*Variables!$C$21</f>
        <v>1382.5196819999999</v>
      </c>
      <c r="K431" s="13">
        <f t="shared" si="12"/>
        <v>1382.5196819999999</v>
      </c>
      <c r="L431" s="54">
        <f t="shared" si="1"/>
        <v>0</v>
      </c>
      <c r="M431" s="56"/>
      <c r="N431" s="57"/>
      <c r="O431" s="57"/>
      <c r="P431" s="57"/>
      <c r="Q431" s="57"/>
      <c r="R431" s="57"/>
      <c r="S431" s="58">
        <v>0</v>
      </c>
      <c r="T431" s="59">
        <f>$L431*Variables!$C$22/100</f>
        <v>0</v>
      </c>
      <c r="U431" s="59">
        <f>$L431*Variables!$C$23/100</f>
        <v>0</v>
      </c>
      <c r="V431" s="59">
        <f>$L431*Variables!$C$24/100</f>
        <v>0</v>
      </c>
      <c r="W431" s="59">
        <f>$L431*Variables!$C$25/100</f>
        <v>0</v>
      </c>
      <c r="X431" s="62">
        <f>T431*Variables!$E$26*Variables!$C$18+'Cost Calculations'!U431*Variables!$E$27*Variables!$C$18+'Cost Calculations'!V431*Variables!$E$28*Variables!$C$18+W431*Variables!$E$29*Variables!$C$18</f>
        <v>0</v>
      </c>
      <c r="Y431" s="58">
        <f>J431*Variables!$E$30</f>
        <v>905550.39170999988</v>
      </c>
      <c r="Z431" s="1"/>
      <c r="AA431" s="245">
        <f>D431*(IF(D431&lt;Variables!$C$7,Variables!$C$38,IF(D431&gt;Variables!$C$6,Variables!$C$36,Variables!$C$37)))</f>
        <v>736.50938162240993</v>
      </c>
      <c r="AB431" s="64">
        <f t="shared" si="13"/>
        <v>726</v>
      </c>
      <c r="AC431" s="66">
        <f t="shared" si="2"/>
        <v>11</v>
      </c>
      <c r="AD431" s="62">
        <f>AC431*Variables!$E$41</f>
        <v>5913600</v>
      </c>
      <c r="AE431" s="71">
        <f>ROUND((H431/(3.14*Variables!$C$35^2)),0)</f>
        <v>98</v>
      </c>
      <c r="AF431" s="57">
        <f t="shared" si="14"/>
        <v>98</v>
      </c>
      <c r="AG431" s="57">
        <f t="shared" si="3"/>
        <v>0</v>
      </c>
      <c r="AH431" s="58">
        <f>AG431*Variables!$E$42*Variables!$C$18</f>
        <v>0</v>
      </c>
      <c r="AI431" s="73">
        <f t="shared" si="4"/>
        <v>6</v>
      </c>
      <c r="AJ431" s="66">
        <f t="shared" si="15"/>
        <v>6</v>
      </c>
      <c r="AK431" s="66">
        <f t="shared" si="5"/>
        <v>0</v>
      </c>
      <c r="AL431" s="62">
        <f>IF(AK431*Variables!$E$43*Variables!$C$18&lt;0,0,AK431*Variables!$E$43*Variables!$C$18)</f>
        <v>0</v>
      </c>
      <c r="AM431" s="58">
        <f>AA431*Variables!$E$39*Variables!$C$18</f>
        <v>212889741.4854537</v>
      </c>
      <c r="AN431" s="1"/>
      <c r="AO431" s="76">
        <f t="shared" si="16"/>
        <v>0.71399999999999997</v>
      </c>
      <c r="AP431" s="76">
        <f t="shared" si="6"/>
        <v>119.59411429355686</v>
      </c>
      <c r="AQ431" s="75">
        <f>VLOOKUP(B431,'Household Information'!$B$2:$E$48,4,FALSE)</f>
        <v>61.2</v>
      </c>
      <c r="AR431" s="79">
        <f>IF(12*(AP431-Variables!$C$45*AQ431*F431)*(G431/5)&lt;0,0,12*(AP431-Variables!$C$45*AQ431*F431)*(G431/5))</f>
        <v>49581811.57082063</v>
      </c>
      <c r="AS431" s="1"/>
      <c r="AT431" s="62">
        <v>0</v>
      </c>
      <c r="AU431" s="1"/>
    </row>
    <row r="432" spans="1:47" ht="14.25" customHeight="1">
      <c r="A432" s="1">
        <v>6</v>
      </c>
      <c r="B432" s="3" t="s">
        <v>106</v>
      </c>
      <c r="C432" s="1">
        <v>2028</v>
      </c>
      <c r="D432" s="13">
        <f>VLOOKUP(B432,Population!$B$1:$O$48,12,FALSE)</f>
        <v>1030497.5834177806</v>
      </c>
      <c r="E432" s="13" t="str">
        <f t="shared" si="22"/>
        <v>Large</v>
      </c>
      <c r="F432" s="54">
        <f>VLOOKUP(B432,'Household Information'!$B$1:$E$48,2,FALSE)</f>
        <v>3.0151582035627214</v>
      </c>
      <c r="G432" s="54">
        <f t="shared" si="0"/>
        <v>341772.30972495611</v>
      </c>
      <c r="H432" s="55">
        <f>IF(D432&gt;Variables!$C$6,H385,H385*(1+Variables!$C$9))</f>
        <v>116.91803899999999</v>
      </c>
      <c r="I432" s="1"/>
      <c r="J432" s="13">
        <f>H432*Variables!$C$21</f>
        <v>2104.5247019999997</v>
      </c>
      <c r="K432" s="13">
        <f t="shared" si="12"/>
        <v>2104.5247019999997</v>
      </c>
      <c r="L432" s="54">
        <f t="shared" si="1"/>
        <v>0</v>
      </c>
      <c r="M432" s="56"/>
      <c r="N432" s="57"/>
      <c r="O432" s="57"/>
      <c r="P432" s="57"/>
      <c r="Q432" s="57"/>
      <c r="R432" s="57"/>
      <c r="S432" s="58">
        <v>0</v>
      </c>
      <c r="T432" s="59">
        <f>$L432*Variables!$C$22/100</f>
        <v>0</v>
      </c>
      <c r="U432" s="59">
        <f>$L432*Variables!$C$23/100</f>
        <v>0</v>
      </c>
      <c r="V432" s="59">
        <f>$L432*Variables!$C$24/100</f>
        <v>0</v>
      </c>
      <c r="W432" s="59">
        <f>$L432*Variables!$C$25/100</f>
        <v>0</v>
      </c>
      <c r="X432" s="62">
        <f>T432*Variables!$E$26*Variables!$C$18+'Cost Calculations'!U432*Variables!$E$27*Variables!$C$18+'Cost Calculations'!V432*Variables!$E$28*Variables!$C$18+W432*Variables!$E$29*Variables!$C$18</f>
        <v>0</v>
      </c>
      <c r="Y432" s="58">
        <f>J432*Variables!$E$30</f>
        <v>1378463.6798099999</v>
      </c>
      <c r="Z432" s="1"/>
      <c r="AA432" s="245">
        <f>D432*(IF(D432&lt;Variables!$C$7,Variables!$C$38,IF(D432&gt;Variables!$C$6,Variables!$C$36,Variables!$C$37)))</f>
        <v>1236.5971001013365</v>
      </c>
      <c r="AB432" s="64">
        <f t="shared" si="13"/>
        <v>1218</v>
      </c>
      <c r="AC432" s="66">
        <f t="shared" si="2"/>
        <v>19</v>
      </c>
      <c r="AD432" s="62">
        <f>AC432*Variables!$E$41</f>
        <v>10214400</v>
      </c>
      <c r="AE432" s="71">
        <f>ROUND((H432/(3.14*Variables!$C$35^2)),0)</f>
        <v>149</v>
      </c>
      <c r="AF432" s="57">
        <f t="shared" si="14"/>
        <v>149</v>
      </c>
      <c r="AG432" s="57">
        <f t="shared" si="3"/>
        <v>0</v>
      </c>
      <c r="AH432" s="58">
        <f>AG432*Variables!$E$42*Variables!$C$18</f>
        <v>0</v>
      </c>
      <c r="AI432" s="73">
        <f t="shared" si="4"/>
        <v>10</v>
      </c>
      <c r="AJ432" s="66">
        <f t="shared" si="15"/>
        <v>10</v>
      </c>
      <c r="AK432" s="66">
        <f t="shared" si="5"/>
        <v>0</v>
      </c>
      <c r="AL432" s="62">
        <f>IF(AK432*Variables!$E$43*Variables!$C$18&lt;0,0,AK432*Variables!$E$43*Variables!$C$18)</f>
        <v>0</v>
      </c>
      <c r="AM432" s="58">
        <f>AA432*Variables!$E$39*Variables!$C$18</f>
        <v>357441254.0167771</v>
      </c>
      <c r="AN432" s="1"/>
      <c r="AO432" s="76">
        <f t="shared" si="16"/>
        <v>0.68340000000000001</v>
      </c>
      <c r="AP432" s="76">
        <f t="shared" si="6"/>
        <v>123.63354697888582</v>
      </c>
      <c r="AQ432" s="75">
        <f>VLOOKUP(B432,'Household Information'!$B$2:$E$48,4,FALSE)</f>
        <v>55.55</v>
      </c>
      <c r="AR432" s="79">
        <f>IF(12*(AP432-Variables!$C$45*AQ432*F432)*(G432/5)&lt;0,0,12*(AP432-Variables!$C$45*AQ432*F432)*(G432/5))</f>
        <v>80802964.311921656</v>
      </c>
      <c r="AS432" s="1"/>
      <c r="AT432" s="62">
        <v>0</v>
      </c>
      <c r="AU432" s="1"/>
    </row>
    <row r="433" spans="1:47" ht="14.25" customHeight="1">
      <c r="A433" s="1">
        <v>7</v>
      </c>
      <c r="B433" s="3" t="s">
        <v>107</v>
      </c>
      <c r="C433" s="1">
        <v>2028</v>
      </c>
      <c r="D433" s="13">
        <f>VLOOKUP(B433,Population!$B$1:$O$48,12,FALSE)</f>
        <v>730460.64284237882</v>
      </c>
      <c r="E433" s="13" t="str">
        <f t="shared" si="22"/>
        <v>Medium</v>
      </c>
      <c r="F433" s="54">
        <f>VLOOKUP(B433,'Household Information'!$B$1:$E$48,2,FALSE)</f>
        <v>2.7144187891908675</v>
      </c>
      <c r="G433" s="54">
        <f t="shared" si="0"/>
        <v>269103.88542518142</v>
      </c>
      <c r="H433" s="55">
        <f>IF(D433&gt;Variables!$C$6,H386,H386*(1+Variables!$C$9))</f>
        <v>92.766498999999996</v>
      </c>
      <c r="I433" s="1"/>
      <c r="J433" s="13">
        <f>H433*Variables!$C$21</f>
        <v>1669.7969819999998</v>
      </c>
      <c r="K433" s="13">
        <f t="shared" si="12"/>
        <v>1669.7969819999998</v>
      </c>
      <c r="L433" s="54">
        <f t="shared" si="1"/>
        <v>0</v>
      </c>
      <c r="M433" s="56"/>
      <c r="N433" s="57"/>
      <c r="O433" s="57"/>
      <c r="P433" s="57"/>
      <c r="Q433" s="57"/>
      <c r="R433" s="57"/>
      <c r="S433" s="58">
        <v>0</v>
      </c>
      <c r="T433" s="59">
        <f>$L433*Variables!$C$22/100</f>
        <v>0</v>
      </c>
      <c r="U433" s="59">
        <f>$L433*Variables!$C$23/100</f>
        <v>0</v>
      </c>
      <c r="V433" s="59">
        <f>$L433*Variables!$C$24/100</f>
        <v>0</v>
      </c>
      <c r="W433" s="59">
        <f>$L433*Variables!$C$25/100</f>
        <v>0</v>
      </c>
      <c r="X433" s="62">
        <f>T433*Variables!$E$26*Variables!$C$18+'Cost Calculations'!U433*Variables!$E$27*Variables!$C$18+'Cost Calculations'!V433*Variables!$E$28*Variables!$C$18+W433*Variables!$E$29*Variables!$C$18</f>
        <v>0</v>
      </c>
      <c r="Y433" s="58">
        <f>J433*Variables!$E$30</f>
        <v>1093717.0232099998</v>
      </c>
      <c r="Z433" s="1"/>
      <c r="AA433" s="245">
        <f>D433*(IF(D433&lt;Variables!$C$7,Variables!$C$38,IF(D433&gt;Variables!$C$6,Variables!$C$36,Variables!$C$37)))</f>
        <v>876.55277141085446</v>
      </c>
      <c r="AB433" s="64">
        <f t="shared" si="13"/>
        <v>864</v>
      </c>
      <c r="AC433" s="66">
        <f t="shared" si="2"/>
        <v>13</v>
      </c>
      <c r="AD433" s="62">
        <f>AC433*Variables!$E$41</f>
        <v>6988800</v>
      </c>
      <c r="AE433" s="71">
        <f>ROUND((H433/(3.14*Variables!$C$35^2)),0)</f>
        <v>118</v>
      </c>
      <c r="AF433" s="57">
        <f t="shared" si="14"/>
        <v>118</v>
      </c>
      <c r="AG433" s="57">
        <f t="shared" si="3"/>
        <v>0</v>
      </c>
      <c r="AH433" s="58">
        <f>AG433*Variables!$E$42*Variables!$C$18</f>
        <v>0</v>
      </c>
      <c r="AI433" s="73">
        <f t="shared" si="4"/>
        <v>7</v>
      </c>
      <c r="AJ433" s="66">
        <f t="shared" si="15"/>
        <v>7</v>
      </c>
      <c r="AK433" s="66">
        <f t="shared" si="5"/>
        <v>0</v>
      </c>
      <c r="AL433" s="62">
        <f>IF(AK433*Variables!$E$43*Variables!$C$18&lt;0,0,AK433*Variables!$E$43*Variables!$C$18)</f>
        <v>0</v>
      </c>
      <c r="AM433" s="58">
        <f>AA433*Variables!$E$39*Variables!$C$18</f>
        <v>253369607.44878149</v>
      </c>
      <c r="AN433" s="1"/>
      <c r="AO433" s="76">
        <f t="shared" si="16"/>
        <v>0.67714285714285716</v>
      </c>
      <c r="AP433" s="76">
        <f t="shared" si="6"/>
        <v>110.28295766369753</v>
      </c>
      <c r="AQ433" s="75">
        <f>VLOOKUP(B433,'Household Information'!$B$2:$E$48,4,FALSE)</f>
        <v>59.47</v>
      </c>
      <c r="AR433" s="79">
        <f>IF(12*(AP433-Variables!$C$45*AQ433*F433)*(G433/5)&lt;0,0,12*(AP433-Variables!$C$45*AQ433*F433)*(G433/5))</f>
        <v>55587595.773615256</v>
      </c>
      <c r="AS433" s="1"/>
      <c r="AT433" s="62">
        <v>0</v>
      </c>
      <c r="AU433" s="1"/>
    </row>
    <row r="434" spans="1:47" ht="14.25" customHeight="1">
      <c r="A434" s="1">
        <v>8</v>
      </c>
      <c r="B434" s="3" t="s">
        <v>108</v>
      </c>
      <c r="C434" s="1">
        <v>2028</v>
      </c>
      <c r="D434" s="13">
        <f>VLOOKUP(B434,Population!$B$1:$O$48,12,FALSE)</f>
        <v>475438.75978805259</v>
      </c>
      <c r="E434" s="13" t="str">
        <f t="shared" si="22"/>
        <v>Medium</v>
      </c>
      <c r="F434" s="54">
        <f>VLOOKUP(B434,'Household Information'!$B$1:$E$48,2,FALSE)</f>
        <v>2.3617684870776379</v>
      </c>
      <c r="G434" s="54">
        <f t="shared" si="0"/>
        <v>201306.25096803723</v>
      </c>
      <c r="H434" s="55">
        <f>IF(D434&gt;Variables!$C$6,H387,H387*(1+Variables!$C$9))</f>
        <v>39.199250999999997</v>
      </c>
      <c r="I434" s="1"/>
      <c r="J434" s="13">
        <f>H434*Variables!$C$21</f>
        <v>705.58651799999996</v>
      </c>
      <c r="K434" s="13">
        <f t="shared" si="12"/>
        <v>705.58651799999996</v>
      </c>
      <c r="L434" s="54">
        <f t="shared" si="1"/>
        <v>0</v>
      </c>
      <c r="M434" s="56"/>
      <c r="N434" s="57"/>
      <c r="O434" s="57"/>
      <c r="P434" s="57"/>
      <c r="Q434" s="57"/>
      <c r="R434" s="57"/>
      <c r="S434" s="58">
        <v>0</v>
      </c>
      <c r="T434" s="59">
        <f>$L434*Variables!$C$22/100</f>
        <v>0</v>
      </c>
      <c r="U434" s="59">
        <f>$L434*Variables!$C$23/100</f>
        <v>0</v>
      </c>
      <c r="V434" s="59">
        <f>$L434*Variables!$C$24/100</f>
        <v>0</v>
      </c>
      <c r="W434" s="59">
        <f>$L434*Variables!$C$25/100</f>
        <v>0</v>
      </c>
      <c r="X434" s="62">
        <f>T434*Variables!$E$26*Variables!$C$18+'Cost Calculations'!U434*Variables!$E$27*Variables!$C$18+'Cost Calculations'!V434*Variables!$E$28*Variables!$C$18+W434*Variables!$E$29*Variables!$C$18</f>
        <v>0</v>
      </c>
      <c r="Y434" s="58">
        <f>J434*Variables!$E$30</f>
        <v>462159.16928999999</v>
      </c>
      <c r="Z434" s="1"/>
      <c r="AA434" s="245">
        <f>D434*(IF(D434&lt;Variables!$C$7,Variables!$C$38,IF(D434&gt;Variables!$C$6,Variables!$C$36,Variables!$C$37)))</f>
        <v>570.52651174566302</v>
      </c>
      <c r="AB434" s="64">
        <f t="shared" si="13"/>
        <v>978</v>
      </c>
      <c r="AC434" s="66">
        <f t="shared" si="2"/>
        <v>0</v>
      </c>
      <c r="AD434" s="62">
        <f>AC434*Variables!$E$41</f>
        <v>0</v>
      </c>
      <c r="AE434" s="71">
        <f>ROUND((H434/(3.14*Variables!$C$35^2)),0)</f>
        <v>50</v>
      </c>
      <c r="AF434" s="57">
        <f t="shared" si="14"/>
        <v>50</v>
      </c>
      <c r="AG434" s="57">
        <f t="shared" si="3"/>
        <v>0</v>
      </c>
      <c r="AH434" s="58">
        <f>AG434*Variables!$E$42*Variables!$C$18</f>
        <v>0</v>
      </c>
      <c r="AI434" s="73">
        <f t="shared" si="4"/>
        <v>5</v>
      </c>
      <c r="AJ434" s="66">
        <f t="shared" si="15"/>
        <v>5</v>
      </c>
      <c r="AK434" s="66">
        <f t="shared" si="5"/>
        <v>0</v>
      </c>
      <c r="AL434" s="62">
        <f>IF(AK434*Variables!$E$43*Variables!$C$18&lt;0,0,AK434*Variables!$E$43*Variables!$C$18)</f>
        <v>0</v>
      </c>
      <c r="AM434" s="58">
        <f>AA434*Variables!$E$39*Variables!$C$18</f>
        <v>164912008.76298004</v>
      </c>
      <c r="AN434" s="1"/>
      <c r="AO434" s="76">
        <f t="shared" si="16"/>
        <v>0.61199999999999999</v>
      </c>
      <c r="AP434" s="76">
        <f t="shared" si="6"/>
        <v>86.724138845490856</v>
      </c>
      <c r="AQ434" s="75">
        <f>VLOOKUP(B434,'Household Information'!$B$2:$E$48,4,FALSE)</f>
        <v>75.66</v>
      </c>
      <c r="AR434" s="79">
        <f>IF(12*(AP434-Variables!$C$45*AQ434*F434)*(G434/5)&lt;0,0,12*(AP434-Variables!$C$45*AQ434*F434)*(G434/5))</f>
        <v>28949656.258998435</v>
      </c>
      <c r="AS434" s="1"/>
      <c r="AT434" s="62">
        <v>0</v>
      </c>
      <c r="AU434" s="1"/>
    </row>
    <row r="435" spans="1:47" ht="14.25" customHeight="1">
      <c r="A435" s="1">
        <v>9</v>
      </c>
      <c r="B435" s="3" t="s">
        <v>109</v>
      </c>
      <c r="C435" s="1">
        <v>2028</v>
      </c>
      <c r="D435" s="13">
        <f>VLOOKUP(B435,Population!$B$1:$O$48,12,FALSE)</f>
        <v>556888.99651079264</v>
      </c>
      <c r="E435" s="13" t="str">
        <f t="shared" si="22"/>
        <v>Medium</v>
      </c>
      <c r="F435" s="54">
        <f>VLOOKUP(B435,'Household Information'!$B$1:$E$48,2,FALSE)</f>
        <v>2.7429262269780841</v>
      </c>
      <c r="G435" s="54">
        <f t="shared" si="0"/>
        <v>203027.33301154955</v>
      </c>
      <c r="H435" s="55">
        <f>IF(D435&gt;Variables!$C$6,H388,H388*(1+Variables!$C$9))</f>
        <v>47.234957999999992</v>
      </c>
      <c r="I435" s="1"/>
      <c r="J435" s="13">
        <f>H435*Variables!$C$21</f>
        <v>850.22924399999988</v>
      </c>
      <c r="K435" s="13">
        <f t="shared" si="12"/>
        <v>850.22924399999988</v>
      </c>
      <c r="L435" s="54">
        <f t="shared" si="1"/>
        <v>0</v>
      </c>
      <c r="M435" s="56"/>
      <c r="N435" s="57"/>
      <c r="O435" s="57"/>
      <c r="P435" s="57"/>
      <c r="Q435" s="57"/>
      <c r="R435" s="57"/>
      <c r="S435" s="58">
        <v>0</v>
      </c>
      <c r="T435" s="59">
        <f>$L435*Variables!$C$22/100</f>
        <v>0</v>
      </c>
      <c r="U435" s="59">
        <f>$L435*Variables!$C$23/100</f>
        <v>0</v>
      </c>
      <c r="V435" s="59">
        <f>$L435*Variables!$C$24/100</f>
        <v>0</v>
      </c>
      <c r="W435" s="59">
        <f>$L435*Variables!$C$25/100</f>
        <v>0</v>
      </c>
      <c r="X435" s="62">
        <f>T435*Variables!$E$26*Variables!$C$18+'Cost Calculations'!U435*Variables!$E$27*Variables!$C$18+'Cost Calculations'!V435*Variables!$E$28*Variables!$C$18+W435*Variables!$E$29*Variables!$C$18</f>
        <v>0</v>
      </c>
      <c r="Y435" s="58">
        <f>J435*Variables!$E$30</f>
        <v>556900.15481999994</v>
      </c>
      <c r="Z435" s="1"/>
      <c r="AA435" s="245">
        <f>D435*(IF(D435&lt;Variables!$C$7,Variables!$C$38,IF(D435&gt;Variables!$C$6,Variables!$C$36,Variables!$C$37)))</f>
        <v>668.26679581295116</v>
      </c>
      <c r="AB435" s="64">
        <f t="shared" si="13"/>
        <v>658</v>
      </c>
      <c r="AC435" s="66">
        <f t="shared" si="2"/>
        <v>10</v>
      </c>
      <c r="AD435" s="62">
        <f>AC435*Variables!$E$41</f>
        <v>5376000</v>
      </c>
      <c r="AE435" s="71">
        <f>ROUND((H435/(3.14*Variables!$C$35^2)),0)</f>
        <v>60</v>
      </c>
      <c r="AF435" s="57">
        <f t="shared" si="14"/>
        <v>60</v>
      </c>
      <c r="AG435" s="57">
        <f t="shared" si="3"/>
        <v>0</v>
      </c>
      <c r="AH435" s="58">
        <f>AG435*Variables!$E$42*Variables!$C$18</f>
        <v>0</v>
      </c>
      <c r="AI435" s="73">
        <f t="shared" si="4"/>
        <v>6</v>
      </c>
      <c r="AJ435" s="66">
        <f t="shared" si="15"/>
        <v>5</v>
      </c>
      <c r="AK435" s="66">
        <f t="shared" si="5"/>
        <v>1</v>
      </c>
      <c r="AL435" s="62">
        <f>IF(AK435*Variables!$E$43*Variables!$C$18&lt;0,0,AK435*Variables!$E$43*Variables!$C$18)</f>
        <v>945381.49199999997</v>
      </c>
      <c r="AM435" s="58">
        <f>AA435*Variables!$E$39*Variables!$C$18</f>
        <v>193164064.10267356</v>
      </c>
      <c r="AN435" s="1"/>
      <c r="AO435" s="76">
        <f t="shared" si="16"/>
        <v>0.67714285714285716</v>
      </c>
      <c r="AP435" s="76">
        <f t="shared" si="6"/>
        <v>111.44117413608102</v>
      </c>
      <c r="AQ435" s="75">
        <f>VLOOKUP(B435,'Household Information'!$B$2:$E$48,4,FALSE)</f>
        <v>65.935833333333335</v>
      </c>
      <c r="AR435" s="79">
        <f>IF(12*(AP435-Variables!$C$45*AQ435*F435)*(G435/5)&lt;0,0,12*(AP435-Variables!$C$45*AQ435*F435)*(G435/5))</f>
        <v>41082632.072781056</v>
      </c>
      <c r="AS435" s="1"/>
      <c r="AT435" s="62">
        <v>0</v>
      </c>
      <c r="AU435" s="1"/>
    </row>
    <row r="436" spans="1:47" ht="14.25" customHeight="1">
      <c r="A436" s="1">
        <v>10</v>
      </c>
      <c r="B436" s="3" t="s">
        <v>110</v>
      </c>
      <c r="C436" s="1">
        <v>2028</v>
      </c>
      <c r="D436" s="13">
        <f>VLOOKUP(B436,Population!$B$1:$O$48,12,FALSE)</f>
        <v>581066.5435185415</v>
      </c>
      <c r="E436" s="13" t="str">
        <f t="shared" si="22"/>
        <v>Medium</v>
      </c>
      <c r="F436" s="54">
        <f>VLOOKUP(B436,'Household Information'!$B$1:$E$48,2,FALSE)</f>
        <v>2.5116430728482135</v>
      </c>
      <c r="G436" s="54">
        <f t="shared" si="0"/>
        <v>231349.17130546327</v>
      </c>
      <c r="H436" s="55">
        <f>IF(D436&gt;Variables!$C$6,H389,H389*(1+Variables!$C$9))</f>
        <v>27.319750999999997</v>
      </c>
      <c r="I436" s="1"/>
      <c r="J436" s="13">
        <f>H436*Variables!$C$21</f>
        <v>491.75551799999994</v>
      </c>
      <c r="K436" s="13">
        <f t="shared" si="12"/>
        <v>491.75551799999994</v>
      </c>
      <c r="L436" s="54">
        <f t="shared" si="1"/>
        <v>0</v>
      </c>
      <c r="M436" s="56"/>
      <c r="N436" s="57"/>
      <c r="O436" s="57"/>
      <c r="P436" s="57"/>
      <c r="Q436" s="57"/>
      <c r="R436" s="57"/>
      <c r="S436" s="58">
        <v>0</v>
      </c>
      <c r="T436" s="59">
        <f>$L436*Variables!$C$22/100</f>
        <v>0</v>
      </c>
      <c r="U436" s="59">
        <f>$L436*Variables!$C$23/100</f>
        <v>0</v>
      </c>
      <c r="V436" s="59">
        <f>$L436*Variables!$C$24/100</f>
        <v>0</v>
      </c>
      <c r="W436" s="59">
        <f>$L436*Variables!$C$25/100</f>
        <v>0</v>
      </c>
      <c r="X436" s="62">
        <f>T436*Variables!$E$26*Variables!$C$18+'Cost Calculations'!U436*Variables!$E$27*Variables!$C$18+'Cost Calculations'!V436*Variables!$E$28*Variables!$C$18+W436*Variables!$E$29*Variables!$C$18</f>
        <v>0</v>
      </c>
      <c r="Y436" s="58">
        <f>J436*Variables!$E$30</f>
        <v>322099.86428999994</v>
      </c>
      <c r="Z436" s="1"/>
      <c r="AA436" s="245">
        <f>D436*(IF(D436&lt;Variables!$C$7,Variables!$C$38,IF(D436&gt;Variables!$C$6,Variables!$C$36,Variables!$C$37)))</f>
        <v>697.2798522222497</v>
      </c>
      <c r="AB436" s="64">
        <f t="shared" si="13"/>
        <v>687</v>
      </c>
      <c r="AC436" s="66">
        <f t="shared" si="2"/>
        <v>10</v>
      </c>
      <c r="AD436" s="62">
        <f>AC436*Variables!$E$41</f>
        <v>5376000</v>
      </c>
      <c r="AE436" s="71">
        <f>ROUND((H436/(3.14*Variables!$C$35^2)),0)</f>
        <v>35</v>
      </c>
      <c r="AF436" s="57">
        <f t="shared" si="14"/>
        <v>35</v>
      </c>
      <c r="AG436" s="57">
        <f t="shared" si="3"/>
        <v>0</v>
      </c>
      <c r="AH436" s="58">
        <f>AG436*Variables!$E$42*Variables!$C$18</f>
        <v>0</v>
      </c>
      <c r="AI436" s="73">
        <f t="shared" si="4"/>
        <v>6</v>
      </c>
      <c r="AJ436" s="66">
        <f t="shared" si="15"/>
        <v>6</v>
      </c>
      <c r="AK436" s="66">
        <f t="shared" si="5"/>
        <v>0</v>
      </c>
      <c r="AL436" s="62">
        <f>IF(AK436*Variables!$E$43*Variables!$C$18&lt;0,0,AK436*Variables!$E$43*Variables!$C$18)</f>
        <v>0</v>
      </c>
      <c r="AM436" s="58">
        <f>AA436*Variables!$E$39*Variables!$C$18</f>
        <v>201550355.21151516</v>
      </c>
      <c r="AN436" s="1"/>
      <c r="AO436" s="76">
        <f t="shared" si="16"/>
        <v>0.67714285714285716</v>
      </c>
      <c r="AP436" s="76">
        <f t="shared" si="6"/>
        <v>102.04446998829027</v>
      </c>
      <c r="AQ436" s="75">
        <f>VLOOKUP(B436,'Household Information'!$B$2:$E$48,4,FALSE)</f>
        <v>62.81</v>
      </c>
      <c r="AR436" s="79">
        <f>IF(12*(AP436-Variables!$C$45*AQ436*F436)*(G436/5)&lt;0,0,12*(AP436-Variables!$C$45*AQ436*F436)*(G436/5))</f>
        <v>43520124.308006965</v>
      </c>
      <c r="AS436" s="1"/>
      <c r="AT436" s="62">
        <v>0</v>
      </c>
      <c r="AU436" s="1"/>
    </row>
    <row r="437" spans="1:47" ht="14.25" customHeight="1">
      <c r="A437" s="1">
        <v>11</v>
      </c>
      <c r="B437" s="3" t="s">
        <v>125</v>
      </c>
      <c r="C437" s="1">
        <v>2028</v>
      </c>
      <c r="D437" s="13">
        <f>VLOOKUP(B437,Population!$B$1:$O$48,12,FALSE)</f>
        <v>408888.70671781048</v>
      </c>
      <c r="E437" s="13" t="str">
        <f t="shared" si="22"/>
        <v>Medium</v>
      </c>
      <c r="F437" s="54">
        <f>VLOOKUP(B437,'Household Information'!$B$1:$E$48,2,FALSE)</f>
        <v>2.693850400263019</v>
      </c>
      <c r="G437" s="54">
        <f t="shared" si="0"/>
        <v>151785.97396421415</v>
      </c>
      <c r="H437" s="55">
        <f>IF(D437&gt;Variables!$C$6,H390,H390*(1+Variables!$C$9))</f>
        <v>28.674206300180991</v>
      </c>
      <c r="I437" s="1"/>
      <c r="J437" s="13">
        <f>H437*Variables!$C$21</f>
        <v>516.1357134032578</v>
      </c>
      <c r="K437" s="13">
        <f t="shared" si="12"/>
        <v>516.1357134032578</v>
      </c>
      <c r="L437" s="54">
        <f t="shared" si="1"/>
        <v>0</v>
      </c>
      <c r="M437" s="56"/>
      <c r="N437" s="57"/>
      <c r="O437" s="57"/>
      <c r="P437" s="57"/>
      <c r="Q437" s="57"/>
      <c r="R437" s="57"/>
      <c r="S437" s="58">
        <v>0</v>
      </c>
      <c r="T437" s="59">
        <f>$L437*Variables!$C$22/100</f>
        <v>0</v>
      </c>
      <c r="U437" s="59">
        <f>$L437*Variables!$C$23/100</f>
        <v>0</v>
      </c>
      <c r="V437" s="59">
        <f>$L437*Variables!$C$24/100</f>
        <v>0</v>
      </c>
      <c r="W437" s="59">
        <f>$L437*Variables!$C$25/100</f>
        <v>0</v>
      </c>
      <c r="X437" s="62">
        <f>T437*Variables!$E$26*Variables!$C$18+'Cost Calculations'!U437*Variables!$E$27*Variables!$C$18+'Cost Calculations'!V437*Variables!$E$28*Variables!$C$18+W437*Variables!$E$29*Variables!$C$18</f>
        <v>0</v>
      </c>
      <c r="Y437" s="58">
        <f>J437*Variables!$E$30</f>
        <v>338068.89227913384</v>
      </c>
      <c r="Z437" s="1"/>
      <c r="AA437" s="245">
        <f>D437*(IF(D437&lt;Variables!$C$7,Variables!$C$38,IF(D437&gt;Variables!$C$6,Variables!$C$36,Variables!$C$37)))</f>
        <v>490.66644806137253</v>
      </c>
      <c r="AB437" s="64">
        <f t="shared" si="13"/>
        <v>483</v>
      </c>
      <c r="AC437" s="66">
        <f t="shared" si="2"/>
        <v>8</v>
      </c>
      <c r="AD437" s="62">
        <f>AC437*Variables!$E$41</f>
        <v>4300800</v>
      </c>
      <c r="AE437" s="71">
        <f>ROUND((H437/(3.14*Variables!$C$35^2)),0)</f>
        <v>37</v>
      </c>
      <c r="AF437" s="57">
        <f t="shared" si="14"/>
        <v>37</v>
      </c>
      <c r="AG437" s="57">
        <f t="shared" si="3"/>
        <v>0</v>
      </c>
      <c r="AH437" s="58">
        <f>AG437*Variables!$E$42*Variables!$C$18</f>
        <v>0</v>
      </c>
      <c r="AI437" s="73">
        <f t="shared" si="4"/>
        <v>4</v>
      </c>
      <c r="AJ437" s="66">
        <f t="shared" si="15"/>
        <v>4</v>
      </c>
      <c r="AK437" s="66">
        <f t="shared" si="5"/>
        <v>0</v>
      </c>
      <c r="AL437" s="62">
        <f>IF(AK437*Variables!$E$43*Variables!$C$18&lt;0,0,AK437*Variables!$E$43*Variables!$C$18)</f>
        <v>0</v>
      </c>
      <c r="AM437" s="58">
        <f>AA437*Variables!$E$39*Variables!$C$18</f>
        <v>141828272.51062003</v>
      </c>
      <c r="AN437" s="1"/>
      <c r="AO437" s="76">
        <f t="shared" si="16"/>
        <v>0.67714285714285716</v>
      </c>
      <c r="AP437" s="76">
        <f t="shared" si="6"/>
        <v>109.4472934049718</v>
      </c>
      <c r="AQ437" s="75">
        <f>VLOOKUP(B437,'Household Information'!$B$2:$E$48,4,FALSE)</f>
        <v>65.935833333333335</v>
      </c>
      <c r="AR437" s="79">
        <f>IF(12*(AP437-Variables!$C$45*AQ437*F437)*(G437/5)&lt;0,0,12*(AP437-Variables!$C$45*AQ437*F437)*(G437/5))</f>
        <v>30164403.322839823</v>
      </c>
      <c r="AS437" s="1"/>
      <c r="AT437" s="62">
        <v>0</v>
      </c>
      <c r="AU437" s="1"/>
    </row>
    <row r="438" spans="1:47" ht="14.25" customHeight="1">
      <c r="A438" s="1">
        <v>12</v>
      </c>
      <c r="B438" s="3" t="s">
        <v>152</v>
      </c>
      <c r="C438" s="1">
        <v>2028</v>
      </c>
      <c r="D438" s="13">
        <f>VLOOKUP(B438,Population!$B$1:$O$48,12,FALSE)</f>
        <v>464722.32580977038</v>
      </c>
      <c r="E438" s="13" t="str">
        <f t="shared" si="22"/>
        <v>Medium</v>
      </c>
      <c r="F438" s="54">
        <f>VLOOKUP(B438,'Household Information'!$B$1:$E$48,2,FALSE)</f>
        <v>2.5280688906285511</v>
      </c>
      <c r="G438" s="54">
        <f t="shared" si="0"/>
        <v>183825.02452068342</v>
      </c>
      <c r="H438" s="55">
        <f>IF(D438&gt;Variables!$C$6,H391,H391*(1+Variables!$C$9))</f>
        <v>17.374026999999998</v>
      </c>
      <c r="I438" s="1"/>
      <c r="J438" s="13">
        <f>H438*Variables!$C$21</f>
        <v>312.73248599999999</v>
      </c>
      <c r="K438" s="13">
        <f t="shared" si="12"/>
        <v>639</v>
      </c>
      <c r="L438" s="54">
        <f t="shared" si="1"/>
        <v>0</v>
      </c>
      <c r="M438" s="56"/>
      <c r="N438" s="57"/>
      <c r="O438" s="57"/>
      <c r="P438" s="57"/>
      <c r="Q438" s="57"/>
      <c r="R438" s="57"/>
      <c r="S438" s="58">
        <v>0</v>
      </c>
      <c r="T438" s="59">
        <f>$L438*Variables!$C$22/100</f>
        <v>0</v>
      </c>
      <c r="U438" s="59">
        <f>$L438*Variables!$C$23/100</f>
        <v>0</v>
      </c>
      <c r="V438" s="59">
        <f>$L438*Variables!$C$24/100</f>
        <v>0</v>
      </c>
      <c r="W438" s="59">
        <f>$L438*Variables!$C$25/100</f>
        <v>0</v>
      </c>
      <c r="X438" s="62">
        <f>T438*Variables!$E$26*Variables!$C$18+'Cost Calculations'!U438*Variables!$E$27*Variables!$C$18+'Cost Calculations'!V438*Variables!$E$28*Variables!$C$18+W438*Variables!$E$29*Variables!$C$18</f>
        <v>0</v>
      </c>
      <c r="Y438" s="58">
        <f>J438*Variables!$E$30</f>
        <v>204839.77833</v>
      </c>
      <c r="Z438" s="1"/>
      <c r="AA438" s="245">
        <f>D438*(IF(D438&lt;Variables!$C$7,Variables!$C$38,IF(D438&gt;Variables!$C$6,Variables!$C$36,Variables!$C$37)))</f>
        <v>557.66679097172437</v>
      </c>
      <c r="AB438" s="64">
        <f t="shared" si="13"/>
        <v>549</v>
      </c>
      <c r="AC438" s="66">
        <f t="shared" si="2"/>
        <v>9</v>
      </c>
      <c r="AD438" s="62">
        <f>AC438*Variables!$E$41</f>
        <v>4838400</v>
      </c>
      <c r="AE438" s="71">
        <f>ROUND((H438/(3.14*Variables!$C$35^2)),0)</f>
        <v>22</v>
      </c>
      <c r="AF438" s="57">
        <f t="shared" si="14"/>
        <v>22</v>
      </c>
      <c r="AG438" s="57">
        <f t="shared" si="3"/>
        <v>0</v>
      </c>
      <c r="AH438" s="58">
        <f>AG438*Variables!$E$42*Variables!$C$18</f>
        <v>0</v>
      </c>
      <c r="AI438" s="73">
        <f t="shared" si="4"/>
        <v>5</v>
      </c>
      <c r="AJ438" s="66">
        <f t="shared" si="15"/>
        <v>5</v>
      </c>
      <c r="AK438" s="66">
        <f t="shared" si="5"/>
        <v>0</v>
      </c>
      <c r="AL438" s="62">
        <f>IF(AK438*Variables!$E$43*Variables!$C$18&lt;0,0,AK438*Variables!$E$43*Variables!$C$18)</f>
        <v>0</v>
      </c>
      <c r="AM438" s="58">
        <f>AA438*Variables!$E$39*Variables!$C$18</f>
        <v>161194876.70811304</v>
      </c>
      <c r="AN438" s="1"/>
      <c r="AO438" s="76">
        <f t="shared" si="16"/>
        <v>0.67714285714285716</v>
      </c>
      <c r="AP438" s="76">
        <f t="shared" si="6"/>
        <v>102.71182749925141</v>
      </c>
      <c r="AQ438" s="75">
        <f>VLOOKUP(B438,'Household Information'!$B$2:$E$48,4,FALSE)</f>
        <v>89.08</v>
      </c>
      <c r="AR438" s="79">
        <f>IF(12*(AP438-Variables!$C$45*AQ438*F438)*(G438/5)&lt;0,0,12*(AP438-Variables!$C$45*AQ438*F438)*(G438/5))</f>
        <v>30411322.778745469</v>
      </c>
      <c r="AS438" s="1"/>
      <c r="AT438" s="62">
        <v>0</v>
      </c>
      <c r="AU438" s="1"/>
    </row>
    <row r="439" spans="1:47" ht="14.25" customHeight="1">
      <c r="A439" s="1">
        <v>13</v>
      </c>
      <c r="B439" s="3" t="s">
        <v>181</v>
      </c>
      <c r="C439" s="1">
        <v>2028</v>
      </c>
      <c r="D439" s="13">
        <f>VLOOKUP(B439,Population!$B$1:$O$48,12,FALSE)</f>
        <v>523649.94674124732</v>
      </c>
      <c r="E439" s="13" t="str">
        <f t="shared" si="22"/>
        <v>Medium</v>
      </c>
      <c r="F439" s="54">
        <f>VLOOKUP(B439,'Household Information'!$B$1:$E$48,2,FALSE)</f>
        <v>2.4075040417460345</v>
      </c>
      <c r="G439" s="54">
        <f t="shared" si="0"/>
        <v>217507.40088538828</v>
      </c>
      <c r="H439" s="55">
        <f>IF(D439&gt;Variables!$C$6,H392,H392*(1+Variables!$C$9))</f>
        <v>82.9</v>
      </c>
      <c r="I439" s="1"/>
      <c r="J439" s="13">
        <f>H439*Variables!$C$21</f>
        <v>1492.2</v>
      </c>
      <c r="K439" s="13">
        <f t="shared" si="12"/>
        <v>1492.2</v>
      </c>
      <c r="L439" s="54">
        <f t="shared" si="1"/>
        <v>0</v>
      </c>
      <c r="M439" s="56"/>
      <c r="N439" s="57"/>
      <c r="O439" s="57"/>
      <c r="P439" s="57"/>
      <c r="Q439" s="57"/>
      <c r="R439" s="57"/>
      <c r="S439" s="58">
        <v>0</v>
      </c>
      <c r="T439" s="59">
        <f>$L439*Variables!$C$22/100</f>
        <v>0</v>
      </c>
      <c r="U439" s="59">
        <f>$L439*Variables!$C$23/100</f>
        <v>0</v>
      </c>
      <c r="V439" s="59">
        <f>$L439*Variables!$C$24/100</f>
        <v>0</v>
      </c>
      <c r="W439" s="59">
        <f>$L439*Variables!$C$25/100</f>
        <v>0</v>
      </c>
      <c r="X439" s="62">
        <f>T439*Variables!$E$26*Variables!$C$18+'Cost Calculations'!U439*Variables!$E$27*Variables!$C$18+'Cost Calculations'!V439*Variables!$E$28*Variables!$C$18+W439*Variables!$E$29*Variables!$C$18</f>
        <v>0</v>
      </c>
      <c r="Y439" s="58">
        <f>J439*Variables!$E$30</f>
        <v>977391</v>
      </c>
      <c r="Z439" s="1"/>
      <c r="AA439" s="245">
        <f>D439*(IF(D439&lt;Variables!$C$7,Variables!$C$38,IF(D439&gt;Variables!$C$6,Variables!$C$36,Variables!$C$37)))</f>
        <v>628.37993608949671</v>
      </c>
      <c r="AB439" s="64">
        <f t="shared" si="13"/>
        <v>619</v>
      </c>
      <c r="AC439" s="66">
        <f t="shared" si="2"/>
        <v>9</v>
      </c>
      <c r="AD439" s="62">
        <f>AC439*Variables!$E$41</f>
        <v>4838400</v>
      </c>
      <c r="AE439" s="71">
        <f>ROUND((H439/(3.14*Variables!$C$35^2)),0)</f>
        <v>106</v>
      </c>
      <c r="AF439" s="57">
        <f t="shared" si="14"/>
        <v>106</v>
      </c>
      <c r="AG439" s="57">
        <f t="shared" si="3"/>
        <v>0</v>
      </c>
      <c r="AH439" s="58">
        <f>AG439*Variables!$E$42*Variables!$C$18</f>
        <v>0</v>
      </c>
      <c r="AI439" s="73">
        <f t="shared" si="4"/>
        <v>5</v>
      </c>
      <c r="AJ439" s="66">
        <f t="shared" si="15"/>
        <v>5</v>
      </c>
      <c r="AK439" s="66">
        <f t="shared" si="5"/>
        <v>0</v>
      </c>
      <c r="AL439" s="62">
        <f>IF(AK439*Variables!$E$43*Variables!$C$18&lt;0,0,AK439*Variables!$E$43*Variables!$C$18)</f>
        <v>0</v>
      </c>
      <c r="AM439" s="58">
        <f>AA439*Variables!$E$39*Variables!$C$18</f>
        <v>181634674.97732747</v>
      </c>
      <c r="AN439" s="1"/>
      <c r="AO439" s="76">
        <f t="shared" si="16"/>
        <v>0.67714285714285716</v>
      </c>
      <c r="AP439" s="76">
        <f t="shared" si="6"/>
        <v>97.81344992465317</v>
      </c>
      <c r="AQ439" s="75">
        <f>VLOOKUP(B439,'Household Information'!$B$2:$E$48,4,FALSE)</f>
        <v>71.48</v>
      </c>
      <c r="AR439" s="79">
        <f>IF(12*(AP439-Variables!$C$45*AQ439*F439)*(G439/5)&lt;0,0,12*(AP439-Variables!$C$45*AQ439*F439)*(G439/5))</f>
        <v>37585378.885883369</v>
      </c>
      <c r="AS439" s="1"/>
      <c r="AT439" s="62">
        <v>0</v>
      </c>
      <c r="AU439" s="1"/>
    </row>
    <row r="440" spans="1:47" ht="14.25" customHeight="1">
      <c r="A440" s="1">
        <v>14</v>
      </c>
      <c r="B440" s="3" t="s">
        <v>206</v>
      </c>
      <c r="C440" s="1">
        <v>2028</v>
      </c>
      <c r="D440" s="13">
        <f>VLOOKUP(B440,Population!$B$1:$O$48,12,FALSE)</f>
        <v>365020.26353185985</v>
      </c>
      <c r="E440" s="13" t="str">
        <f t="shared" si="22"/>
        <v>Medium</v>
      </c>
      <c r="F440" s="54">
        <f>VLOOKUP(B440,'Household Information'!$B$1:$E$48,2,FALSE)</f>
        <v>2.4590017825311943</v>
      </c>
      <c r="G440" s="54">
        <f t="shared" si="0"/>
        <v>148442.45584731668</v>
      </c>
      <c r="H440" s="55">
        <f>IF(D440&gt;Variables!$C$6,H393,H393*(1+Variables!$C$9))</f>
        <v>25.496505999999997</v>
      </c>
      <c r="I440" s="1"/>
      <c r="J440" s="13">
        <f>H440*Variables!$C$21</f>
        <v>458.93710799999997</v>
      </c>
      <c r="K440" s="13">
        <f t="shared" si="12"/>
        <v>458.93710799999997</v>
      </c>
      <c r="L440" s="54">
        <f t="shared" si="1"/>
        <v>0</v>
      </c>
      <c r="M440" s="56"/>
      <c r="N440" s="57"/>
      <c r="O440" s="57"/>
      <c r="P440" s="57"/>
      <c r="Q440" s="57"/>
      <c r="R440" s="57"/>
      <c r="S440" s="58">
        <v>0</v>
      </c>
      <c r="T440" s="59">
        <f>$L440*Variables!$C$22/100</f>
        <v>0</v>
      </c>
      <c r="U440" s="59">
        <f>$L440*Variables!$C$23/100</f>
        <v>0</v>
      </c>
      <c r="V440" s="59">
        <f>$L440*Variables!$C$24/100</f>
        <v>0</v>
      </c>
      <c r="W440" s="59">
        <f>$L440*Variables!$C$25/100</f>
        <v>0</v>
      </c>
      <c r="X440" s="62">
        <f>T440*Variables!$E$26*Variables!$C$18+'Cost Calculations'!U440*Variables!$E$27*Variables!$C$18+'Cost Calculations'!V440*Variables!$E$28*Variables!$C$18+W440*Variables!$E$29*Variables!$C$18</f>
        <v>0</v>
      </c>
      <c r="Y440" s="58">
        <f>J440*Variables!$E$30</f>
        <v>300603.80573999998</v>
      </c>
      <c r="Z440" s="1"/>
      <c r="AA440" s="245">
        <f>D440*(IF(D440&lt;Variables!$C$7,Variables!$C$38,IF(D440&gt;Variables!$C$6,Variables!$C$36,Variables!$C$37)))</f>
        <v>438.02431623823179</v>
      </c>
      <c r="AB440" s="64">
        <f t="shared" si="13"/>
        <v>432</v>
      </c>
      <c r="AC440" s="66">
        <f t="shared" si="2"/>
        <v>6</v>
      </c>
      <c r="AD440" s="62">
        <f>AC440*Variables!$E$41</f>
        <v>3225600</v>
      </c>
      <c r="AE440" s="71">
        <f>ROUND((H440/(3.14*Variables!$C$35^2)),0)</f>
        <v>32</v>
      </c>
      <c r="AF440" s="57">
        <f t="shared" si="14"/>
        <v>32</v>
      </c>
      <c r="AG440" s="57">
        <f t="shared" si="3"/>
        <v>0</v>
      </c>
      <c r="AH440" s="58">
        <f>AG440*Variables!$E$42*Variables!$C$18</f>
        <v>0</v>
      </c>
      <c r="AI440" s="73">
        <f t="shared" si="4"/>
        <v>4</v>
      </c>
      <c r="AJ440" s="66">
        <f t="shared" si="15"/>
        <v>4</v>
      </c>
      <c r="AK440" s="66">
        <f t="shared" si="5"/>
        <v>0</v>
      </c>
      <c r="AL440" s="62">
        <f>IF(AK440*Variables!$E$43*Variables!$C$18&lt;0,0,AK440*Variables!$E$43*Variables!$C$18)</f>
        <v>0</v>
      </c>
      <c r="AM440" s="58">
        <f>AA440*Variables!$E$39*Variables!$C$18</f>
        <v>126611942.46145691</v>
      </c>
      <c r="AN440" s="1"/>
      <c r="AO440" s="76">
        <f t="shared" si="16"/>
        <v>0.67714285714285716</v>
      </c>
      <c r="AP440" s="76">
        <f t="shared" si="6"/>
        <v>99.905729564553084</v>
      </c>
      <c r="AQ440" s="75">
        <f>VLOOKUP(B440,'Household Information'!$B$2:$E$48,4,FALSE)</f>
        <v>65.935833333333335</v>
      </c>
      <c r="AR440" s="79">
        <f>IF(12*(AP440-Variables!$C$45*AQ440*F440)*(G440/5)&lt;0,0,12*(AP440-Variables!$C$45*AQ440*F440)*(G440/5))</f>
        <v>26928154.946042914</v>
      </c>
      <c r="AS440" s="1"/>
      <c r="AT440" s="62">
        <v>0</v>
      </c>
      <c r="AU440" s="1"/>
    </row>
    <row r="441" spans="1:47" ht="14.25" customHeight="1">
      <c r="A441" s="1">
        <v>15</v>
      </c>
      <c r="B441" s="3" t="s">
        <v>207</v>
      </c>
      <c r="C441" s="1">
        <v>2028</v>
      </c>
      <c r="D441" s="13">
        <f>VLOOKUP(B441,Population!$B$1:$O$48,12,FALSE)</f>
        <v>319892.63355075696</v>
      </c>
      <c r="E441" s="13" t="str">
        <f t="shared" si="22"/>
        <v>Medium</v>
      </c>
      <c r="F441" s="54">
        <f>VLOOKUP(B441,'Household Information'!$B$1:$E$48,2,FALSE)</f>
        <v>2.4536973570595619</v>
      </c>
      <c r="G441" s="54">
        <f t="shared" si="0"/>
        <v>130371.6746608501</v>
      </c>
      <c r="H441" s="55">
        <f>IF(D441&gt;Variables!$C$6,H394,H394*(1+Variables!$C$9))</f>
        <v>19.38</v>
      </c>
      <c r="I441" s="1"/>
      <c r="J441" s="13">
        <f>H441*Variables!$C$21</f>
        <v>348.84</v>
      </c>
      <c r="K441" s="13">
        <f t="shared" si="12"/>
        <v>348.84</v>
      </c>
      <c r="L441" s="54">
        <f t="shared" si="1"/>
        <v>0</v>
      </c>
      <c r="M441" s="56"/>
      <c r="N441" s="57"/>
      <c r="O441" s="57"/>
      <c r="P441" s="57"/>
      <c r="Q441" s="57"/>
      <c r="R441" s="57"/>
      <c r="S441" s="58">
        <v>0</v>
      </c>
      <c r="T441" s="59">
        <f>$L441*Variables!$C$22/100</f>
        <v>0</v>
      </c>
      <c r="U441" s="59">
        <f>$L441*Variables!$C$23/100</f>
        <v>0</v>
      </c>
      <c r="V441" s="59">
        <f>$L441*Variables!$C$24/100</f>
        <v>0</v>
      </c>
      <c r="W441" s="59">
        <f>$L441*Variables!$C$25/100</f>
        <v>0</v>
      </c>
      <c r="X441" s="62">
        <f>T441*Variables!$E$26*Variables!$C$18+'Cost Calculations'!U441*Variables!$E$27*Variables!$C$18+'Cost Calculations'!V441*Variables!$E$28*Variables!$C$18+W441*Variables!$E$29*Variables!$C$18</f>
        <v>0</v>
      </c>
      <c r="Y441" s="58">
        <f>J441*Variables!$E$30</f>
        <v>228490.19999999998</v>
      </c>
      <c r="Z441" s="1"/>
      <c r="AA441" s="245">
        <f>D441*(IF(D441&lt;Variables!$C$7,Variables!$C$38,IF(D441&gt;Variables!$C$6,Variables!$C$36,Variables!$C$37)))</f>
        <v>383.87116026090831</v>
      </c>
      <c r="AB441" s="64">
        <f t="shared" si="13"/>
        <v>378</v>
      </c>
      <c r="AC441" s="66">
        <f t="shared" si="2"/>
        <v>6</v>
      </c>
      <c r="AD441" s="62">
        <f>AC441*Variables!$E$41</f>
        <v>3225600</v>
      </c>
      <c r="AE441" s="71">
        <f>ROUND((H441/(3.14*Variables!$C$35^2)),0)</f>
        <v>25</v>
      </c>
      <c r="AF441" s="57">
        <f t="shared" si="14"/>
        <v>25</v>
      </c>
      <c r="AG441" s="57">
        <f t="shared" si="3"/>
        <v>0</v>
      </c>
      <c r="AH441" s="58">
        <f>AG441*Variables!$E$42*Variables!$C$18</f>
        <v>0</v>
      </c>
      <c r="AI441" s="73">
        <f t="shared" si="4"/>
        <v>3</v>
      </c>
      <c r="AJ441" s="66">
        <f t="shared" si="15"/>
        <v>3</v>
      </c>
      <c r="AK441" s="66">
        <f t="shared" si="5"/>
        <v>0</v>
      </c>
      <c r="AL441" s="62">
        <f>IF(AK441*Variables!$E$43*Variables!$C$18&lt;0,0,AK441*Variables!$E$43*Variables!$C$18)</f>
        <v>0</v>
      </c>
      <c r="AM441" s="58">
        <f>AA441*Variables!$E$39*Variables!$C$18</f>
        <v>110958847.38310488</v>
      </c>
      <c r="AN441" s="1"/>
      <c r="AO441" s="76">
        <f t="shared" si="16"/>
        <v>0.67714285714285716</v>
      </c>
      <c r="AP441" s="76">
        <f t="shared" si="6"/>
        <v>99.690218335391336</v>
      </c>
      <c r="AQ441" s="75">
        <f>VLOOKUP(B441,'Household Information'!$B$2:$E$48,4,FALSE)</f>
        <v>65.935833333333335</v>
      </c>
      <c r="AR441" s="79">
        <f>IF(12*(AP441-Variables!$C$45*AQ441*F441)*(G441/5)&lt;0,0,12*(AP441-Variables!$C$45*AQ441*F441)*(G441/5))</f>
        <v>23599014.254726842</v>
      </c>
      <c r="AS441" s="1"/>
      <c r="AT441" s="62">
        <v>0</v>
      </c>
      <c r="AU441" s="1"/>
    </row>
    <row r="442" spans="1:47" ht="14.25" customHeight="1">
      <c r="A442" s="1">
        <v>16</v>
      </c>
      <c r="B442" s="3" t="s">
        <v>208</v>
      </c>
      <c r="C442" s="1">
        <v>2028</v>
      </c>
      <c r="D442" s="13">
        <f>VLOOKUP(B442,Population!$B$1:$O$48,12,FALSE)</f>
        <v>533093.26743447699</v>
      </c>
      <c r="E442" s="13" t="str">
        <f t="shared" si="22"/>
        <v>Medium</v>
      </c>
      <c r="F442" s="54">
        <f>VLOOKUP(B442,'Household Information'!$B$1:$E$48,2,FALSE)</f>
        <v>3.2379076029492619</v>
      </c>
      <c r="G442" s="54">
        <f t="shared" si="0"/>
        <v>164641.28468301773</v>
      </c>
      <c r="H442" s="55">
        <f>IF(D442&gt;Variables!$C$6,H395,H395*(1+Variables!$C$9))</f>
        <v>31.656284999999997</v>
      </c>
      <c r="I442" s="1"/>
      <c r="J442" s="13">
        <f>H442*Variables!$C$21</f>
        <v>569.81313</v>
      </c>
      <c r="K442" s="13">
        <f t="shared" si="12"/>
        <v>582</v>
      </c>
      <c r="L442" s="54">
        <f t="shared" si="1"/>
        <v>0</v>
      </c>
      <c r="M442" s="56"/>
      <c r="N442" s="57"/>
      <c r="O442" s="57"/>
      <c r="P442" s="57"/>
      <c r="Q442" s="57"/>
      <c r="R442" s="57"/>
      <c r="S442" s="58">
        <v>0</v>
      </c>
      <c r="T442" s="59">
        <f>$L442*Variables!$C$22/100</f>
        <v>0</v>
      </c>
      <c r="U442" s="59">
        <f>$L442*Variables!$C$23/100</f>
        <v>0</v>
      </c>
      <c r="V442" s="59">
        <f>$L442*Variables!$C$24/100</f>
        <v>0</v>
      </c>
      <c r="W442" s="59">
        <f>$L442*Variables!$C$25/100</f>
        <v>0</v>
      </c>
      <c r="X442" s="62">
        <f>T442*Variables!$E$26*Variables!$C$18+'Cost Calculations'!U442*Variables!$E$27*Variables!$C$18+'Cost Calculations'!V442*Variables!$E$28*Variables!$C$18+W442*Variables!$E$29*Variables!$C$18</f>
        <v>0</v>
      </c>
      <c r="Y442" s="58">
        <f>J442*Variables!$E$30</f>
        <v>373227.60015000001</v>
      </c>
      <c r="Z442" s="1"/>
      <c r="AA442" s="245">
        <f>D442*(IF(D442&lt;Variables!$C$7,Variables!$C$38,IF(D442&gt;Variables!$C$6,Variables!$C$36,Variables!$C$37)))</f>
        <v>639.71192092137233</v>
      </c>
      <c r="AB442" s="64">
        <f t="shared" si="13"/>
        <v>630</v>
      </c>
      <c r="AC442" s="66">
        <f t="shared" si="2"/>
        <v>10</v>
      </c>
      <c r="AD442" s="62">
        <f>AC442*Variables!$E$41</f>
        <v>5376000</v>
      </c>
      <c r="AE442" s="71">
        <f>ROUND((H442/(3.14*Variables!$C$35^2)),0)</f>
        <v>40</v>
      </c>
      <c r="AF442" s="57">
        <f t="shared" si="14"/>
        <v>40</v>
      </c>
      <c r="AG442" s="57">
        <f t="shared" si="3"/>
        <v>0</v>
      </c>
      <c r="AH442" s="58">
        <f>AG442*Variables!$E$42*Variables!$C$18</f>
        <v>0</v>
      </c>
      <c r="AI442" s="73">
        <f t="shared" si="4"/>
        <v>5</v>
      </c>
      <c r="AJ442" s="66">
        <f t="shared" si="15"/>
        <v>5</v>
      </c>
      <c r="AK442" s="66">
        <f t="shared" si="5"/>
        <v>0</v>
      </c>
      <c r="AL442" s="62">
        <f>IF(AK442*Variables!$E$43*Variables!$C$18&lt;0,0,AK442*Variables!$E$43*Variables!$C$18)</f>
        <v>0</v>
      </c>
      <c r="AM442" s="58">
        <f>AA442*Variables!$E$39*Variables!$C$18</f>
        <v>184910211.42203754</v>
      </c>
      <c r="AN442" s="1"/>
      <c r="AO442" s="76">
        <f t="shared" si="16"/>
        <v>0.67714285714285716</v>
      </c>
      <c r="AP442" s="76">
        <f t="shared" si="6"/>
        <v>131.55156032553859</v>
      </c>
      <c r="AQ442" s="75">
        <f>VLOOKUP(B442,'Household Information'!$B$2:$E$48,4,FALSE)</f>
        <v>65.935833333333335</v>
      </c>
      <c r="AR442" s="79">
        <f>IF(12*(AP442-Variables!$C$45*AQ442*F442)*(G442/5)&lt;0,0,12*(AP442-Variables!$C$45*AQ442*F442)*(G442/5))</f>
        <v>39327181.365959793</v>
      </c>
      <c r="AS442" s="1"/>
      <c r="AT442" s="62">
        <v>0</v>
      </c>
      <c r="AU442" s="1"/>
    </row>
    <row r="443" spans="1:47" ht="14.25" customHeight="1">
      <c r="A443" s="1">
        <v>17</v>
      </c>
      <c r="B443" s="3" t="s">
        <v>209</v>
      </c>
      <c r="C443" s="1">
        <v>2028</v>
      </c>
      <c r="D443" s="13">
        <f>VLOOKUP(B443,Population!$B$1:$O$48,12,FALSE)</f>
        <v>503353.2482523825</v>
      </c>
      <c r="E443" s="13" t="str">
        <f t="shared" si="22"/>
        <v>Medium</v>
      </c>
      <c r="F443" s="54">
        <f>VLOOKUP(B443,'Household Information'!$B$1:$E$48,2,FALSE)</f>
        <v>3.2463324451363733</v>
      </c>
      <c r="G443" s="54">
        <f t="shared" si="0"/>
        <v>155052.89638665994</v>
      </c>
      <c r="H443" s="55">
        <f>IF(D443&gt;Variables!$C$6,H396,H396*(1+Variables!$C$9))</f>
        <v>25.896000000000001</v>
      </c>
      <c r="I443" s="1"/>
      <c r="J443" s="13">
        <f>H443*Variables!$C$21</f>
        <v>466.12800000000004</v>
      </c>
      <c r="K443" s="13">
        <f t="shared" si="12"/>
        <v>961.78647000000012</v>
      </c>
      <c r="L443" s="54">
        <f t="shared" si="1"/>
        <v>0</v>
      </c>
      <c r="M443" s="56"/>
      <c r="N443" s="57"/>
      <c r="O443" s="57"/>
      <c r="P443" s="57"/>
      <c r="Q443" s="57"/>
      <c r="R443" s="57"/>
      <c r="S443" s="58">
        <v>0</v>
      </c>
      <c r="T443" s="59">
        <f>$L443*Variables!$C$22/100</f>
        <v>0</v>
      </c>
      <c r="U443" s="59">
        <f>$L443*Variables!$C$23/100</f>
        <v>0</v>
      </c>
      <c r="V443" s="59">
        <f>$L443*Variables!$C$24/100</f>
        <v>0</v>
      </c>
      <c r="W443" s="59">
        <f>$L443*Variables!$C$25/100</f>
        <v>0</v>
      </c>
      <c r="X443" s="62">
        <f>T443*Variables!$E$26*Variables!$C$18+'Cost Calculations'!U443*Variables!$E$27*Variables!$C$18+'Cost Calculations'!V443*Variables!$E$28*Variables!$C$18+W443*Variables!$E$29*Variables!$C$18</f>
        <v>0</v>
      </c>
      <c r="Y443" s="58">
        <f>J443*Variables!$E$30</f>
        <v>305313.84000000003</v>
      </c>
      <c r="Z443" s="1"/>
      <c r="AA443" s="245">
        <f>D443*(IF(D443&lt;Variables!$C$7,Variables!$C$38,IF(D443&gt;Variables!$C$6,Variables!$C$36,Variables!$C$37)))</f>
        <v>604.02389790285895</v>
      </c>
      <c r="AB443" s="64">
        <f t="shared" si="13"/>
        <v>595</v>
      </c>
      <c r="AC443" s="66">
        <f t="shared" si="2"/>
        <v>9</v>
      </c>
      <c r="AD443" s="62">
        <f>AC443*Variables!$E$41</f>
        <v>4838400</v>
      </c>
      <c r="AE443" s="71">
        <f>ROUND((H443/(3.14*Variables!$C$35^2)),0)</f>
        <v>33</v>
      </c>
      <c r="AF443" s="57">
        <f t="shared" si="14"/>
        <v>33</v>
      </c>
      <c r="AG443" s="57">
        <f t="shared" si="3"/>
        <v>0</v>
      </c>
      <c r="AH443" s="58">
        <f>AG443*Variables!$E$42*Variables!$C$18</f>
        <v>0</v>
      </c>
      <c r="AI443" s="73">
        <f t="shared" si="4"/>
        <v>5</v>
      </c>
      <c r="AJ443" s="66">
        <f t="shared" si="15"/>
        <v>5</v>
      </c>
      <c r="AK443" s="66">
        <f t="shared" si="5"/>
        <v>0</v>
      </c>
      <c r="AL443" s="62">
        <f>IF(AK443*Variables!$E$43*Variables!$C$18&lt;0,0,AK443*Variables!$E$43*Variables!$C$18)</f>
        <v>0</v>
      </c>
      <c r="AM443" s="58">
        <f>AA443*Variables!$E$39*Variables!$C$18</f>
        <v>174594505.76489854</v>
      </c>
      <c r="AN443" s="1"/>
      <c r="AO443" s="76">
        <f t="shared" si="16"/>
        <v>0.67714285714285716</v>
      </c>
      <c r="AP443" s="76">
        <f t="shared" si="6"/>
        <v>131.89384962811206</v>
      </c>
      <c r="AQ443" s="75">
        <f>VLOOKUP(B443,'Household Information'!$B$2:$E$48,4,FALSE)</f>
        <v>47.15</v>
      </c>
      <c r="AR443" s="79">
        <f>IF(12*(AP443-Variables!$C$45*AQ443*F443)*(G443/5)&lt;0,0,12*(AP443-Variables!$C$45*AQ443*F443)*(G443/5))</f>
        <v>40537338.125184938</v>
      </c>
      <c r="AS443" s="1"/>
      <c r="AT443" s="62">
        <v>0</v>
      </c>
      <c r="AU443" s="1"/>
    </row>
    <row r="444" spans="1:47" ht="14.25" customHeight="1">
      <c r="A444" s="1">
        <v>18</v>
      </c>
      <c r="B444" s="3" t="s">
        <v>210</v>
      </c>
      <c r="C444" s="1">
        <v>2028</v>
      </c>
      <c r="D444" s="13">
        <f>VLOOKUP(B444,Population!$B$1:$O$48,12,FALSE)</f>
        <v>318710.04245005635</v>
      </c>
      <c r="E444" s="13" t="str">
        <f t="shared" si="22"/>
        <v>Medium</v>
      </c>
      <c r="F444" s="54">
        <f>VLOOKUP(B444,'Household Information'!$B$1:$E$48,2,FALSE)</f>
        <v>3.2199371541131225</v>
      </c>
      <c r="G444" s="54">
        <f t="shared" si="0"/>
        <v>98980.205884744879</v>
      </c>
      <c r="H444" s="55">
        <f>IF(D444&gt;Variables!$C$6,H397,H397*(1+Variables!$C$9))</f>
        <v>16.261485999999998</v>
      </c>
      <c r="I444" s="1"/>
      <c r="J444" s="13">
        <f>H444*Variables!$C$21</f>
        <v>292.70674799999995</v>
      </c>
      <c r="K444" s="13">
        <f t="shared" si="12"/>
        <v>512</v>
      </c>
      <c r="L444" s="54">
        <f t="shared" si="1"/>
        <v>0</v>
      </c>
      <c r="M444" s="56"/>
      <c r="N444" s="57"/>
      <c r="O444" s="57"/>
      <c r="P444" s="57"/>
      <c r="Q444" s="57"/>
      <c r="R444" s="57"/>
      <c r="S444" s="58">
        <v>0</v>
      </c>
      <c r="T444" s="59">
        <f>$L444*Variables!$C$22/100</f>
        <v>0</v>
      </c>
      <c r="U444" s="59">
        <f>$L444*Variables!$C$23/100</f>
        <v>0</v>
      </c>
      <c r="V444" s="59">
        <f>$L444*Variables!$C$24/100</f>
        <v>0</v>
      </c>
      <c r="W444" s="59">
        <f>$L444*Variables!$C$25/100</f>
        <v>0</v>
      </c>
      <c r="X444" s="62">
        <f>T444*Variables!$E$26*Variables!$C$18+'Cost Calculations'!U444*Variables!$E$27*Variables!$C$18+'Cost Calculations'!V444*Variables!$E$28*Variables!$C$18+W444*Variables!$E$29*Variables!$C$18</f>
        <v>0</v>
      </c>
      <c r="Y444" s="58">
        <f>J444*Variables!$E$30</f>
        <v>191722.91993999996</v>
      </c>
      <c r="Z444" s="1"/>
      <c r="AA444" s="245">
        <f>D444*(IF(D444&lt;Variables!$C$7,Variables!$C$38,IF(D444&gt;Variables!$C$6,Variables!$C$36,Variables!$C$37)))</f>
        <v>382.45205094006758</v>
      </c>
      <c r="AB444" s="64">
        <f t="shared" si="13"/>
        <v>377</v>
      </c>
      <c r="AC444" s="66">
        <f t="shared" si="2"/>
        <v>5</v>
      </c>
      <c r="AD444" s="62">
        <f>AC444*Variables!$E$41</f>
        <v>2688000</v>
      </c>
      <c r="AE444" s="71">
        <f>ROUND((H444/(3.14*Variables!$C$35^2)),0)</f>
        <v>21</v>
      </c>
      <c r="AF444" s="57">
        <f t="shared" si="14"/>
        <v>21</v>
      </c>
      <c r="AG444" s="57">
        <f t="shared" si="3"/>
        <v>0</v>
      </c>
      <c r="AH444" s="58">
        <f>AG444*Variables!$E$42*Variables!$C$18</f>
        <v>0</v>
      </c>
      <c r="AI444" s="73">
        <f t="shared" si="4"/>
        <v>3</v>
      </c>
      <c r="AJ444" s="66">
        <f t="shared" si="15"/>
        <v>3</v>
      </c>
      <c r="AK444" s="66">
        <f t="shared" si="5"/>
        <v>0</v>
      </c>
      <c r="AL444" s="62">
        <f>IF(AK444*Variables!$E$43*Variables!$C$18&lt;0,0,AK444*Variables!$E$43*Variables!$C$18)</f>
        <v>0</v>
      </c>
      <c r="AM444" s="58">
        <f>AA444*Variables!$E$39*Variables!$C$18</f>
        <v>110548650.54923989</v>
      </c>
      <c r="AN444" s="1"/>
      <c r="AO444" s="76">
        <f t="shared" si="16"/>
        <v>0.67714285714285716</v>
      </c>
      <c r="AP444" s="76">
        <f t="shared" si="6"/>
        <v>130.82144666139601</v>
      </c>
      <c r="AQ444" s="75">
        <f>VLOOKUP(B444,'Household Information'!$B$2:$E$48,4,FALSE)</f>
        <v>65.935833333333335</v>
      </c>
      <c r="AR444" s="79">
        <f>IF(12*(AP444-Variables!$C$45*AQ444*F444)*(G444/5)&lt;0,0,12*(AP444-Variables!$C$45*AQ444*F444)*(G444/5))</f>
        <v>23511772.532611612</v>
      </c>
      <c r="AS444" s="1"/>
      <c r="AT444" s="62">
        <v>0</v>
      </c>
      <c r="AU444" s="1"/>
    </row>
    <row r="445" spans="1:47" ht="14.25" customHeight="1">
      <c r="A445" s="1">
        <v>19</v>
      </c>
      <c r="B445" s="3" t="s">
        <v>211</v>
      </c>
      <c r="C445" s="1">
        <v>2028</v>
      </c>
      <c r="D445" s="13">
        <f>VLOOKUP(B445,Population!$B$1:$O$48,12,FALSE)</f>
        <v>321783.15455472295</v>
      </c>
      <c r="E445" s="13" t="str">
        <f t="shared" si="22"/>
        <v>Medium</v>
      </c>
      <c r="F445" s="54">
        <f>VLOOKUP(B445,'Household Information'!$B$1:$E$48,2,FALSE)</f>
        <v>2.5344143617118515</v>
      </c>
      <c r="G445" s="54">
        <f t="shared" si="0"/>
        <v>126965.48733940131</v>
      </c>
      <c r="H445" s="55">
        <f>IF(D445&gt;Variables!$C$6,H398,H398*(1+Variables!$C$9))</f>
        <v>33.110705594037988</v>
      </c>
      <c r="I445" s="1"/>
      <c r="J445" s="13">
        <f>H445*Variables!$C$21</f>
        <v>595.9927006926838</v>
      </c>
      <c r="K445" s="13">
        <f t="shared" si="12"/>
        <v>595.9927006926838</v>
      </c>
      <c r="L445" s="54">
        <f t="shared" si="1"/>
        <v>0</v>
      </c>
      <c r="M445" s="56"/>
      <c r="N445" s="57"/>
      <c r="O445" s="57"/>
      <c r="P445" s="57"/>
      <c r="Q445" s="57"/>
      <c r="R445" s="57"/>
      <c r="S445" s="58">
        <v>0</v>
      </c>
      <c r="T445" s="59">
        <f>$L445*Variables!$C$22/100</f>
        <v>0</v>
      </c>
      <c r="U445" s="59">
        <f>$L445*Variables!$C$23/100</f>
        <v>0</v>
      </c>
      <c r="V445" s="59">
        <f>$L445*Variables!$C$24/100</f>
        <v>0</v>
      </c>
      <c r="W445" s="59">
        <f>$L445*Variables!$C$25/100</f>
        <v>0</v>
      </c>
      <c r="X445" s="62">
        <f>T445*Variables!$E$26*Variables!$C$18+'Cost Calculations'!U445*Variables!$E$27*Variables!$C$18+'Cost Calculations'!V445*Variables!$E$28*Variables!$C$18+W445*Variables!$E$29*Variables!$C$18</f>
        <v>0</v>
      </c>
      <c r="Y445" s="58">
        <f>J445*Variables!$E$30</f>
        <v>390375.2189537079</v>
      </c>
      <c r="Z445" s="1"/>
      <c r="AA445" s="245">
        <f>D445*(IF(D445&lt;Variables!$C$7,Variables!$C$38,IF(D445&gt;Variables!$C$6,Variables!$C$36,Variables!$C$37)))</f>
        <v>386.1397854656675</v>
      </c>
      <c r="AB445" s="64">
        <f t="shared" si="13"/>
        <v>380</v>
      </c>
      <c r="AC445" s="66">
        <f t="shared" si="2"/>
        <v>6</v>
      </c>
      <c r="AD445" s="62">
        <f>AC445*Variables!$E$41</f>
        <v>3225600</v>
      </c>
      <c r="AE445" s="71">
        <f>ROUND((H445/(3.14*Variables!$C$35^2)),0)</f>
        <v>42</v>
      </c>
      <c r="AF445" s="57">
        <f t="shared" si="14"/>
        <v>42</v>
      </c>
      <c r="AG445" s="57">
        <f t="shared" si="3"/>
        <v>0</v>
      </c>
      <c r="AH445" s="58">
        <f>AG445*Variables!$E$42*Variables!$C$18</f>
        <v>0</v>
      </c>
      <c r="AI445" s="73">
        <f t="shared" si="4"/>
        <v>3</v>
      </c>
      <c r="AJ445" s="66">
        <f t="shared" si="15"/>
        <v>3</v>
      </c>
      <c r="AK445" s="66">
        <f t="shared" si="5"/>
        <v>0</v>
      </c>
      <c r="AL445" s="62">
        <f>IF(AK445*Variables!$E$43*Variables!$C$18&lt;0,0,AK445*Variables!$E$43*Variables!$C$18)</f>
        <v>0</v>
      </c>
      <c r="AM445" s="58">
        <f>AA445*Variables!$E$39*Variables!$C$18</f>
        <v>111614598.7495093</v>
      </c>
      <c r="AN445" s="1"/>
      <c r="AO445" s="76">
        <f t="shared" si="16"/>
        <v>0.67714285714285716</v>
      </c>
      <c r="AP445" s="76">
        <f t="shared" si="6"/>
        <v>102.96963492440722</v>
      </c>
      <c r="AQ445" s="75">
        <f>VLOOKUP(B445,'Household Information'!$B$2:$E$48,4,FALSE)</f>
        <v>65.935833333333335</v>
      </c>
      <c r="AR445" s="79">
        <f>IF(12*(AP445-Variables!$C$45*AQ445*F445)*(G445/5)&lt;0,0,12*(AP445-Variables!$C$45*AQ445*F445)*(G445/5))</f>
        <v>23738481.149060238</v>
      </c>
      <c r="AS445" s="1"/>
      <c r="AT445" s="62">
        <v>0</v>
      </c>
      <c r="AU445" s="1"/>
    </row>
    <row r="446" spans="1:47" ht="14.25" customHeight="1">
      <c r="A446" s="1">
        <v>20</v>
      </c>
      <c r="B446" s="3" t="s">
        <v>212</v>
      </c>
      <c r="C446" s="1">
        <v>2028</v>
      </c>
      <c r="D446" s="13">
        <f>VLOOKUP(B446,Population!$B$1:$O$48,12,FALSE)</f>
        <v>194960.41373679973</v>
      </c>
      <c r="E446" s="13" t="str">
        <f t="shared" si="22"/>
        <v>Medium</v>
      </c>
      <c r="F446" s="54">
        <f>VLOOKUP(B446,'Household Information'!$B$1:$E$48,2,FALSE)</f>
        <v>2.6024941905499612</v>
      </c>
      <c r="G446" s="54">
        <f t="shared" si="0"/>
        <v>74912.910255373339</v>
      </c>
      <c r="H446" s="55">
        <f>IF(D446&gt;Variables!$C$6,H399,H399*(1+Variables!$C$9))</f>
        <v>15</v>
      </c>
      <c r="I446" s="1"/>
      <c r="J446" s="13">
        <f>H446*Variables!$C$21</f>
        <v>270</v>
      </c>
      <c r="K446" s="13">
        <f t="shared" si="12"/>
        <v>270</v>
      </c>
      <c r="L446" s="54">
        <f t="shared" si="1"/>
        <v>0</v>
      </c>
      <c r="M446" s="56"/>
      <c r="N446" s="57"/>
      <c r="O446" s="57"/>
      <c r="P446" s="57"/>
      <c r="Q446" s="57"/>
      <c r="R446" s="57"/>
      <c r="S446" s="58">
        <v>0</v>
      </c>
      <c r="T446" s="59">
        <f>$L446*Variables!$C$22/100</f>
        <v>0</v>
      </c>
      <c r="U446" s="59">
        <f>$L446*Variables!$C$23/100</f>
        <v>0</v>
      </c>
      <c r="V446" s="59">
        <f>$L446*Variables!$C$24/100</f>
        <v>0</v>
      </c>
      <c r="W446" s="59">
        <f>$L446*Variables!$C$25/100</f>
        <v>0</v>
      </c>
      <c r="X446" s="62">
        <f>T446*Variables!$E$26*Variables!$C$18+'Cost Calculations'!U446*Variables!$E$27*Variables!$C$18+'Cost Calculations'!V446*Variables!$E$28*Variables!$C$18+W446*Variables!$E$29*Variables!$C$18</f>
        <v>0</v>
      </c>
      <c r="Y446" s="58">
        <f>J446*Variables!$E$30</f>
        <v>176850</v>
      </c>
      <c r="Z446" s="1"/>
      <c r="AA446" s="245">
        <f>D446*(IF(D446&lt;Variables!$C$7,Variables!$C$38,IF(D446&gt;Variables!$C$6,Variables!$C$36,Variables!$C$37)))</f>
        <v>233.95249648415967</v>
      </c>
      <c r="AB446" s="64">
        <f t="shared" si="13"/>
        <v>230</v>
      </c>
      <c r="AC446" s="66">
        <f t="shared" si="2"/>
        <v>4</v>
      </c>
      <c r="AD446" s="62">
        <f>AC446*Variables!$E$41</f>
        <v>2150400</v>
      </c>
      <c r="AE446" s="71">
        <f>ROUND((H446/(3.14*Variables!$C$35^2)),0)</f>
        <v>19</v>
      </c>
      <c r="AF446" s="57">
        <f t="shared" si="14"/>
        <v>19</v>
      </c>
      <c r="AG446" s="57">
        <f t="shared" si="3"/>
        <v>0</v>
      </c>
      <c r="AH446" s="58">
        <f>AG446*Variables!$E$42*Variables!$C$18</f>
        <v>0</v>
      </c>
      <c r="AI446" s="73">
        <f t="shared" si="4"/>
        <v>2</v>
      </c>
      <c r="AJ446" s="66">
        <f t="shared" si="15"/>
        <v>2</v>
      </c>
      <c r="AK446" s="66">
        <f t="shared" si="5"/>
        <v>0</v>
      </c>
      <c r="AL446" s="62">
        <f>IF(AK446*Variables!$E$43*Variables!$C$18&lt;0,0,AK446*Variables!$E$43*Variables!$C$18)</f>
        <v>0</v>
      </c>
      <c r="AM446" s="58">
        <f>AA446*Variables!$E$39*Variables!$C$18</f>
        <v>67624510.616109997</v>
      </c>
      <c r="AN446" s="1"/>
      <c r="AO446" s="76">
        <f t="shared" si="16"/>
        <v>0.67714285714285716</v>
      </c>
      <c r="AP446" s="76">
        <f t="shared" si="6"/>
        <v>105.73562111320128</v>
      </c>
      <c r="AQ446" s="75">
        <f>VLOOKUP(B446,'Household Information'!$B$2:$E$48,4,FALSE)</f>
        <v>65.935833333333335</v>
      </c>
      <c r="AR446" s="79">
        <f>IF(12*(AP446-Variables!$C$45*AQ446*F446)*(G446/5)&lt;0,0,12*(AP446-Variables!$C$45*AQ446*F446)*(G446/5))</f>
        <v>14382555.58376953</v>
      </c>
      <c r="AS446" s="1"/>
      <c r="AT446" s="62">
        <v>0</v>
      </c>
      <c r="AU446" s="1"/>
    </row>
    <row r="447" spans="1:47" ht="14.25" customHeight="1">
      <c r="A447" s="1">
        <v>21</v>
      </c>
      <c r="B447" s="3" t="s">
        <v>213</v>
      </c>
      <c r="C447" s="1">
        <v>2028</v>
      </c>
      <c r="D447" s="13">
        <f>VLOOKUP(B447,Population!$B$1:$O$48,12,FALSE)</f>
        <v>206080.71592219069</v>
      </c>
      <c r="E447" s="13" t="str">
        <f t="shared" si="22"/>
        <v>Medium</v>
      </c>
      <c r="F447" s="54">
        <f>VLOOKUP(B447,'Household Information'!$B$1:$E$48,2,FALSE)</f>
        <v>3.3084232295567606</v>
      </c>
      <c r="G447" s="54">
        <f t="shared" si="0"/>
        <v>62289.707701574793</v>
      </c>
      <c r="H447" s="55">
        <f>IF(D447&gt;Variables!$C$6,H400,H400*(1+Variables!$C$9))</f>
        <v>35.084811999999992</v>
      </c>
      <c r="I447" s="1"/>
      <c r="J447" s="13">
        <f>H447*Variables!$C$21</f>
        <v>631.52661599999988</v>
      </c>
      <c r="K447" s="13">
        <f t="shared" si="12"/>
        <v>631.52661599999988</v>
      </c>
      <c r="L447" s="54">
        <f t="shared" si="1"/>
        <v>0</v>
      </c>
      <c r="M447" s="56"/>
      <c r="N447" s="57"/>
      <c r="O447" s="57"/>
      <c r="P447" s="57"/>
      <c r="Q447" s="57"/>
      <c r="R447" s="57"/>
      <c r="S447" s="58">
        <v>0</v>
      </c>
      <c r="T447" s="59">
        <f>$L447*Variables!$C$22/100</f>
        <v>0</v>
      </c>
      <c r="U447" s="59">
        <f>$L447*Variables!$C$23/100</f>
        <v>0</v>
      </c>
      <c r="V447" s="59">
        <f>$L447*Variables!$C$24/100</f>
        <v>0</v>
      </c>
      <c r="W447" s="59">
        <f>$L447*Variables!$C$25/100</f>
        <v>0</v>
      </c>
      <c r="X447" s="62">
        <f>T447*Variables!$E$26*Variables!$C$18+'Cost Calculations'!U447*Variables!$E$27*Variables!$C$18+'Cost Calculations'!V447*Variables!$E$28*Variables!$C$18+W447*Variables!$E$29*Variables!$C$18</f>
        <v>0</v>
      </c>
      <c r="Y447" s="58">
        <f>J447*Variables!$E$30</f>
        <v>413649.93347999989</v>
      </c>
      <c r="Z447" s="1"/>
      <c r="AA447" s="245">
        <f>D447*(IF(D447&lt;Variables!$C$7,Variables!$C$38,IF(D447&gt;Variables!$C$6,Variables!$C$36,Variables!$C$37)))</f>
        <v>247.2968591066288</v>
      </c>
      <c r="AB447" s="64">
        <f t="shared" si="13"/>
        <v>244</v>
      </c>
      <c r="AC447" s="66">
        <f t="shared" si="2"/>
        <v>3</v>
      </c>
      <c r="AD447" s="62">
        <f>AC447*Variables!$E$41</f>
        <v>1612800</v>
      </c>
      <c r="AE447" s="71">
        <f>ROUND((H447/(3.14*Variables!$C$35^2)),0)</f>
        <v>45</v>
      </c>
      <c r="AF447" s="57">
        <f t="shared" si="14"/>
        <v>45</v>
      </c>
      <c r="AG447" s="57">
        <f t="shared" si="3"/>
        <v>0</v>
      </c>
      <c r="AH447" s="58">
        <f>AG447*Variables!$E$42*Variables!$C$18</f>
        <v>0</v>
      </c>
      <c r="AI447" s="73">
        <f t="shared" si="4"/>
        <v>2</v>
      </c>
      <c r="AJ447" s="66">
        <f t="shared" si="15"/>
        <v>2</v>
      </c>
      <c r="AK447" s="66">
        <f t="shared" si="5"/>
        <v>0</v>
      </c>
      <c r="AL447" s="62">
        <f>IF(AK447*Variables!$E$43*Variables!$C$18&lt;0,0,AK447*Variables!$E$43*Variables!$C$18)</f>
        <v>0</v>
      </c>
      <c r="AM447" s="58">
        <f>AA447*Variables!$E$39*Variables!$C$18</f>
        <v>71481729.519048631</v>
      </c>
      <c r="AN447" s="1"/>
      <c r="AO447" s="76">
        <f t="shared" si="16"/>
        <v>0.67714285714285716</v>
      </c>
      <c r="AP447" s="76">
        <f t="shared" si="6"/>
        <v>134.4165094979918</v>
      </c>
      <c r="AQ447" s="75">
        <f>VLOOKUP(B447,'Household Information'!$B$2:$E$48,4,FALSE)</f>
        <v>65.935833333333335</v>
      </c>
      <c r="AR447" s="79">
        <f>IF(12*(AP447-Variables!$C$45*AQ447*F447)*(G447/5)&lt;0,0,12*(AP447-Variables!$C$45*AQ447*F447)*(G447/5))</f>
        <v>15202918.862776617</v>
      </c>
      <c r="AS447" s="1"/>
      <c r="AT447" s="62">
        <v>0</v>
      </c>
      <c r="AU447" s="1"/>
    </row>
    <row r="448" spans="1:47" ht="14.25" customHeight="1">
      <c r="A448" s="1">
        <v>22</v>
      </c>
      <c r="B448" s="3" t="s">
        <v>214</v>
      </c>
      <c r="C448" s="1">
        <v>2028</v>
      </c>
      <c r="D448" s="13">
        <f>VLOOKUP(B448,Population!$B$1:$O$48,12,FALSE)</f>
        <v>181960.03541486801</v>
      </c>
      <c r="E448" s="13" t="str">
        <f t="shared" si="22"/>
        <v>Medium</v>
      </c>
      <c r="F448" s="54">
        <f>VLOOKUP(B448,'Household Information'!$B$1:$E$48,2,FALSE)</f>
        <v>2.4748082204754236</v>
      </c>
      <c r="G448" s="54">
        <f t="shared" si="0"/>
        <v>73524.903428643258</v>
      </c>
      <c r="H448" s="55">
        <f>IF(D448&gt;Variables!$C$6,H401,H401*(1+Variables!$C$9))</f>
        <v>31.3</v>
      </c>
      <c r="I448" s="1"/>
      <c r="J448" s="13">
        <f>H448*Variables!$C$21</f>
        <v>563.4</v>
      </c>
      <c r="K448" s="13">
        <f t="shared" si="12"/>
        <v>563.4</v>
      </c>
      <c r="L448" s="54">
        <f t="shared" si="1"/>
        <v>0</v>
      </c>
      <c r="M448" s="56"/>
      <c r="N448" s="57"/>
      <c r="O448" s="57"/>
      <c r="P448" s="57"/>
      <c r="Q448" s="57"/>
      <c r="R448" s="57"/>
      <c r="S448" s="58">
        <v>0</v>
      </c>
      <c r="T448" s="59">
        <f>$L448*Variables!$C$22/100</f>
        <v>0</v>
      </c>
      <c r="U448" s="59">
        <f>$L448*Variables!$C$23/100</f>
        <v>0</v>
      </c>
      <c r="V448" s="59">
        <f>$L448*Variables!$C$24/100</f>
        <v>0</v>
      </c>
      <c r="W448" s="59">
        <f>$L448*Variables!$C$25/100</f>
        <v>0</v>
      </c>
      <c r="X448" s="62">
        <f>T448*Variables!$E$26*Variables!$C$18+'Cost Calculations'!U448*Variables!$E$27*Variables!$C$18+'Cost Calculations'!V448*Variables!$E$28*Variables!$C$18+W448*Variables!$E$29*Variables!$C$18</f>
        <v>0</v>
      </c>
      <c r="Y448" s="58">
        <f>J448*Variables!$E$30</f>
        <v>369027</v>
      </c>
      <c r="Z448" s="1"/>
      <c r="AA448" s="245">
        <f>D448*(IF(D448&lt;Variables!$C$7,Variables!$C$38,IF(D448&gt;Variables!$C$6,Variables!$C$36,Variables!$C$37)))</f>
        <v>218.35204249784158</v>
      </c>
      <c r="AB448" s="64">
        <f t="shared" si="13"/>
        <v>215</v>
      </c>
      <c r="AC448" s="66">
        <f t="shared" si="2"/>
        <v>3</v>
      </c>
      <c r="AD448" s="62">
        <f>AC448*Variables!$E$41</f>
        <v>1612800</v>
      </c>
      <c r="AE448" s="71">
        <f>ROUND((H448/(3.14*Variables!$C$35^2)),0)</f>
        <v>40</v>
      </c>
      <c r="AF448" s="57">
        <f t="shared" si="14"/>
        <v>40</v>
      </c>
      <c r="AG448" s="57">
        <f t="shared" si="3"/>
        <v>0</v>
      </c>
      <c r="AH448" s="58">
        <f>AG448*Variables!$E$42*Variables!$C$18</f>
        <v>0</v>
      </c>
      <c r="AI448" s="73">
        <f t="shared" si="4"/>
        <v>2</v>
      </c>
      <c r="AJ448" s="66">
        <f t="shared" si="15"/>
        <v>2</v>
      </c>
      <c r="AK448" s="66">
        <f t="shared" si="5"/>
        <v>0</v>
      </c>
      <c r="AL448" s="62">
        <f>IF(AK448*Variables!$E$43*Variables!$C$18&lt;0,0,AK448*Variables!$E$43*Variables!$C$18)</f>
        <v>0</v>
      </c>
      <c r="AM448" s="58">
        <f>AA448*Variables!$E$39*Variables!$C$18</f>
        <v>63115163.282492921</v>
      </c>
      <c r="AN448" s="1"/>
      <c r="AO448" s="76">
        <f t="shared" si="16"/>
        <v>0.67714285714285716</v>
      </c>
      <c r="AP448" s="76">
        <f t="shared" si="6"/>
        <v>100.5479225576015</v>
      </c>
      <c r="AQ448" s="75">
        <f>VLOOKUP(B448,'Household Information'!$B$2:$E$48,4,FALSE)</f>
        <v>65.935833333333335</v>
      </c>
      <c r="AR448" s="79">
        <f>IF(12*(AP448-Variables!$C$45*AQ448*F448)*(G448/5)&lt;0,0,12*(AP448-Variables!$C$45*AQ448*F448)*(G448/5))</f>
        <v>13423495.94575686</v>
      </c>
      <c r="AS448" s="1"/>
      <c r="AT448" s="62">
        <v>0</v>
      </c>
      <c r="AU448" s="1"/>
    </row>
    <row r="449" spans="1:47" ht="14.25" customHeight="1">
      <c r="A449" s="1">
        <v>23</v>
      </c>
      <c r="B449" s="3" t="s">
        <v>215</v>
      </c>
      <c r="C449" s="1">
        <v>2028</v>
      </c>
      <c r="D449" s="13">
        <f>VLOOKUP(B449,Population!$B$1:$O$48,12,FALSE)</f>
        <v>140052.90622320989</v>
      </c>
      <c r="E449" s="13" t="str">
        <f t="shared" si="22"/>
        <v>Medium</v>
      </c>
      <c r="F449" s="54">
        <f>VLOOKUP(B449,'Household Information'!$B$1:$E$48,2,FALSE)</f>
        <v>2.7568018275271275</v>
      </c>
      <c r="G449" s="54">
        <f t="shared" si="0"/>
        <v>50802.674615475873</v>
      </c>
      <c r="H449" s="55">
        <f>IF(D449&gt;Variables!$C$6,H402,H402*(1+Variables!$C$9))</f>
        <v>14.881089649499996</v>
      </c>
      <c r="I449" s="1"/>
      <c r="J449" s="13">
        <f>H449*Variables!$C$21</f>
        <v>267.85961369099994</v>
      </c>
      <c r="K449" s="13">
        <f t="shared" si="12"/>
        <v>267.85961369099994</v>
      </c>
      <c r="L449" s="54">
        <f t="shared" si="1"/>
        <v>0</v>
      </c>
      <c r="M449" s="56"/>
      <c r="N449" s="57"/>
      <c r="O449" s="57"/>
      <c r="P449" s="57"/>
      <c r="Q449" s="57"/>
      <c r="R449" s="57"/>
      <c r="S449" s="58">
        <v>0</v>
      </c>
      <c r="T449" s="59">
        <f>$L449*Variables!$C$22/100</f>
        <v>0</v>
      </c>
      <c r="U449" s="59">
        <f>$L449*Variables!$C$23/100</f>
        <v>0</v>
      </c>
      <c r="V449" s="59">
        <f>$L449*Variables!$C$24/100</f>
        <v>0</v>
      </c>
      <c r="W449" s="59">
        <f>$L449*Variables!$C$25/100</f>
        <v>0</v>
      </c>
      <c r="X449" s="62">
        <f>T449*Variables!$E$26*Variables!$C$18+'Cost Calculations'!U449*Variables!$E$27*Variables!$C$18+'Cost Calculations'!V449*Variables!$E$28*Variables!$C$18+W449*Variables!$E$29*Variables!$C$18</f>
        <v>0</v>
      </c>
      <c r="Y449" s="58">
        <f>J449*Variables!$E$30</f>
        <v>175448.04696760495</v>
      </c>
      <c r="Z449" s="1"/>
      <c r="AA449" s="245">
        <f>D449*(IF(D449&lt;Variables!$C$7,Variables!$C$38,IF(D449&gt;Variables!$C$6,Variables!$C$36,Variables!$C$37)))</f>
        <v>168.06348746785187</v>
      </c>
      <c r="AB449" s="64">
        <f t="shared" si="13"/>
        <v>166</v>
      </c>
      <c r="AC449" s="66">
        <f t="shared" si="2"/>
        <v>2</v>
      </c>
      <c r="AD449" s="62">
        <f>AC449*Variables!$E$41</f>
        <v>1075200</v>
      </c>
      <c r="AE449" s="71">
        <f>ROUND((H449/(3.14*Variables!$C$35^2)),0)</f>
        <v>19</v>
      </c>
      <c r="AF449" s="57">
        <f t="shared" si="14"/>
        <v>19</v>
      </c>
      <c r="AG449" s="57">
        <f t="shared" si="3"/>
        <v>0</v>
      </c>
      <c r="AH449" s="58">
        <f>AG449*Variables!$E$42*Variables!$C$18</f>
        <v>0</v>
      </c>
      <c r="AI449" s="73">
        <f t="shared" si="4"/>
        <v>1</v>
      </c>
      <c r="AJ449" s="66">
        <f t="shared" si="15"/>
        <v>1</v>
      </c>
      <c r="AK449" s="66">
        <f t="shared" si="5"/>
        <v>0</v>
      </c>
      <c r="AL449" s="62">
        <f>IF(AK449*Variables!$E$43*Variables!$C$18&lt;0,0,AK449*Variables!$E$43*Variables!$C$18)</f>
        <v>0</v>
      </c>
      <c r="AM449" s="58">
        <f>AA449*Variables!$E$39*Variables!$C$18</f>
        <v>48579140.052988186</v>
      </c>
      <c r="AN449" s="1"/>
      <c r="AO449" s="76">
        <f t="shared" si="16"/>
        <v>0.67714285714285716</v>
      </c>
      <c r="AP449" s="76">
        <f t="shared" si="6"/>
        <v>112.00491996410214</v>
      </c>
      <c r="AQ449" s="75">
        <f>VLOOKUP(B449,'Household Information'!$B$2:$E$48,4,FALSE)</f>
        <v>65.935833333333335</v>
      </c>
      <c r="AR449" s="79">
        <f>IF(12*(AP449-Variables!$C$45*AQ449*F449)*(G449/5)&lt;0,0,12*(AP449-Variables!$C$45*AQ449*F449)*(G449/5))</f>
        <v>10331936.980515167</v>
      </c>
      <c r="AS449" s="1"/>
      <c r="AT449" s="62">
        <v>0</v>
      </c>
      <c r="AU449" s="1"/>
    </row>
    <row r="450" spans="1:47" ht="14.25" customHeight="1">
      <c r="A450" s="1">
        <v>24</v>
      </c>
      <c r="B450" s="3" t="s">
        <v>216</v>
      </c>
      <c r="C450" s="1">
        <v>2028</v>
      </c>
      <c r="D450" s="13">
        <f>VLOOKUP(B450,Population!$B$1:$O$48,12,FALSE)</f>
        <v>87893.559383279629</v>
      </c>
      <c r="E450" s="13" t="str">
        <f t="shared" si="22"/>
        <v>Small</v>
      </c>
      <c r="F450" s="54">
        <f>VLOOKUP(B450,'Household Information'!$B$1:$E$48,2,FALSE)</f>
        <v>2.845682723378673</v>
      </c>
      <c r="G450" s="54">
        <f t="shared" si="0"/>
        <v>30886.633517219303</v>
      </c>
      <c r="H450" s="55">
        <f>IF(D450&gt;Variables!$C$6,H403,H403*(1+Variables!$C$9))</f>
        <v>11.38303932699174</v>
      </c>
      <c r="I450" s="1"/>
      <c r="J450" s="13">
        <f>H450*Variables!$C$21</f>
        <v>204.89470788585132</v>
      </c>
      <c r="K450" s="13">
        <f t="shared" si="12"/>
        <v>198.34918478785221</v>
      </c>
      <c r="L450" s="54">
        <f t="shared" si="1"/>
        <v>6.5455230979991086</v>
      </c>
      <c r="M450" s="56"/>
      <c r="N450" s="57"/>
      <c r="O450" s="57"/>
      <c r="P450" s="57"/>
      <c r="Q450" s="57"/>
      <c r="R450" s="57"/>
      <c r="S450" s="58">
        <v>0</v>
      </c>
      <c r="T450" s="59">
        <f>$L450*Variables!$C$22/100</f>
        <v>0.35541301889587912</v>
      </c>
      <c r="U450" s="59">
        <f>$L450*Variables!$C$23/100</f>
        <v>0.62197278306778858</v>
      </c>
      <c r="V450" s="59">
        <f>$L450*Variables!$C$24/100</f>
        <v>0.65159053464244521</v>
      </c>
      <c r="W450" s="59">
        <f>$L450*Variables!$C$25/100</f>
        <v>4.7388402519450556</v>
      </c>
      <c r="X450" s="62">
        <f>T450*Variables!$E$26*Variables!$C$18+'Cost Calculations'!U450*Variables!$E$27*Variables!$C$18+'Cost Calculations'!V450*Variables!$E$28*Variables!$C$18+W450*Variables!$E$29*Variables!$C$18</f>
        <v>7440479.2320535723</v>
      </c>
      <c r="Y450" s="58">
        <f>J450*Variables!$E$30</f>
        <v>134206.03366523262</v>
      </c>
      <c r="Z450" s="1"/>
      <c r="AA450" s="245">
        <f>D450*(IF(D450&lt;Variables!$C$7,Variables!$C$38,IF(D450&gt;Variables!$C$6,Variables!$C$36,Variables!$C$37)))</f>
        <v>70.314847506623707</v>
      </c>
      <c r="AB450" s="64">
        <f t="shared" si="13"/>
        <v>69</v>
      </c>
      <c r="AC450" s="66">
        <f t="shared" si="2"/>
        <v>1</v>
      </c>
      <c r="AD450" s="62">
        <f>AC450*Variables!$E$41</f>
        <v>537600</v>
      </c>
      <c r="AE450" s="71">
        <f>ROUND((H450/(3.14*Variables!$C$35^2)),0)</f>
        <v>15</v>
      </c>
      <c r="AF450" s="57">
        <f t="shared" si="14"/>
        <v>14</v>
      </c>
      <c r="AG450" s="57">
        <f t="shared" si="3"/>
        <v>1</v>
      </c>
      <c r="AH450" s="58">
        <f>AG450*Variables!$E$42*Variables!$C$18</f>
        <v>1148.2560000000001</v>
      </c>
      <c r="AI450" s="73">
        <f t="shared" si="4"/>
        <v>1</v>
      </c>
      <c r="AJ450" s="66">
        <f t="shared" si="15"/>
        <v>1</v>
      </c>
      <c r="AK450" s="66">
        <f t="shared" si="5"/>
        <v>0</v>
      </c>
      <c r="AL450" s="62">
        <f>IF(AK450*Variables!$E$43*Variables!$C$18&lt;0,0,AK450*Variables!$E$43*Variables!$C$18)</f>
        <v>0</v>
      </c>
      <c r="AM450" s="58">
        <f>AA450*Variables!$E$39*Variables!$C$18</f>
        <v>20324669.422810711</v>
      </c>
      <c r="AN450" s="1"/>
      <c r="AO450" s="76">
        <f t="shared" si="16"/>
        <v>0.67714285714285716</v>
      </c>
      <c r="AP450" s="76">
        <f t="shared" si="6"/>
        <v>115.61602378984207</v>
      </c>
      <c r="AQ450" s="75">
        <f>VLOOKUP(B450,'Household Information'!$B$2:$E$48,4,FALSE)</f>
        <v>65.935833333333335</v>
      </c>
      <c r="AR450" s="79">
        <f>IF(12*(AP450-Variables!$C$45*AQ450*F450)*(G450/5)&lt;0,0,12*(AP450-Variables!$C$45*AQ450*F450)*(G450/5))</f>
        <v>6484054.7835109364</v>
      </c>
      <c r="AS450" s="1"/>
      <c r="AT450" s="62">
        <v>0</v>
      </c>
      <c r="AU450" s="1"/>
    </row>
    <row r="451" spans="1:47" ht="14.25" customHeight="1">
      <c r="A451" s="1">
        <v>25</v>
      </c>
      <c r="B451" s="3" t="s">
        <v>217</v>
      </c>
      <c r="C451" s="1">
        <v>2028</v>
      </c>
      <c r="D451" s="13">
        <f>VLOOKUP(B451,Population!$B$1:$O$48,12,FALSE)</f>
        <v>182137.59816109686</v>
      </c>
      <c r="E451" s="13" t="str">
        <f t="shared" si="22"/>
        <v>Medium</v>
      </c>
      <c r="F451" s="54">
        <f>VLOOKUP(B451,'Household Information'!$B$1:$E$48,2,FALSE)</f>
        <v>2.502264030612245</v>
      </c>
      <c r="G451" s="54">
        <f t="shared" si="0"/>
        <v>72789.120545577316</v>
      </c>
      <c r="H451" s="55">
        <f>IF(D451&gt;Variables!$C$6,H404,H404*(1+Variables!$C$9))</f>
        <v>22.498002944169993</v>
      </c>
      <c r="I451" s="1"/>
      <c r="J451" s="13">
        <f>H451*Variables!$C$21</f>
        <v>404.96405299505989</v>
      </c>
      <c r="K451" s="13">
        <f t="shared" si="12"/>
        <v>404.96405299505989</v>
      </c>
      <c r="L451" s="54">
        <f t="shared" si="1"/>
        <v>0</v>
      </c>
      <c r="M451" s="56"/>
      <c r="N451" s="57"/>
      <c r="O451" s="57"/>
      <c r="P451" s="57"/>
      <c r="Q451" s="57"/>
      <c r="R451" s="57"/>
      <c r="S451" s="58">
        <v>0</v>
      </c>
      <c r="T451" s="59">
        <f>$L451*Variables!$C$22/100</f>
        <v>0</v>
      </c>
      <c r="U451" s="59">
        <f>$L451*Variables!$C$23/100</f>
        <v>0</v>
      </c>
      <c r="V451" s="59">
        <f>$L451*Variables!$C$24/100</f>
        <v>0</v>
      </c>
      <c r="W451" s="59">
        <f>$L451*Variables!$C$25/100</f>
        <v>0</v>
      </c>
      <c r="X451" s="62">
        <f>T451*Variables!$E$26*Variables!$C$18+'Cost Calculations'!U451*Variables!$E$27*Variables!$C$18+'Cost Calculations'!V451*Variables!$E$28*Variables!$C$18+W451*Variables!$E$29*Variables!$C$18</f>
        <v>0</v>
      </c>
      <c r="Y451" s="58">
        <f>J451*Variables!$E$30</f>
        <v>265251.45471176424</v>
      </c>
      <c r="Z451" s="1"/>
      <c r="AA451" s="245">
        <f>D451*(IF(D451&lt;Variables!$C$7,Variables!$C$38,IF(D451&gt;Variables!$C$6,Variables!$C$36,Variables!$C$37)))</f>
        <v>218.5651177933162</v>
      </c>
      <c r="AB451" s="64">
        <f t="shared" si="13"/>
        <v>215</v>
      </c>
      <c r="AC451" s="66">
        <f t="shared" si="2"/>
        <v>4</v>
      </c>
      <c r="AD451" s="62">
        <f>AC451*Variables!$E$41</f>
        <v>2150400</v>
      </c>
      <c r="AE451" s="71">
        <f>ROUND((H451/(3.14*Variables!$C$35^2)),0)</f>
        <v>29</v>
      </c>
      <c r="AF451" s="57">
        <f t="shared" si="14"/>
        <v>29</v>
      </c>
      <c r="AG451" s="57">
        <f t="shared" si="3"/>
        <v>0</v>
      </c>
      <c r="AH451" s="58">
        <f>AG451*Variables!$E$42*Variables!$C$18</f>
        <v>0</v>
      </c>
      <c r="AI451" s="73">
        <f t="shared" si="4"/>
        <v>2</v>
      </c>
      <c r="AJ451" s="66">
        <f t="shared" si="15"/>
        <v>2</v>
      </c>
      <c r="AK451" s="66">
        <f t="shared" si="5"/>
        <v>0</v>
      </c>
      <c r="AL451" s="62">
        <f>IF(AK451*Variables!$E$43*Variables!$C$18&lt;0,0,AK451*Variables!$E$43*Variables!$C$18)</f>
        <v>0</v>
      </c>
      <c r="AM451" s="58">
        <f>AA451*Variables!$E$39*Variables!$C$18</f>
        <v>63176753.189834781</v>
      </c>
      <c r="AN451" s="1"/>
      <c r="AO451" s="76">
        <f t="shared" si="16"/>
        <v>0.67714285714285716</v>
      </c>
      <c r="AP451" s="76">
        <f t="shared" si="6"/>
        <v>101.66341290087463</v>
      </c>
      <c r="AQ451" s="75">
        <f>VLOOKUP(B451,'Household Information'!$B$2:$E$48,4,FALSE)</f>
        <v>65.935833333333335</v>
      </c>
      <c r="AR451" s="79">
        <f>IF(12*(AP451-Variables!$C$45*AQ451*F451)*(G451/5)&lt;0,0,12*(AP451-Variables!$C$45*AQ451*F451)*(G451/5))</f>
        <v>13436595.046329614</v>
      </c>
      <c r="AS451" s="1"/>
      <c r="AT451" s="62">
        <v>0</v>
      </c>
      <c r="AU451" s="1"/>
    </row>
    <row r="452" spans="1:47" ht="14.25" customHeight="1">
      <c r="A452" s="1">
        <v>26</v>
      </c>
      <c r="B452" s="3" t="s">
        <v>219</v>
      </c>
      <c r="C452" s="1">
        <v>2028</v>
      </c>
      <c r="D452" s="13">
        <f>VLOOKUP(B452,Population!$B$1:$O$48,12,FALSE)</f>
        <v>49722.211107377465</v>
      </c>
      <c r="E452" s="13" t="str">
        <f t="shared" si="22"/>
        <v>Small</v>
      </c>
      <c r="F452" s="54">
        <f>VLOOKUP(B452,'Household Information'!$B$1:$E$48,2,FALSE)</f>
        <v>3.6899491861166136</v>
      </c>
      <c r="G452" s="54">
        <f t="shared" si="0"/>
        <v>13475.039519366999</v>
      </c>
      <c r="H452" s="55">
        <f>IF(D452&gt;Variables!$C$6,H405,H405*(1+Variables!$C$9))</f>
        <v>4.9556955480024394</v>
      </c>
      <c r="I452" s="1"/>
      <c r="J452" s="13">
        <f>H452*Variables!$C$21</f>
        <v>89.202519864043907</v>
      </c>
      <c r="K452" s="13">
        <f t="shared" si="12"/>
        <v>86.352874989393911</v>
      </c>
      <c r="L452" s="54">
        <f t="shared" si="1"/>
        <v>2.8496448746499965</v>
      </c>
      <c r="M452" s="56"/>
      <c r="N452" s="57"/>
      <c r="O452" s="57"/>
      <c r="P452" s="57"/>
      <c r="Q452" s="57"/>
      <c r="R452" s="57"/>
      <c r="S452" s="58">
        <v>0</v>
      </c>
      <c r="T452" s="59">
        <f>$L452*Variables!$C$22/100</f>
        <v>0.15473184839728485</v>
      </c>
      <c r="U452" s="59">
        <f>$L452*Variables!$C$23/100</f>
        <v>0.27078073469524855</v>
      </c>
      <c r="V452" s="59">
        <f>$L452*Variables!$C$24/100</f>
        <v>0.2836750553950223</v>
      </c>
      <c r="W452" s="59">
        <f>$L452*Variables!$C$25/100</f>
        <v>2.0630913119637984</v>
      </c>
      <c r="X452" s="62">
        <f>T452*Variables!$E$26*Variables!$C$18+'Cost Calculations'!U452*Variables!$E$27*Variables!$C$18+'Cost Calculations'!V452*Variables!$E$28*Variables!$C$18+W452*Variables!$E$29*Variables!$C$18</f>
        <v>3239271.0545995375</v>
      </c>
      <c r="Y452" s="58">
        <f>J452*Variables!$E$30</f>
        <v>58427.650510948763</v>
      </c>
      <c r="Z452" s="1"/>
      <c r="AA452" s="245">
        <f>D452*(IF(D452&lt;Variables!$C$7,Variables!$C$38,IF(D452&gt;Variables!$C$6,Variables!$C$36,Variables!$C$37)))</f>
        <v>24.861105553688734</v>
      </c>
      <c r="AB452" s="64">
        <f t="shared" si="13"/>
        <v>24</v>
      </c>
      <c r="AC452" s="66">
        <f t="shared" si="2"/>
        <v>1</v>
      </c>
      <c r="AD452" s="62">
        <f>AC452*Variables!$E$41</f>
        <v>537600</v>
      </c>
      <c r="AE452" s="71">
        <f>ROUND((H452/(3.14*Variables!$C$35^2)),0)</f>
        <v>6</v>
      </c>
      <c r="AF452" s="57">
        <f t="shared" si="14"/>
        <v>6</v>
      </c>
      <c r="AG452" s="57">
        <f t="shared" si="3"/>
        <v>0</v>
      </c>
      <c r="AH452" s="58">
        <f>AG452*Variables!$E$42*Variables!$C$18</f>
        <v>0</v>
      </c>
      <c r="AI452" s="73">
        <f t="shared" si="4"/>
        <v>0</v>
      </c>
      <c r="AJ452" s="66">
        <f t="shared" si="15"/>
        <v>0</v>
      </c>
      <c r="AK452" s="66">
        <f t="shared" si="5"/>
        <v>0</v>
      </c>
      <c r="AL452" s="62">
        <f>IF(AK452*Variables!$E$43*Variables!$C$18&lt;0,0,AK452*Variables!$E$43*Variables!$C$18)</f>
        <v>0</v>
      </c>
      <c r="AM452" s="58">
        <f>AA452*Variables!$E$39*Variables!$C$18</f>
        <v>7186160.103905906</v>
      </c>
      <c r="AN452" s="1"/>
      <c r="AO452" s="76">
        <f t="shared" si="16"/>
        <v>0.67714285714285716</v>
      </c>
      <c r="AP452" s="76">
        <f t="shared" si="6"/>
        <v>149.91736407593783</v>
      </c>
      <c r="AQ452" s="75">
        <f>VLOOKUP(B452,'Household Information'!$B$2:$E$48,4,FALSE)</f>
        <v>65.935833333333335</v>
      </c>
      <c r="AR452" s="79">
        <f>IF(12*(AP452-Variables!$C$45*AQ452*F452)*(G452/5)&lt;0,0,12*(AP452-Variables!$C$45*AQ452*F452)*(G452/5))</f>
        <v>3668090.6205155137</v>
      </c>
      <c r="AS452" s="1"/>
      <c r="AT452" s="62">
        <v>0</v>
      </c>
      <c r="AU452" s="1"/>
    </row>
    <row r="453" spans="1:47" ht="14.25" customHeight="1">
      <c r="A453" s="1">
        <v>27</v>
      </c>
      <c r="B453" s="3" t="s">
        <v>220</v>
      </c>
      <c r="C453" s="1">
        <v>2028</v>
      </c>
      <c r="D453" s="13">
        <f>VLOOKUP(B453,Population!$B$1:$O$48,12,FALSE)</f>
        <v>9324.9455290770693</v>
      </c>
      <c r="E453" s="13" t="str">
        <f t="shared" ref="E453:E516" si="23">IF(D453&lt;100000,"Small",IF(D453&lt;1000000,"Medium","Large"))</f>
        <v>Small</v>
      </c>
      <c r="F453" s="54">
        <f>VLOOKUP(B453,'Household Information'!$B$1:$E$48,2,FALSE)</f>
        <v>2.667113684852179</v>
      </c>
      <c r="G453" s="54">
        <f t="shared" si="0"/>
        <v>3496.268487555637</v>
      </c>
      <c r="H453" s="55">
        <f>IF(D453&gt;Variables!$C$6,H406,H406*(1+Variables!$C$9))</f>
        <v>0.80759046846491322</v>
      </c>
      <c r="I453" s="1"/>
      <c r="J453" s="13">
        <f>H453*Variables!$C$21</f>
        <v>14.536628432368438</v>
      </c>
      <c r="K453" s="13">
        <f t="shared" si="12"/>
        <v>14.07224436821727</v>
      </c>
      <c r="L453" s="54">
        <f t="shared" si="1"/>
        <v>0.46438406415116873</v>
      </c>
      <c r="M453" s="56"/>
      <c r="N453" s="57"/>
      <c r="O453" s="57"/>
      <c r="P453" s="57"/>
      <c r="Q453" s="57"/>
      <c r="R453" s="57"/>
      <c r="S453" s="58">
        <v>0</v>
      </c>
      <c r="T453" s="59">
        <f>$L453*Variables!$C$22/100</f>
        <v>2.5215424297801013E-2</v>
      </c>
      <c r="U453" s="59">
        <f>$L453*Variables!$C$23/100</f>
        <v>4.4126992521151778E-2</v>
      </c>
      <c r="V453" s="59">
        <f>$L453*Variables!$C$24/100</f>
        <v>4.6228277879301866E-2</v>
      </c>
      <c r="W453" s="59">
        <f>$L453*Variables!$C$25/100</f>
        <v>0.33620565730401353</v>
      </c>
      <c r="X453" s="62">
        <f>T453*Variables!$E$26*Variables!$C$18+'Cost Calculations'!U453*Variables!$E$27*Variables!$C$18+'Cost Calculations'!V453*Variables!$E$28*Variables!$C$18+W453*Variables!$E$29*Variables!$C$18</f>
        <v>527878.35796800291</v>
      </c>
      <c r="Y453" s="58">
        <f>J453*Variables!$E$30</f>
        <v>9521.4916232013275</v>
      </c>
      <c r="Z453" s="1"/>
      <c r="AA453" s="245">
        <f>D453*(IF(D453&lt;Variables!$C$7,Variables!$C$38,IF(D453&gt;Variables!$C$6,Variables!$C$36,Variables!$C$37)))</f>
        <v>4.6624727645385349</v>
      </c>
      <c r="AB453" s="64">
        <f t="shared" si="13"/>
        <v>78</v>
      </c>
      <c r="AC453" s="66">
        <f t="shared" si="2"/>
        <v>0</v>
      </c>
      <c r="AD453" s="62">
        <f>AC453*Variables!$E$41</f>
        <v>0</v>
      </c>
      <c r="AE453" s="71">
        <f>ROUND((H453/(3.14*Variables!$C$35^2)),0)</f>
        <v>1</v>
      </c>
      <c r="AF453" s="57">
        <f t="shared" si="14"/>
        <v>1</v>
      </c>
      <c r="AG453" s="57">
        <f t="shared" si="3"/>
        <v>0</v>
      </c>
      <c r="AH453" s="58">
        <f>AG453*Variables!$E$42*Variables!$C$18</f>
        <v>0</v>
      </c>
      <c r="AI453" s="73">
        <f t="shared" si="4"/>
        <v>0</v>
      </c>
      <c r="AJ453" s="66">
        <f t="shared" si="15"/>
        <v>0</v>
      </c>
      <c r="AK453" s="66">
        <f t="shared" si="5"/>
        <v>0</v>
      </c>
      <c r="AL453" s="62">
        <f>IF(AK453*Variables!$E$43*Variables!$C$18&lt;0,0,AK453*Variables!$E$43*Variables!$C$18)</f>
        <v>0</v>
      </c>
      <c r="AM453" s="58">
        <f>AA453*Variables!$E$39*Variables!$C$18</f>
        <v>1347698.5443675651</v>
      </c>
      <c r="AN453" s="1"/>
      <c r="AO453" s="76">
        <f t="shared" si="16"/>
        <v>0.67714285714285716</v>
      </c>
      <c r="AP453" s="76">
        <f t="shared" si="6"/>
        <v>108.3610188531371</v>
      </c>
      <c r="AQ453" s="75">
        <f>VLOOKUP(B453,'Household Information'!$B$2:$E$48,4,FALSE)</f>
        <v>65.935833333333335</v>
      </c>
      <c r="AR453" s="79">
        <f>IF(12*(AP453-Variables!$C$45*AQ453*F453)*(G453/5)&lt;0,0,12*(AP453-Variables!$C$45*AQ453*F453)*(G453/5))</f>
        <v>687916.8176603996</v>
      </c>
      <c r="AS453" s="1"/>
      <c r="AT453" s="62">
        <v>0</v>
      </c>
      <c r="AU453" s="1"/>
    </row>
    <row r="454" spans="1:47" ht="14.25" customHeight="1">
      <c r="A454" s="1">
        <v>28</v>
      </c>
      <c r="B454" s="3" t="s">
        <v>221</v>
      </c>
      <c r="C454" s="1">
        <v>2028</v>
      </c>
      <c r="D454" s="13">
        <f>VLOOKUP(B454,Population!$B$1:$O$48,12,FALSE)</f>
        <v>55805.76611215929</v>
      </c>
      <c r="E454" s="13" t="str">
        <f t="shared" si="23"/>
        <v>Small</v>
      </c>
      <c r="F454" s="54">
        <f>VLOOKUP(B454,'Household Information'!$B$1:$E$48,2,FALSE)</f>
        <v>2.5363152064982328</v>
      </c>
      <c r="G454" s="54">
        <f t="shared" si="0"/>
        <v>22002.693501651793</v>
      </c>
      <c r="H454" s="55">
        <f>IF(D454&gt;Variables!$C$6,H407,H407*(1+Variables!$C$9))</f>
        <v>6.9647613107061312</v>
      </c>
      <c r="I454" s="1"/>
      <c r="J454" s="13">
        <f>H454*Variables!$C$21</f>
        <v>125.36570359271036</v>
      </c>
      <c r="K454" s="13">
        <f t="shared" si="12"/>
        <v>124.62</v>
      </c>
      <c r="L454" s="54">
        <f t="shared" si="1"/>
        <v>0.74570359271035613</v>
      </c>
      <c r="M454" s="56"/>
      <c r="N454" s="57"/>
      <c r="O454" s="57"/>
      <c r="P454" s="57"/>
      <c r="Q454" s="57"/>
      <c r="R454" s="57"/>
      <c r="S454" s="58">
        <v>0</v>
      </c>
      <c r="T454" s="59">
        <f>$L454*Variables!$C$22/100</f>
        <v>4.0490692816851907E-2</v>
      </c>
      <c r="U454" s="59">
        <f>$L454*Variables!$C$23/100</f>
        <v>7.0858712429490864E-2</v>
      </c>
      <c r="V454" s="59">
        <f>$L454*Variables!$C$24/100</f>
        <v>7.4232936830895185E-2</v>
      </c>
      <c r="W454" s="59">
        <f>$L454*Variables!$C$25/100</f>
        <v>0.53987590422469223</v>
      </c>
      <c r="X454" s="62">
        <f>T454*Variables!$E$26*Variables!$C$18+'Cost Calculations'!U454*Variables!$E$27*Variables!$C$18+'Cost Calculations'!V454*Variables!$E$28*Variables!$C$18+W454*Variables!$E$29*Variables!$C$18</f>
        <v>847662.13666333572</v>
      </c>
      <c r="Y454" s="58">
        <f>J454*Variables!$E$30</f>
        <v>82114.535853225287</v>
      </c>
      <c r="Z454" s="1"/>
      <c r="AA454" s="245">
        <f>D454*(IF(D454&lt;Variables!$C$7,Variables!$C$38,IF(D454&gt;Variables!$C$6,Variables!$C$36,Variables!$C$37)))</f>
        <v>44.644612889727433</v>
      </c>
      <c r="AB454" s="64">
        <f t="shared" si="13"/>
        <v>44</v>
      </c>
      <c r="AC454" s="66">
        <f t="shared" si="2"/>
        <v>1</v>
      </c>
      <c r="AD454" s="62">
        <f>AC454*Variables!$E$41</f>
        <v>537600</v>
      </c>
      <c r="AE454" s="71">
        <f>ROUND((H454/(3.14*Variables!$C$35^2)),0)</f>
        <v>9</v>
      </c>
      <c r="AF454" s="57">
        <f t="shared" si="14"/>
        <v>9</v>
      </c>
      <c r="AG454" s="57">
        <f t="shared" si="3"/>
        <v>0</v>
      </c>
      <c r="AH454" s="58">
        <f>AG454*Variables!$E$42*Variables!$C$18</f>
        <v>0</v>
      </c>
      <c r="AI454" s="73">
        <f t="shared" si="4"/>
        <v>0</v>
      </c>
      <c r="AJ454" s="66">
        <f t="shared" si="15"/>
        <v>0</v>
      </c>
      <c r="AK454" s="66">
        <f t="shared" si="5"/>
        <v>0</v>
      </c>
      <c r="AL454" s="62">
        <f>IF(AK454*Variables!$E$43*Variables!$C$18&lt;0,0,AK454*Variables!$E$43*Variables!$C$18)</f>
        <v>0</v>
      </c>
      <c r="AM454" s="58">
        <f>AA454*Variables!$E$39*Variables!$C$18</f>
        <v>12904628.69037137</v>
      </c>
      <c r="AN454" s="1"/>
      <c r="AO454" s="76">
        <f t="shared" si="16"/>
        <v>0.67714285714285716</v>
      </c>
      <c r="AP454" s="76">
        <f t="shared" si="6"/>
        <v>103.04686353258533</v>
      </c>
      <c r="AQ454" s="75">
        <f>VLOOKUP(B454,'Household Information'!$B$2:$E$48,4,FALSE)</f>
        <v>65.935833333333335</v>
      </c>
      <c r="AR454" s="79">
        <f>IF(12*(AP454-Variables!$C$45*AQ454*F454)*(G454/5)&lt;0,0,12*(AP454-Variables!$C$45*AQ454*F454)*(G454/5))</f>
        <v>4116884.6414459203</v>
      </c>
      <c r="AS454" s="1"/>
      <c r="AT454" s="62">
        <v>0</v>
      </c>
      <c r="AU454" s="1"/>
    </row>
    <row r="455" spans="1:47" ht="14.25" customHeight="1">
      <c r="A455" s="1">
        <v>29</v>
      </c>
      <c r="B455" s="3" t="s">
        <v>222</v>
      </c>
      <c r="C455" s="1">
        <v>2028</v>
      </c>
      <c r="D455" s="13">
        <f>VLOOKUP(B455,Population!$B$1:$O$48,12,FALSE)</f>
        <v>56195.70782936774</v>
      </c>
      <c r="E455" s="13" t="str">
        <f t="shared" si="23"/>
        <v>Small</v>
      </c>
      <c r="F455" s="54">
        <f>VLOOKUP(B455,'Household Information'!$B$1:$E$48,2,FALSE)</f>
        <v>2.6066968130921619</v>
      </c>
      <c r="G455" s="54">
        <f t="shared" si="0"/>
        <v>21558.20636566716</v>
      </c>
      <c r="H455" s="55">
        <f>IF(D455&gt;Variables!$C$6,H408,H408*(1+Variables!$C$9))</f>
        <v>4.3931571344454055</v>
      </c>
      <c r="I455" s="1"/>
      <c r="J455" s="13">
        <f>H455*Variables!$C$21</f>
        <v>79.076828420017293</v>
      </c>
      <c r="K455" s="13">
        <f t="shared" si="12"/>
        <v>76.550656747354608</v>
      </c>
      <c r="L455" s="54">
        <f t="shared" si="1"/>
        <v>2.5261716726626844</v>
      </c>
      <c r="M455" s="56"/>
      <c r="N455" s="57"/>
      <c r="O455" s="57"/>
      <c r="P455" s="57"/>
      <c r="Q455" s="57"/>
      <c r="R455" s="57"/>
      <c r="S455" s="58">
        <v>0</v>
      </c>
      <c r="T455" s="59">
        <f>$L455*Variables!$C$22/100</f>
        <v>0.13716769263326792</v>
      </c>
      <c r="U455" s="59">
        <f>$L455*Variables!$C$23/100</f>
        <v>0.24004346210821886</v>
      </c>
      <c r="V455" s="59">
        <f>$L455*Variables!$C$24/100</f>
        <v>0.25147410316099122</v>
      </c>
      <c r="W455" s="59">
        <f>$L455*Variables!$C$25/100</f>
        <v>1.8289025684435722</v>
      </c>
      <c r="X455" s="62">
        <f>T455*Variables!$E$26*Variables!$C$18+'Cost Calculations'!U455*Variables!$E$27*Variables!$C$18+'Cost Calculations'!V455*Variables!$E$28*Variables!$C$18+W455*Variables!$E$29*Variables!$C$18</f>
        <v>2871570.0159693025</v>
      </c>
      <c r="Y455" s="58">
        <f>J455*Variables!$E$30</f>
        <v>51795.322615111327</v>
      </c>
      <c r="Z455" s="1"/>
      <c r="AA455" s="245">
        <f>D455*(IF(D455&lt;Variables!$C$7,Variables!$C$38,IF(D455&gt;Variables!$C$6,Variables!$C$36,Variables!$C$37)))</f>
        <v>44.956566263494196</v>
      </c>
      <c r="AB455" s="64">
        <f t="shared" si="13"/>
        <v>44</v>
      </c>
      <c r="AC455" s="66">
        <f t="shared" si="2"/>
        <v>1</v>
      </c>
      <c r="AD455" s="62">
        <f>AC455*Variables!$E$41</f>
        <v>537600</v>
      </c>
      <c r="AE455" s="71">
        <f>ROUND((H455/(3.14*Variables!$C$35^2)),0)</f>
        <v>6</v>
      </c>
      <c r="AF455" s="57">
        <f t="shared" si="14"/>
        <v>5</v>
      </c>
      <c r="AG455" s="57">
        <f t="shared" si="3"/>
        <v>1</v>
      </c>
      <c r="AH455" s="58">
        <f>AG455*Variables!$E$42*Variables!$C$18</f>
        <v>1148.2560000000001</v>
      </c>
      <c r="AI455" s="73">
        <f t="shared" si="4"/>
        <v>0</v>
      </c>
      <c r="AJ455" s="66">
        <f t="shared" si="15"/>
        <v>0</v>
      </c>
      <c r="AK455" s="66">
        <f t="shared" si="5"/>
        <v>0</v>
      </c>
      <c r="AL455" s="62">
        <f>IF(AK455*Variables!$E$43*Variables!$C$18&lt;0,0,AK455*Variables!$E$43*Variables!$C$18)</f>
        <v>0</v>
      </c>
      <c r="AM455" s="58">
        <f>AA455*Variables!$E$39*Variables!$C$18</f>
        <v>12994799.535107153</v>
      </c>
      <c r="AN455" s="1"/>
      <c r="AO455" s="76">
        <f t="shared" si="16"/>
        <v>0.67714285714285716</v>
      </c>
      <c r="AP455" s="76">
        <f t="shared" si="6"/>
        <v>105.9063676633444</v>
      </c>
      <c r="AQ455" s="75">
        <f>VLOOKUP(B455,'Household Information'!$B$2:$E$48,4,FALSE)</f>
        <v>65.935833333333335</v>
      </c>
      <c r="AR455" s="79">
        <f>IF(12*(AP455-Variables!$C$45*AQ455*F455)*(G455/5)&lt;0,0,12*(AP455-Variables!$C$45*AQ455*F455)*(G455/5))</f>
        <v>4145651.2936841161</v>
      </c>
      <c r="AS455" s="1"/>
      <c r="AT455" s="62">
        <v>0</v>
      </c>
      <c r="AU455" s="1"/>
    </row>
    <row r="456" spans="1:47" ht="14.25" customHeight="1">
      <c r="A456" s="1">
        <v>30</v>
      </c>
      <c r="B456" s="3" t="s">
        <v>223</v>
      </c>
      <c r="C456" s="1">
        <v>2028</v>
      </c>
      <c r="D456" s="13">
        <f>VLOOKUP(B456,Population!$B$1:$O$48,12,FALSE)</f>
        <v>22964.781845597641</v>
      </c>
      <c r="E456" s="13" t="str">
        <f t="shared" si="23"/>
        <v>Small</v>
      </c>
      <c r="F456" s="54">
        <f>VLOOKUP(B456,'Household Information'!$B$1:$E$48,2,FALSE)</f>
        <v>2.8820273812991553</v>
      </c>
      <c r="G456" s="54">
        <f t="shared" si="0"/>
        <v>7968.2733046226704</v>
      </c>
      <c r="H456" s="55">
        <f>IF(D456&gt;Variables!$C$6,H409,H409*(1+Variables!$C$9))</f>
        <v>4.5538823954617005</v>
      </c>
      <c r="I456" s="1"/>
      <c r="J456" s="13">
        <f>H456*Variables!$C$21</f>
        <v>81.969883118310605</v>
      </c>
      <c r="K456" s="13">
        <f t="shared" si="12"/>
        <v>79.351290530794401</v>
      </c>
      <c r="L456" s="54">
        <f t="shared" si="1"/>
        <v>2.6185925875162042</v>
      </c>
      <c r="M456" s="56"/>
      <c r="N456" s="57"/>
      <c r="O456" s="57"/>
      <c r="P456" s="57"/>
      <c r="Q456" s="57"/>
      <c r="R456" s="57"/>
      <c r="S456" s="58">
        <v>0</v>
      </c>
      <c r="T456" s="59">
        <f>$L456*Variables!$C$22/100</f>
        <v>0.1421860228515586</v>
      </c>
      <c r="U456" s="59">
        <f>$L456*Variables!$C$23/100</f>
        <v>0.24882553999022755</v>
      </c>
      <c r="V456" s="59">
        <f>$L456*Variables!$C$24/100</f>
        <v>0.26067437522785741</v>
      </c>
      <c r="W456" s="59">
        <f>$L456*Variables!$C$25/100</f>
        <v>1.8958136380207813</v>
      </c>
      <c r="X456" s="62">
        <f>T456*Variables!$E$26*Variables!$C$18+'Cost Calculations'!U456*Variables!$E$27*Variables!$C$18+'Cost Calculations'!V456*Variables!$E$28*Variables!$C$18+W456*Variables!$E$29*Variables!$C$18</f>
        <v>2976627.4555779435</v>
      </c>
      <c r="Y456" s="58">
        <f>J456*Variables!$E$30</f>
        <v>53690.273442493446</v>
      </c>
      <c r="Z456" s="1"/>
      <c r="AA456" s="245">
        <f>D456*(IF(D456&lt;Variables!$C$7,Variables!$C$38,IF(D456&gt;Variables!$C$6,Variables!$C$36,Variables!$C$37)))</f>
        <v>11.482390922798821</v>
      </c>
      <c r="AB456" s="64">
        <f t="shared" si="13"/>
        <v>11</v>
      </c>
      <c r="AC456" s="66">
        <f t="shared" si="2"/>
        <v>0</v>
      </c>
      <c r="AD456" s="62">
        <f>AC456*Variables!$E$41</f>
        <v>0</v>
      </c>
      <c r="AE456" s="71">
        <f>ROUND((H456/(3.14*Variables!$C$35^2)),0)</f>
        <v>6</v>
      </c>
      <c r="AF456" s="57">
        <f t="shared" si="14"/>
        <v>6</v>
      </c>
      <c r="AG456" s="57">
        <f t="shared" si="3"/>
        <v>0</v>
      </c>
      <c r="AH456" s="58">
        <f>AG456*Variables!$E$42*Variables!$C$18</f>
        <v>0</v>
      </c>
      <c r="AI456" s="73">
        <f t="shared" si="4"/>
        <v>0</v>
      </c>
      <c r="AJ456" s="66">
        <f t="shared" si="15"/>
        <v>0</v>
      </c>
      <c r="AK456" s="66">
        <f t="shared" si="5"/>
        <v>0</v>
      </c>
      <c r="AL456" s="62">
        <f>IF(AK456*Variables!$E$43*Variables!$C$18&lt;0,0,AK456*Variables!$E$43*Variables!$C$18)</f>
        <v>0</v>
      </c>
      <c r="AM456" s="58">
        <f>AA456*Variables!$E$39*Variables!$C$18</f>
        <v>3319011.673421951</v>
      </c>
      <c r="AN456" s="1"/>
      <c r="AO456" s="76">
        <f t="shared" si="16"/>
        <v>0.67714285714285716</v>
      </c>
      <c r="AP456" s="76">
        <f t="shared" si="6"/>
        <v>117.09265532021139</v>
      </c>
      <c r="AQ456" s="75">
        <f>VLOOKUP(B456,'Household Information'!$B$2:$E$48,4,FALSE)</f>
        <v>65.935833333333335</v>
      </c>
      <c r="AR456" s="79">
        <f>IF(12*(AP456-Variables!$C$45*AQ456*F456)*(G456/5)&lt;0,0,12*(AP456-Variables!$C$45*AQ456*F456)*(G456/5))</f>
        <v>1694150.3407422511</v>
      </c>
      <c r="AS456" s="1"/>
      <c r="AT456" s="62">
        <v>0</v>
      </c>
      <c r="AU456" s="1"/>
    </row>
    <row r="457" spans="1:47" ht="14.25" customHeight="1">
      <c r="A457" s="1">
        <v>31</v>
      </c>
      <c r="B457" s="3" t="s">
        <v>224</v>
      </c>
      <c r="C457" s="1">
        <v>2028</v>
      </c>
      <c r="D457" s="13">
        <f>VLOOKUP(B457,Population!$B$1:$O$48,12,FALSE)</f>
        <v>34936.92099655707</v>
      </c>
      <c r="E457" s="13" t="str">
        <f t="shared" si="23"/>
        <v>Small</v>
      </c>
      <c r="F457" s="54">
        <f>VLOOKUP(B457,'Household Information'!$B$1:$E$48,2,FALSE)</f>
        <v>3.407</v>
      </c>
      <c r="G457" s="54">
        <f t="shared" si="0"/>
        <v>10254.452890095999</v>
      </c>
      <c r="H457" s="55">
        <f>IF(D457&gt;Variables!$C$6,H410,H410*(1+Variables!$C$9))</f>
        <v>4.8619391457429337</v>
      </c>
      <c r="I457" s="1"/>
      <c r="J457" s="13">
        <f>H457*Variables!$C$21</f>
        <v>87.514904623372814</v>
      </c>
      <c r="K457" s="13">
        <f t="shared" si="12"/>
        <v>84.719171949054029</v>
      </c>
      <c r="L457" s="54">
        <f t="shared" si="1"/>
        <v>2.7957326743187849</v>
      </c>
      <c r="M457" s="56"/>
      <c r="N457" s="57"/>
      <c r="O457" s="57"/>
      <c r="P457" s="57"/>
      <c r="Q457" s="57"/>
      <c r="R457" s="57"/>
      <c r="S457" s="58">
        <v>0</v>
      </c>
      <c r="T457" s="59">
        <f>$L457*Variables!$C$22/100</f>
        <v>0.15180448910328243</v>
      </c>
      <c r="U457" s="59">
        <f>$L457*Variables!$C$23/100</f>
        <v>0.26565785593074426</v>
      </c>
      <c r="V457" s="59">
        <f>$L457*Variables!$C$24/100</f>
        <v>0.27830823002268451</v>
      </c>
      <c r="W457" s="59">
        <f>$L457*Variables!$C$25/100</f>
        <v>2.0240598547104325</v>
      </c>
      <c r="X457" s="62">
        <f>T457*Variables!$E$26*Variables!$C$18+'Cost Calculations'!U457*Variables!$E$27*Variables!$C$18+'Cost Calculations'!V457*Variables!$E$28*Variables!$C$18+W457*Variables!$E$29*Variables!$C$18</f>
        <v>3177987.5481611732</v>
      </c>
      <c r="Y457" s="58">
        <f>J457*Variables!$E$30</f>
        <v>57322.262528309191</v>
      </c>
      <c r="Z457" s="1"/>
      <c r="AA457" s="245">
        <f>D457*(IF(D457&lt;Variables!$C$7,Variables!$C$38,IF(D457&gt;Variables!$C$6,Variables!$C$36,Variables!$C$37)))</f>
        <v>17.468460498278535</v>
      </c>
      <c r="AB457" s="64">
        <f t="shared" si="13"/>
        <v>17</v>
      </c>
      <c r="AC457" s="66">
        <f t="shared" si="2"/>
        <v>0</v>
      </c>
      <c r="AD457" s="62">
        <f>AC457*Variables!$E$41</f>
        <v>0</v>
      </c>
      <c r="AE457" s="71">
        <f>ROUND((H457/(3.14*Variables!$C$35^2)),0)</f>
        <v>6</v>
      </c>
      <c r="AF457" s="57">
        <f t="shared" si="14"/>
        <v>6</v>
      </c>
      <c r="AG457" s="57">
        <f t="shared" si="3"/>
        <v>0</v>
      </c>
      <c r="AH457" s="58">
        <f>AG457*Variables!$E$42*Variables!$C$18</f>
        <v>0</v>
      </c>
      <c r="AI457" s="73">
        <f t="shared" si="4"/>
        <v>0</v>
      </c>
      <c r="AJ457" s="66">
        <f t="shared" si="15"/>
        <v>0</v>
      </c>
      <c r="AK457" s="66">
        <f t="shared" si="5"/>
        <v>0</v>
      </c>
      <c r="AL457" s="62">
        <f>IF(AK457*Variables!$E$43*Variables!$C$18&lt;0,0,AK457*Variables!$E$43*Variables!$C$18)</f>
        <v>0</v>
      </c>
      <c r="AM457" s="58">
        <f>AA457*Variables!$E$39*Variables!$C$18</f>
        <v>5049298.9395944215</v>
      </c>
      <c r="AN457" s="1"/>
      <c r="AO457" s="76">
        <f t="shared" si="16"/>
        <v>0.67714285714285716</v>
      </c>
      <c r="AP457" s="76">
        <f t="shared" si="6"/>
        <v>138.42154285714284</v>
      </c>
      <c r="AQ457" s="75">
        <f>VLOOKUP(B457,'Household Information'!$B$2:$E$48,4,FALSE)</f>
        <v>65.935833333333335</v>
      </c>
      <c r="AR457" s="79">
        <f>IF(12*(AP457-Variables!$C$45*AQ457*F457)*(G457/5)&lt;0,0,12*(AP457-Variables!$C$45*AQ457*F457)*(G457/5))</f>
        <v>2577355.0564839658</v>
      </c>
      <c r="AS457" s="1"/>
      <c r="AT457" s="62">
        <v>0</v>
      </c>
      <c r="AU457" s="1"/>
    </row>
    <row r="458" spans="1:47" ht="14.25" customHeight="1">
      <c r="A458" s="1">
        <v>32</v>
      </c>
      <c r="B458" s="3" t="s">
        <v>225</v>
      </c>
      <c r="C458" s="1">
        <v>2028</v>
      </c>
      <c r="D458" s="13">
        <f>VLOOKUP(B458,Population!$B$1:$O$48,12,FALSE)</f>
        <v>32157.425720621843</v>
      </c>
      <c r="E458" s="13" t="str">
        <f t="shared" si="23"/>
        <v>Small</v>
      </c>
      <c r="F458" s="54">
        <f>VLOOKUP(B458,'Household Information'!$B$1:$E$48,2,FALSE)</f>
        <v>4.9791554357592096</v>
      </c>
      <c r="G458" s="54">
        <f t="shared" si="0"/>
        <v>6458.409691264952</v>
      </c>
      <c r="H458" s="55">
        <f>IF(D458&gt;Variables!$C$6,H411,H411*(1+Variables!$C$9))</f>
        <v>4.1520692429209616</v>
      </c>
      <c r="I458" s="1"/>
      <c r="J458" s="13">
        <f>H458*Variables!$C$21</f>
        <v>74.737246372577303</v>
      </c>
      <c r="K458" s="13">
        <f t="shared" si="12"/>
        <v>72.349706072194891</v>
      </c>
      <c r="L458" s="54">
        <f t="shared" si="1"/>
        <v>2.3875403003824118</v>
      </c>
      <c r="M458" s="56"/>
      <c r="N458" s="57"/>
      <c r="O458" s="57"/>
      <c r="P458" s="57"/>
      <c r="Q458" s="57"/>
      <c r="R458" s="57"/>
      <c r="S458" s="58">
        <v>0</v>
      </c>
      <c r="T458" s="59">
        <f>$L458*Variables!$C$22/100</f>
        <v>0.12964019730583229</v>
      </c>
      <c r="U458" s="59">
        <f>$L458*Variables!$C$23/100</f>
        <v>0.22687034528520655</v>
      </c>
      <c r="V458" s="59">
        <f>$L458*Variables!$C$24/100</f>
        <v>0.23767369506069258</v>
      </c>
      <c r="W458" s="59">
        <f>$L458*Variables!$C$25/100</f>
        <v>1.7285359640777642</v>
      </c>
      <c r="X458" s="62">
        <f>T458*Variables!$E$26*Variables!$C$18+'Cost Calculations'!U458*Variables!$E$27*Variables!$C$18+'Cost Calculations'!V458*Variables!$E$28*Variables!$C$18+W458*Variables!$E$29*Variables!$C$18</f>
        <v>2713983.8565563494</v>
      </c>
      <c r="Y458" s="58">
        <f>J458*Variables!$E$30</f>
        <v>48952.896374038137</v>
      </c>
      <c r="Z458" s="1"/>
      <c r="AA458" s="245">
        <f>D458*(IF(D458&lt;Variables!$C$7,Variables!$C$38,IF(D458&gt;Variables!$C$6,Variables!$C$36,Variables!$C$37)))</f>
        <v>16.078712860310922</v>
      </c>
      <c r="AB458" s="64">
        <f t="shared" si="13"/>
        <v>16</v>
      </c>
      <c r="AC458" s="66">
        <f t="shared" si="2"/>
        <v>0</v>
      </c>
      <c r="AD458" s="62">
        <f>AC458*Variables!$E$41</f>
        <v>0</v>
      </c>
      <c r="AE458" s="71">
        <f>ROUND((H458/(3.14*Variables!$C$35^2)),0)</f>
        <v>5</v>
      </c>
      <c r="AF458" s="57">
        <f t="shared" si="14"/>
        <v>5</v>
      </c>
      <c r="AG458" s="57">
        <f t="shared" si="3"/>
        <v>0</v>
      </c>
      <c r="AH458" s="58">
        <f>AG458*Variables!$E$42*Variables!$C$18</f>
        <v>0</v>
      </c>
      <c r="AI458" s="73">
        <f t="shared" si="4"/>
        <v>0</v>
      </c>
      <c r="AJ458" s="66">
        <f t="shared" si="15"/>
        <v>1</v>
      </c>
      <c r="AK458" s="66">
        <f t="shared" si="5"/>
        <v>0</v>
      </c>
      <c r="AL458" s="62">
        <f>IF(AK458*Variables!$E$43*Variables!$C$18&lt;0,0,AK458*Variables!$E$43*Variables!$C$18)</f>
        <v>0</v>
      </c>
      <c r="AM458" s="58">
        <f>AA458*Variables!$E$39*Variables!$C$18</f>
        <v>4647589.1681245631</v>
      </c>
      <c r="AN458" s="1"/>
      <c r="AO458" s="76">
        <f t="shared" si="16"/>
        <v>0.67714285714285716</v>
      </c>
      <c r="AP458" s="76">
        <f t="shared" si="6"/>
        <v>202.29597227570272</v>
      </c>
      <c r="AQ458" s="75">
        <f>VLOOKUP(B458,'Household Information'!$B$2:$E$48,4,FALSE)</f>
        <v>65.935833333333335</v>
      </c>
      <c r="AR458" s="79">
        <f>IF(12*(AP458-Variables!$C$45*AQ458*F458)*(G458/5)&lt;0,0,12*(AP458-Variables!$C$45*AQ458*F458)*(G458/5))</f>
        <v>2372307.0442504063</v>
      </c>
      <c r="AS458" s="1"/>
      <c r="AT458" s="62">
        <v>0</v>
      </c>
      <c r="AU458" s="1"/>
    </row>
    <row r="459" spans="1:47" ht="14.25" customHeight="1">
      <c r="A459" s="1">
        <v>33</v>
      </c>
      <c r="B459" s="3" t="s">
        <v>226</v>
      </c>
      <c r="C459" s="1">
        <v>2028</v>
      </c>
      <c r="D459" s="13">
        <f>VLOOKUP(B459,Population!$B$1:$O$48,12,FALSE)</f>
        <v>137875.73163546273</v>
      </c>
      <c r="E459" s="13" t="str">
        <f t="shared" si="23"/>
        <v>Medium</v>
      </c>
      <c r="F459" s="54">
        <f>VLOOKUP(B459,'Household Information'!$B$1:$E$48,2,FALSE)</f>
        <v>2.6362587373793409</v>
      </c>
      <c r="G459" s="54">
        <f t="shared" si="0"/>
        <v>52299.772279758319</v>
      </c>
      <c r="H459" s="55">
        <f>IF(D459&gt;Variables!$C$6,H412,H412*(1+Variables!$C$9))</f>
        <v>12.015102013299996</v>
      </c>
      <c r="I459" s="1"/>
      <c r="J459" s="13">
        <f>H459*Variables!$C$21</f>
        <v>216.27183623939993</v>
      </c>
      <c r="K459" s="13">
        <f t="shared" si="12"/>
        <v>216.27183623939993</v>
      </c>
      <c r="L459" s="54">
        <f t="shared" si="1"/>
        <v>0</v>
      </c>
      <c r="M459" s="56"/>
      <c r="N459" s="57"/>
      <c r="O459" s="57"/>
      <c r="P459" s="57"/>
      <c r="Q459" s="57"/>
      <c r="R459" s="57"/>
      <c r="S459" s="58">
        <v>0</v>
      </c>
      <c r="T459" s="59">
        <f>$L459*Variables!$C$22/100</f>
        <v>0</v>
      </c>
      <c r="U459" s="59">
        <f>$L459*Variables!$C$23/100</f>
        <v>0</v>
      </c>
      <c r="V459" s="59">
        <f>$L459*Variables!$C$24/100</f>
        <v>0</v>
      </c>
      <c r="W459" s="59">
        <f>$L459*Variables!$C$25/100</f>
        <v>0</v>
      </c>
      <c r="X459" s="62">
        <f>T459*Variables!$E$26*Variables!$C$18+'Cost Calculations'!U459*Variables!$E$27*Variables!$C$18+'Cost Calculations'!V459*Variables!$E$28*Variables!$C$18+W459*Variables!$E$29*Variables!$C$18</f>
        <v>0</v>
      </c>
      <c r="Y459" s="58">
        <f>J459*Variables!$E$30</f>
        <v>141658.05273680695</v>
      </c>
      <c r="Z459" s="1"/>
      <c r="AA459" s="245">
        <f>D459*(IF(D459&lt;Variables!$C$7,Variables!$C$38,IF(D459&gt;Variables!$C$6,Variables!$C$36,Variables!$C$37)))</f>
        <v>165.45087796255527</v>
      </c>
      <c r="AB459" s="64">
        <f t="shared" si="13"/>
        <v>163</v>
      </c>
      <c r="AC459" s="66">
        <f t="shared" si="2"/>
        <v>2</v>
      </c>
      <c r="AD459" s="62">
        <f>AC459*Variables!$E$41</f>
        <v>1075200</v>
      </c>
      <c r="AE459" s="71">
        <f>ROUND((H459/(3.14*Variables!$C$35^2)),0)</f>
        <v>15</v>
      </c>
      <c r="AF459" s="57">
        <f t="shared" si="14"/>
        <v>15</v>
      </c>
      <c r="AG459" s="57">
        <f t="shared" si="3"/>
        <v>0</v>
      </c>
      <c r="AH459" s="58">
        <f>AG459*Variables!$E$42*Variables!$C$18</f>
        <v>0</v>
      </c>
      <c r="AI459" s="73">
        <f t="shared" si="4"/>
        <v>1</v>
      </c>
      <c r="AJ459" s="66">
        <f t="shared" si="15"/>
        <v>1</v>
      </c>
      <c r="AK459" s="66">
        <f t="shared" si="5"/>
        <v>0</v>
      </c>
      <c r="AL459" s="62">
        <f>IF(AK459*Variables!$E$43*Variables!$C$18&lt;0,0,AK459*Variables!$E$43*Variables!$C$18)</f>
        <v>0</v>
      </c>
      <c r="AM459" s="58">
        <f>AA459*Variables!$E$39*Variables!$C$18</f>
        <v>47823959.228326023</v>
      </c>
      <c r="AN459" s="1"/>
      <c r="AO459" s="76">
        <f t="shared" si="16"/>
        <v>0.67714285714285716</v>
      </c>
      <c r="AP459" s="76">
        <f t="shared" si="6"/>
        <v>107.10742641581207</v>
      </c>
      <c r="AQ459" s="75">
        <f>VLOOKUP(B459,'Household Information'!$B$2:$E$48,4,FALSE)</f>
        <v>40.760000000000005</v>
      </c>
      <c r="AR459" s="79">
        <f>IF(12*(AP459-Variables!$C$45*AQ459*F459)*(G459/5)&lt;0,0,12*(AP459-Variables!$C$45*AQ459*F459)*(G459/5))</f>
        <v>11420932.290716935</v>
      </c>
      <c r="AS459" s="1"/>
      <c r="AT459" s="62">
        <v>0</v>
      </c>
      <c r="AU459" s="1"/>
    </row>
    <row r="460" spans="1:47" ht="14.25" customHeight="1">
      <c r="A460" s="1">
        <v>34</v>
      </c>
      <c r="B460" s="3" t="s">
        <v>227</v>
      </c>
      <c r="C460" s="1">
        <v>2028</v>
      </c>
      <c r="D460" s="13">
        <f>VLOOKUP(B460,Population!$B$1:$O$48,12,FALSE)</f>
        <v>122456.78623417859</v>
      </c>
      <c r="E460" s="13" t="str">
        <f t="shared" si="23"/>
        <v>Medium</v>
      </c>
      <c r="F460" s="54">
        <f>VLOOKUP(B460,'Household Information'!$B$1:$E$48,2,FALSE)</f>
        <v>2.8808529227072923</v>
      </c>
      <c r="G460" s="54">
        <f t="shared" si="0"/>
        <v>42507.128798196114</v>
      </c>
      <c r="H460" s="55">
        <f>IF(D460&gt;Variables!$C$6,H413,H413*(1+Variables!$C$9))</f>
        <v>8.2342029393899967</v>
      </c>
      <c r="I460" s="1"/>
      <c r="J460" s="13">
        <f>H460*Variables!$C$21</f>
        <v>148.21565290901995</v>
      </c>
      <c r="K460" s="13">
        <f t="shared" si="12"/>
        <v>148.21565290901995</v>
      </c>
      <c r="L460" s="54">
        <f t="shared" si="1"/>
        <v>0</v>
      </c>
      <c r="M460" s="56"/>
      <c r="N460" s="57"/>
      <c r="O460" s="57"/>
      <c r="P460" s="57"/>
      <c r="Q460" s="57"/>
      <c r="R460" s="57"/>
      <c r="S460" s="58">
        <v>0</v>
      </c>
      <c r="T460" s="59">
        <f>$L460*Variables!$C$22/100</f>
        <v>0</v>
      </c>
      <c r="U460" s="59">
        <f>$L460*Variables!$C$23/100</f>
        <v>0</v>
      </c>
      <c r="V460" s="59">
        <f>$L460*Variables!$C$24/100</f>
        <v>0</v>
      </c>
      <c r="W460" s="59">
        <f>$L460*Variables!$C$25/100</f>
        <v>0</v>
      </c>
      <c r="X460" s="62">
        <f>T460*Variables!$E$26*Variables!$C$18+'Cost Calculations'!U460*Variables!$E$27*Variables!$C$18+'Cost Calculations'!V460*Variables!$E$28*Variables!$C$18+W460*Variables!$E$29*Variables!$C$18</f>
        <v>0</v>
      </c>
      <c r="Y460" s="58">
        <f>J460*Variables!$E$30</f>
        <v>97081.252655408069</v>
      </c>
      <c r="Z460" s="1"/>
      <c r="AA460" s="245">
        <f>D460*(IF(D460&lt;Variables!$C$7,Variables!$C$38,IF(D460&gt;Variables!$C$6,Variables!$C$36,Variables!$C$37)))</f>
        <v>146.94814348101431</v>
      </c>
      <c r="AB460" s="64">
        <f t="shared" si="13"/>
        <v>145</v>
      </c>
      <c r="AC460" s="66">
        <f t="shared" si="2"/>
        <v>2</v>
      </c>
      <c r="AD460" s="62">
        <f>AC460*Variables!$E$41</f>
        <v>1075200</v>
      </c>
      <c r="AE460" s="71">
        <f>ROUND((H460/(3.14*Variables!$C$35^2)),0)</f>
        <v>10</v>
      </c>
      <c r="AF460" s="57">
        <f t="shared" si="14"/>
        <v>10</v>
      </c>
      <c r="AG460" s="57">
        <f t="shared" si="3"/>
        <v>0</v>
      </c>
      <c r="AH460" s="58">
        <f>AG460*Variables!$E$42*Variables!$C$18</f>
        <v>0</v>
      </c>
      <c r="AI460" s="73">
        <f t="shared" si="4"/>
        <v>1</v>
      </c>
      <c r="AJ460" s="66">
        <f t="shared" si="15"/>
        <v>1</v>
      </c>
      <c r="AK460" s="66">
        <f t="shared" si="5"/>
        <v>0</v>
      </c>
      <c r="AL460" s="62">
        <f>IF(AK460*Variables!$E$43*Variables!$C$18&lt;0,0,AK460*Variables!$E$43*Variables!$C$18)</f>
        <v>0</v>
      </c>
      <c r="AM460" s="58">
        <f>AA460*Variables!$E$39*Variables!$C$18</f>
        <v>42475700.999934986</v>
      </c>
      <c r="AN460" s="1"/>
      <c r="AO460" s="76">
        <f t="shared" si="16"/>
        <v>0.67714285714285716</v>
      </c>
      <c r="AP460" s="76">
        <f t="shared" si="6"/>
        <v>117.04493874542199</v>
      </c>
      <c r="AQ460" s="75">
        <f>VLOOKUP(B460,'Household Information'!$B$2:$E$48,4,FALSE)</f>
        <v>40.760000000000005</v>
      </c>
      <c r="AR460" s="79">
        <f>IF(12*(AP460-Variables!$C$45*AQ460*F460)*(G460/5)&lt;0,0,12*(AP460-Variables!$C$45*AQ460*F460)*(G460/5))</f>
        <v>10143704.388942862</v>
      </c>
      <c r="AS460" s="1"/>
      <c r="AT460" s="62">
        <v>0</v>
      </c>
      <c r="AU460" s="1"/>
    </row>
    <row r="461" spans="1:47" ht="14.25" customHeight="1">
      <c r="A461" s="1">
        <v>35</v>
      </c>
      <c r="B461" s="3" t="s">
        <v>228</v>
      </c>
      <c r="C461" s="1">
        <v>2028</v>
      </c>
      <c r="D461" s="13">
        <f>VLOOKUP(B461,Population!$B$1:$O$48,12,FALSE)</f>
        <v>559265.78412044409</v>
      </c>
      <c r="E461" s="13" t="str">
        <f t="shared" si="23"/>
        <v>Medium</v>
      </c>
      <c r="F461" s="54">
        <f>VLOOKUP(B461,'Household Information'!$B$1:$E$48,2,FALSE)</f>
        <v>2.7382605632202197</v>
      </c>
      <c r="G461" s="54">
        <f t="shared" si="0"/>
        <v>204241.25871452581</v>
      </c>
      <c r="H461" s="55">
        <f>IF(D461&gt;Variables!$C$6,H414,H414*(1+Variables!$C$9))</f>
        <v>24.726831923274581</v>
      </c>
      <c r="I461" s="1"/>
      <c r="J461" s="13">
        <f>H461*Variables!$C$21</f>
        <v>445.08297461894244</v>
      </c>
      <c r="K461" s="13">
        <f t="shared" si="12"/>
        <v>445.08297461894244</v>
      </c>
      <c r="L461" s="54">
        <f t="shared" si="1"/>
        <v>0</v>
      </c>
      <c r="M461" s="56"/>
      <c r="N461" s="57"/>
      <c r="O461" s="57"/>
      <c r="P461" s="57"/>
      <c r="Q461" s="57"/>
      <c r="R461" s="57"/>
      <c r="S461" s="58">
        <v>0</v>
      </c>
      <c r="T461" s="59">
        <f>$L461*Variables!$C$22/100</f>
        <v>0</v>
      </c>
      <c r="U461" s="59">
        <f>$L461*Variables!$C$23/100</f>
        <v>0</v>
      </c>
      <c r="V461" s="59">
        <f>$L461*Variables!$C$24/100</f>
        <v>0</v>
      </c>
      <c r="W461" s="59">
        <f>$L461*Variables!$C$25/100</f>
        <v>0</v>
      </c>
      <c r="X461" s="62">
        <f>T461*Variables!$E$26*Variables!$C$18+'Cost Calculations'!U461*Variables!$E$27*Variables!$C$18+'Cost Calculations'!V461*Variables!$E$28*Variables!$C$18+W461*Variables!$E$29*Variables!$C$18</f>
        <v>0</v>
      </c>
      <c r="Y461" s="58">
        <f>J461*Variables!$E$30</f>
        <v>291529.34837540728</v>
      </c>
      <c r="Z461" s="1"/>
      <c r="AA461" s="245">
        <f>D461*(IF(D461&lt;Variables!$C$7,Variables!$C$38,IF(D461&gt;Variables!$C$6,Variables!$C$36,Variables!$C$37)))</f>
        <v>671.11894094453282</v>
      </c>
      <c r="AB461" s="64">
        <f t="shared" si="13"/>
        <v>661</v>
      </c>
      <c r="AC461" s="66">
        <f t="shared" si="2"/>
        <v>10</v>
      </c>
      <c r="AD461" s="62">
        <f>AC461*Variables!$E$41</f>
        <v>5376000</v>
      </c>
      <c r="AE461" s="71">
        <f>ROUND((H461/(3.14*Variables!$C$35^2)),0)</f>
        <v>31</v>
      </c>
      <c r="AF461" s="57">
        <f t="shared" si="14"/>
        <v>31</v>
      </c>
      <c r="AG461" s="57">
        <f t="shared" si="3"/>
        <v>0</v>
      </c>
      <c r="AH461" s="58">
        <f>AG461*Variables!$E$42*Variables!$C$18</f>
        <v>0</v>
      </c>
      <c r="AI461" s="73">
        <f t="shared" si="4"/>
        <v>6</v>
      </c>
      <c r="AJ461" s="66">
        <f t="shared" si="15"/>
        <v>6</v>
      </c>
      <c r="AK461" s="66">
        <f t="shared" si="5"/>
        <v>0</v>
      </c>
      <c r="AL461" s="62">
        <f>IF(AK461*Variables!$E$43*Variables!$C$18&lt;0,0,AK461*Variables!$E$43*Variables!$C$18)</f>
        <v>0</v>
      </c>
      <c r="AM461" s="58">
        <f>AA461*Variables!$E$39*Variables!$C$18</f>
        <v>193988483.25454351</v>
      </c>
      <c r="AN461" s="1"/>
      <c r="AO461" s="76">
        <f t="shared" si="16"/>
        <v>0.67714285714285716</v>
      </c>
      <c r="AP461" s="76">
        <f t="shared" si="6"/>
        <v>111.25161488283292</v>
      </c>
      <c r="AQ461" s="75">
        <f>VLOOKUP(B461,'Household Information'!$B$2:$E$48,4,FALSE)</f>
        <v>40.760000000000005</v>
      </c>
      <c r="AR461" s="79">
        <f>IF(12*(AP461-Variables!$C$45*AQ461*F461)*(G461/5)&lt;0,0,12*(AP461-Variables!$C$45*AQ461*F461)*(G461/5))</f>
        <v>46326765.248594582</v>
      </c>
      <c r="AS461" s="1"/>
      <c r="AT461" s="62">
        <v>0</v>
      </c>
      <c r="AU461" s="1"/>
    </row>
    <row r="462" spans="1:47" ht="14.25" customHeight="1">
      <c r="A462" s="1">
        <v>36</v>
      </c>
      <c r="B462" s="3" t="s">
        <v>229</v>
      </c>
      <c r="C462" s="1">
        <v>2028</v>
      </c>
      <c r="D462" s="13">
        <f>VLOOKUP(B462,Population!$B$1:$O$48,12,FALSE)</f>
        <v>299935.97352362453</v>
      </c>
      <c r="E462" s="13" t="str">
        <f t="shared" si="23"/>
        <v>Medium</v>
      </c>
      <c r="F462" s="54">
        <f>VLOOKUP(B462,'Household Information'!$B$1:$E$48,2,FALSE)</f>
        <v>2.7303604631507774</v>
      </c>
      <c r="G462" s="54">
        <f t="shared" si="0"/>
        <v>109852.15233358047</v>
      </c>
      <c r="H462" s="55">
        <f>IF(D462&gt;Variables!$C$6,H415,H415*(1+Variables!$C$9))</f>
        <v>25.407115316792478</v>
      </c>
      <c r="I462" s="1"/>
      <c r="J462" s="13">
        <f>H462*Variables!$C$21</f>
        <v>457.32807570226458</v>
      </c>
      <c r="K462" s="13">
        <f t="shared" si="12"/>
        <v>457.32807570226458</v>
      </c>
      <c r="L462" s="54">
        <f t="shared" si="1"/>
        <v>0</v>
      </c>
      <c r="M462" s="56"/>
      <c r="N462" s="57"/>
      <c r="O462" s="57"/>
      <c r="P462" s="57"/>
      <c r="Q462" s="57"/>
      <c r="R462" s="57"/>
      <c r="S462" s="58">
        <v>0</v>
      </c>
      <c r="T462" s="59">
        <f>$L462*Variables!$C$22/100</f>
        <v>0</v>
      </c>
      <c r="U462" s="59">
        <f>$L462*Variables!$C$23/100</f>
        <v>0</v>
      </c>
      <c r="V462" s="59">
        <f>$L462*Variables!$C$24/100</f>
        <v>0</v>
      </c>
      <c r="W462" s="59">
        <f>$L462*Variables!$C$25/100</f>
        <v>0</v>
      </c>
      <c r="X462" s="62">
        <f>T462*Variables!$E$26*Variables!$C$18+'Cost Calculations'!U462*Variables!$E$27*Variables!$C$18+'Cost Calculations'!V462*Variables!$E$28*Variables!$C$18+W462*Variables!$E$29*Variables!$C$18</f>
        <v>0</v>
      </c>
      <c r="Y462" s="58">
        <f>J462*Variables!$E$30</f>
        <v>299549.88958498329</v>
      </c>
      <c r="Z462" s="1"/>
      <c r="AA462" s="245">
        <f>D462*(IF(D462&lt;Variables!$C$7,Variables!$C$38,IF(D462&gt;Variables!$C$6,Variables!$C$36,Variables!$C$37)))</f>
        <v>359.92316822834943</v>
      </c>
      <c r="AB462" s="64">
        <f t="shared" si="13"/>
        <v>355</v>
      </c>
      <c r="AC462" s="66">
        <f t="shared" si="2"/>
        <v>5</v>
      </c>
      <c r="AD462" s="62">
        <f>AC462*Variables!$E$41</f>
        <v>2688000</v>
      </c>
      <c r="AE462" s="71">
        <f>ROUND((H462/(3.14*Variables!$C$35^2)),0)</f>
        <v>32</v>
      </c>
      <c r="AF462" s="57">
        <f t="shared" si="14"/>
        <v>32</v>
      </c>
      <c r="AG462" s="57">
        <f t="shared" si="3"/>
        <v>0</v>
      </c>
      <c r="AH462" s="58">
        <f>AG462*Variables!$E$42*Variables!$C$18</f>
        <v>0</v>
      </c>
      <c r="AI462" s="73">
        <f t="shared" si="4"/>
        <v>3</v>
      </c>
      <c r="AJ462" s="66">
        <f t="shared" si="15"/>
        <v>3</v>
      </c>
      <c r="AK462" s="66">
        <f t="shared" si="5"/>
        <v>0</v>
      </c>
      <c r="AL462" s="62">
        <f>IF(AK462*Variables!$E$43*Variables!$C$18&lt;0,0,AK462*Variables!$E$43*Variables!$C$18)</f>
        <v>0</v>
      </c>
      <c r="AM462" s="58">
        <f>AA462*Variables!$E$39*Variables!$C$18</f>
        <v>104036624.8559777</v>
      </c>
      <c r="AN462" s="1"/>
      <c r="AO462" s="76">
        <f t="shared" si="16"/>
        <v>0.67714285714285716</v>
      </c>
      <c r="AP462" s="76">
        <f t="shared" si="6"/>
        <v>110.93064510286872</v>
      </c>
      <c r="AQ462" s="75">
        <f>VLOOKUP(B462,'Household Information'!$B$2:$E$48,4,FALSE)</f>
        <v>27.28</v>
      </c>
      <c r="AR462" s="79">
        <f>IF(12*(AP462-Variables!$C$45*AQ462*F462)*(G462/5)&lt;0,0,12*(AP462-Variables!$C$45*AQ462*F462)*(G462/5))</f>
        <v>26300717.089545641</v>
      </c>
      <c r="AS462" s="1"/>
      <c r="AT462" s="62">
        <v>0</v>
      </c>
      <c r="AU462" s="1"/>
    </row>
    <row r="463" spans="1:47" ht="14.25" customHeight="1">
      <c r="A463" s="1">
        <v>37</v>
      </c>
      <c r="B463" s="3" t="s">
        <v>230</v>
      </c>
      <c r="C463" s="1">
        <v>2028</v>
      </c>
      <c r="D463" s="13">
        <f>VLOOKUP(B463,Population!$B$1:$O$48,12,FALSE)</f>
        <v>139801.06886417945</v>
      </c>
      <c r="E463" s="13" t="str">
        <f t="shared" si="23"/>
        <v>Medium</v>
      </c>
      <c r="F463" s="54">
        <f>VLOOKUP(B463,'Household Information'!$B$1:$E$48,2,FALSE)</f>
        <v>2.4882673717260184</v>
      </c>
      <c r="G463" s="54">
        <f t="shared" si="0"/>
        <v>56184.102421117495</v>
      </c>
      <c r="H463" s="55">
        <f>IF(D463&gt;Variables!$C$6,H416,H416*(1+Variables!$C$9))</f>
        <v>33.664331695979989</v>
      </c>
      <c r="I463" s="1"/>
      <c r="J463" s="13">
        <f>H463*Variables!$C$21</f>
        <v>605.95797052763976</v>
      </c>
      <c r="K463" s="13">
        <f t="shared" si="12"/>
        <v>605.95797052763976</v>
      </c>
      <c r="L463" s="54">
        <f t="shared" si="1"/>
        <v>0</v>
      </c>
      <c r="M463" s="56"/>
      <c r="N463" s="57"/>
      <c r="O463" s="57"/>
      <c r="P463" s="57"/>
      <c r="Q463" s="57"/>
      <c r="R463" s="57"/>
      <c r="S463" s="58">
        <v>0</v>
      </c>
      <c r="T463" s="59">
        <f>$L463*Variables!$C$22/100</f>
        <v>0</v>
      </c>
      <c r="U463" s="59">
        <f>$L463*Variables!$C$23/100</f>
        <v>0</v>
      </c>
      <c r="V463" s="59">
        <f>$L463*Variables!$C$24/100</f>
        <v>0</v>
      </c>
      <c r="W463" s="59">
        <f>$L463*Variables!$C$25/100</f>
        <v>0</v>
      </c>
      <c r="X463" s="62">
        <f>T463*Variables!$E$26*Variables!$C$18+'Cost Calculations'!U463*Variables!$E$27*Variables!$C$18+'Cost Calculations'!V463*Variables!$E$28*Variables!$C$18+W463*Variables!$E$29*Variables!$C$18</f>
        <v>0</v>
      </c>
      <c r="Y463" s="58">
        <f>J463*Variables!$E$30</f>
        <v>396902.47069560405</v>
      </c>
      <c r="Z463" s="1"/>
      <c r="AA463" s="245">
        <f>D463*(IF(D463&lt;Variables!$C$7,Variables!$C$38,IF(D463&gt;Variables!$C$6,Variables!$C$36,Variables!$C$37)))</f>
        <v>167.76128263701534</v>
      </c>
      <c r="AB463" s="64">
        <f t="shared" si="13"/>
        <v>165</v>
      </c>
      <c r="AC463" s="66">
        <f t="shared" si="2"/>
        <v>3</v>
      </c>
      <c r="AD463" s="62">
        <f>AC463*Variables!$E$41</f>
        <v>1612800</v>
      </c>
      <c r="AE463" s="71">
        <f>ROUND((H463/(3.14*Variables!$C$35^2)),0)</f>
        <v>43</v>
      </c>
      <c r="AF463" s="57">
        <f t="shared" si="14"/>
        <v>43</v>
      </c>
      <c r="AG463" s="57">
        <f t="shared" si="3"/>
        <v>0</v>
      </c>
      <c r="AH463" s="58">
        <f>AG463*Variables!$E$42*Variables!$C$18</f>
        <v>0</v>
      </c>
      <c r="AI463" s="73">
        <f t="shared" si="4"/>
        <v>1</v>
      </c>
      <c r="AJ463" s="66">
        <f t="shared" si="15"/>
        <v>1</v>
      </c>
      <c r="AK463" s="66">
        <f t="shared" si="5"/>
        <v>0</v>
      </c>
      <c r="AL463" s="62">
        <f>IF(AK463*Variables!$E$43*Variables!$C$18&lt;0,0,AK463*Variables!$E$43*Variables!$C$18)</f>
        <v>0</v>
      </c>
      <c r="AM463" s="58">
        <f>AA463*Variables!$E$39*Variables!$C$18</f>
        <v>48491787.047150403</v>
      </c>
      <c r="AN463" s="1"/>
      <c r="AO463" s="76">
        <f t="shared" si="16"/>
        <v>0.67714285714285716</v>
      </c>
      <c r="AP463" s="76">
        <f t="shared" si="6"/>
        <v>101.09474864555423</v>
      </c>
      <c r="AQ463" s="75">
        <f>VLOOKUP(B463,'Household Information'!$B$2:$E$48,4,FALSE)</f>
        <v>40.760000000000005</v>
      </c>
      <c r="AR463" s="79">
        <f>IF(12*(AP463-Variables!$C$45*AQ463*F463)*(G463/5)&lt;0,0,12*(AP463-Variables!$C$45*AQ463*F463)*(G463/5))</f>
        <v>11580417.545048051</v>
      </c>
      <c r="AS463" s="1"/>
      <c r="AT463" s="62">
        <v>0</v>
      </c>
      <c r="AU463" s="1"/>
    </row>
    <row r="464" spans="1:47" ht="14.25" customHeight="1">
      <c r="A464" s="1">
        <v>38</v>
      </c>
      <c r="B464" s="3" t="s">
        <v>231</v>
      </c>
      <c r="C464" s="1">
        <v>2028</v>
      </c>
      <c r="D464" s="13">
        <f>VLOOKUP(B464,Population!$B$1:$O$48,12,FALSE)</f>
        <v>41264.18957459418</v>
      </c>
      <c r="E464" s="13" t="str">
        <f t="shared" si="23"/>
        <v>Small</v>
      </c>
      <c r="F464" s="54">
        <f>VLOOKUP(B464,'Household Information'!$B$1:$E$48,2,FALSE)</f>
        <v>3.5815854318168161</v>
      </c>
      <c r="G464" s="54">
        <f t="shared" si="0"/>
        <v>11521.207677478815</v>
      </c>
      <c r="H464" s="55">
        <f>IF(D464&gt;Variables!$C$6,H417,H417*(1+Variables!$C$9))</f>
        <v>4.8217578304888606</v>
      </c>
      <c r="I464" s="1"/>
      <c r="J464" s="13">
        <f>H464*Variables!$C$21</f>
        <v>86.791640948799497</v>
      </c>
      <c r="K464" s="13">
        <f t="shared" si="12"/>
        <v>84.019013503194103</v>
      </c>
      <c r="L464" s="54">
        <f t="shared" si="1"/>
        <v>2.7726274456053943</v>
      </c>
      <c r="M464" s="56"/>
      <c r="N464" s="57"/>
      <c r="O464" s="57"/>
      <c r="P464" s="57"/>
      <c r="Q464" s="57"/>
      <c r="R464" s="57"/>
      <c r="S464" s="58">
        <v>0</v>
      </c>
      <c r="T464" s="59">
        <f>$L464*Variables!$C$22/100</f>
        <v>0.15054990654870917</v>
      </c>
      <c r="U464" s="59">
        <f>$L464*Variables!$C$23/100</f>
        <v>0.26346233646024109</v>
      </c>
      <c r="V464" s="59">
        <f>$L464*Variables!$C$24/100</f>
        <v>0.27600816200596684</v>
      </c>
      <c r="W464" s="59">
        <f>$L464*Variables!$C$25/100</f>
        <v>2.0073320873161227</v>
      </c>
      <c r="X464" s="62">
        <f>T464*Variables!$E$26*Variables!$C$18+'Cost Calculations'!U464*Variables!$E$27*Variables!$C$18+'Cost Calculations'!V464*Variables!$E$28*Variables!$C$18+W464*Variables!$E$29*Variables!$C$18</f>
        <v>3151723.1882590009</v>
      </c>
      <c r="Y464" s="58">
        <f>J464*Variables!$E$30</f>
        <v>56848.524821463674</v>
      </c>
      <c r="Z464" s="1"/>
      <c r="AA464" s="245">
        <f>D464*(IF(D464&lt;Variables!$C$7,Variables!$C$38,IF(D464&gt;Variables!$C$6,Variables!$C$36,Variables!$C$37)))</f>
        <v>20.632094787297092</v>
      </c>
      <c r="AB464" s="64">
        <f t="shared" si="13"/>
        <v>20</v>
      </c>
      <c r="AC464" s="66">
        <f t="shared" si="2"/>
        <v>1</v>
      </c>
      <c r="AD464" s="62">
        <f>AC464*Variables!$E$41</f>
        <v>537600</v>
      </c>
      <c r="AE464" s="71">
        <f>ROUND((H464/(3.14*Variables!$C$35^2)),0)</f>
        <v>6</v>
      </c>
      <c r="AF464" s="57">
        <f t="shared" si="14"/>
        <v>6</v>
      </c>
      <c r="AG464" s="57">
        <f t="shared" si="3"/>
        <v>0</v>
      </c>
      <c r="AH464" s="58">
        <f>AG464*Variables!$E$42*Variables!$C$18</f>
        <v>0</v>
      </c>
      <c r="AI464" s="73">
        <f t="shared" si="4"/>
        <v>0</v>
      </c>
      <c r="AJ464" s="66">
        <f t="shared" si="15"/>
        <v>0</v>
      </c>
      <c r="AK464" s="66">
        <f t="shared" si="5"/>
        <v>0</v>
      </c>
      <c r="AL464" s="62">
        <f>IF(AK464*Variables!$E$43*Variables!$C$18&lt;0,0,AK464*Variables!$E$43*Variables!$C$18)</f>
        <v>0</v>
      </c>
      <c r="AM464" s="58">
        <f>AA464*Variables!$E$39*Variables!$C$18</f>
        <v>5963754.7533955369</v>
      </c>
      <c r="AN464" s="1"/>
      <c r="AO464" s="76">
        <f t="shared" si="16"/>
        <v>0.67714285714285716</v>
      </c>
      <c r="AP464" s="76">
        <f t="shared" si="6"/>
        <v>145.51469954410035</v>
      </c>
      <c r="AQ464" s="75">
        <f>VLOOKUP(B464,'Household Information'!$B$2:$E$48,4,FALSE)</f>
        <v>40.760000000000005</v>
      </c>
      <c r="AR464" s="79">
        <f>IF(12*(AP464-Variables!$C$45*AQ464*F464)*(G464/5)&lt;0,0,12*(AP464-Variables!$C$45*AQ464*F464)*(G464/5))</f>
        <v>3418117.9644346633</v>
      </c>
      <c r="AS464" s="1"/>
      <c r="AT464" s="62">
        <v>0</v>
      </c>
      <c r="AU464" s="1"/>
    </row>
    <row r="465" spans="1:47" ht="14.25" customHeight="1">
      <c r="A465" s="1">
        <v>39</v>
      </c>
      <c r="B465" s="3" t="s">
        <v>232</v>
      </c>
      <c r="C465" s="1">
        <v>2028</v>
      </c>
      <c r="D465" s="13">
        <f>VLOOKUP(B465,Population!$B$1:$O$48,12,FALSE)</f>
        <v>77893.179094037914</v>
      </c>
      <c r="E465" s="13" t="str">
        <f t="shared" si="23"/>
        <v>Small</v>
      </c>
      <c r="F465" s="54">
        <f>VLOOKUP(B465,'Household Information'!$B$1:$E$48,2,FALSE)</f>
        <v>3.4614749871067563</v>
      </c>
      <c r="G465" s="54">
        <f t="shared" si="0"/>
        <v>22502.886597237626</v>
      </c>
      <c r="H465" s="55">
        <f>IF(D465&gt;Variables!$C$6,H418,H418*(1+Variables!$C$9))</f>
        <v>7.8621440180471138</v>
      </c>
      <c r="I465" s="1"/>
      <c r="J465" s="13">
        <f>H465*Variables!$C$21</f>
        <v>141.51859232484804</v>
      </c>
      <c r="K465" s="13">
        <f t="shared" si="12"/>
        <v>136.99766923993036</v>
      </c>
      <c r="L465" s="54">
        <f t="shared" si="1"/>
        <v>4.5209230849176834</v>
      </c>
      <c r="M465" s="56"/>
      <c r="N465" s="57"/>
      <c r="O465" s="57"/>
      <c r="P465" s="57"/>
      <c r="Q465" s="57"/>
      <c r="R465" s="57"/>
      <c r="S465" s="58">
        <v>0</v>
      </c>
      <c r="T465" s="59">
        <f>$L465*Variables!$C$22/100</f>
        <v>0.2454799865113674</v>
      </c>
      <c r="U465" s="59">
        <f>$L465*Variables!$C$23/100</f>
        <v>0.42958997639489299</v>
      </c>
      <c r="V465" s="59">
        <f>$L465*Variables!$C$24/100</f>
        <v>0.45004664193750693</v>
      </c>
      <c r="W465" s="59">
        <f>$L465*Variables!$C$25/100</f>
        <v>3.273066486818232</v>
      </c>
      <c r="X465" s="62">
        <f>T465*Variables!$E$26*Variables!$C$18+'Cost Calculations'!U465*Variables!$E$27*Variables!$C$18+'Cost Calculations'!V465*Variables!$E$28*Variables!$C$18+W465*Variables!$E$29*Variables!$C$18</f>
        <v>5139059.7541889809</v>
      </c>
      <c r="Y465" s="58">
        <f>J465*Variables!$E$30</f>
        <v>92694.677972775462</v>
      </c>
      <c r="Z465" s="1"/>
      <c r="AA465" s="245">
        <f>D465*(IF(D465&lt;Variables!$C$7,Variables!$C$38,IF(D465&gt;Variables!$C$6,Variables!$C$36,Variables!$C$37)))</f>
        <v>62.314543275230335</v>
      </c>
      <c r="AB465" s="64">
        <f t="shared" si="13"/>
        <v>61</v>
      </c>
      <c r="AC465" s="66">
        <f t="shared" si="2"/>
        <v>1</v>
      </c>
      <c r="AD465" s="62">
        <f>AC465*Variables!$E$41</f>
        <v>537600</v>
      </c>
      <c r="AE465" s="71">
        <f>ROUND((H465/(3.14*Variables!$C$35^2)),0)</f>
        <v>10</v>
      </c>
      <c r="AF465" s="57">
        <f t="shared" si="14"/>
        <v>10</v>
      </c>
      <c r="AG465" s="57">
        <f t="shared" si="3"/>
        <v>0</v>
      </c>
      <c r="AH465" s="58">
        <f>AG465*Variables!$E$42*Variables!$C$18</f>
        <v>0</v>
      </c>
      <c r="AI465" s="73">
        <f t="shared" si="4"/>
        <v>1</v>
      </c>
      <c r="AJ465" s="66">
        <f t="shared" si="15"/>
        <v>3</v>
      </c>
      <c r="AK465" s="66">
        <f t="shared" si="5"/>
        <v>0</v>
      </c>
      <c r="AL465" s="62">
        <f>IF(AK465*Variables!$E$43*Variables!$C$18&lt;0,0,AK465*Variables!$E$43*Variables!$C$18)</f>
        <v>0</v>
      </c>
      <c r="AM465" s="58">
        <f>AA465*Variables!$E$39*Variables!$C$18</f>
        <v>18012162.967190985</v>
      </c>
      <c r="AN465" s="1"/>
      <c r="AO465" s="76">
        <f t="shared" si="16"/>
        <v>0.67714285714285716</v>
      </c>
      <c r="AP465" s="76">
        <f t="shared" si="6"/>
        <v>140.63478376188021</v>
      </c>
      <c r="AQ465" s="75">
        <f>VLOOKUP(B465,'Household Information'!$B$2:$E$48,4,FALSE)</f>
        <v>40.760000000000005</v>
      </c>
      <c r="AR465" s="79">
        <f>IF(12*(AP465-Variables!$C$45*AQ465*F465)*(G465/5)&lt;0,0,12*(AP465-Variables!$C$45*AQ465*F465)*(G465/5))</f>
        <v>6452279.2647352284</v>
      </c>
      <c r="AS465" s="1"/>
      <c r="AT465" s="62">
        <v>0</v>
      </c>
      <c r="AU465" s="1"/>
    </row>
    <row r="466" spans="1:47" ht="14.25" customHeight="1">
      <c r="A466" s="1">
        <v>40</v>
      </c>
      <c r="B466" s="3" t="s">
        <v>233</v>
      </c>
      <c r="C466" s="1">
        <v>2028</v>
      </c>
      <c r="D466" s="13">
        <f>VLOOKUP(B466,Population!$B$1:$O$48,12,FALSE)</f>
        <v>3523.4019447763508</v>
      </c>
      <c r="E466" s="13" t="str">
        <f t="shared" si="23"/>
        <v>Small</v>
      </c>
      <c r="F466" s="54">
        <f>VLOOKUP(B466,'Household Information'!$B$1:$E$48,2,FALSE)</f>
        <v>3.9153259949195598</v>
      </c>
      <c r="G466" s="54">
        <f t="shared" si="0"/>
        <v>899.90002093011901</v>
      </c>
      <c r="H466" s="55">
        <f>IF(D466&gt;Variables!$C$6,H419,H419*(1+Variables!$C$9))</f>
        <v>0.26787543502715894</v>
      </c>
      <c r="I466" s="1"/>
      <c r="J466" s="13">
        <f>H466*Variables!$C$21</f>
        <v>4.8217578304888606</v>
      </c>
      <c r="K466" s="13">
        <f t="shared" si="12"/>
        <v>21.97</v>
      </c>
      <c r="L466" s="54">
        <f t="shared" si="1"/>
        <v>0</v>
      </c>
      <c r="M466" s="56"/>
      <c r="N466" s="57"/>
      <c r="O466" s="57"/>
      <c r="P466" s="57"/>
      <c r="Q466" s="57"/>
      <c r="R466" s="57"/>
      <c r="S466" s="58">
        <v>0</v>
      </c>
      <c r="T466" s="59">
        <f>$L466*Variables!$C$22/100</f>
        <v>0</v>
      </c>
      <c r="U466" s="59">
        <f>$L466*Variables!$C$23/100</f>
        <v>0</v>
      </c>
      <c r="V466" s="59">
        <f>$L466*Variables!$C$24/100</f>
        <v>0</v>
      </c>
      <c r="W466" s="59">
        <f>$L466*Variables!$C$25/100</f>
        <v>0</v>
      </c>
      <c r="X466" s="62">
        <f>T466*Variables!$E$26*Variables!$C$18+'Cost Calculations'!U466*Variables!$E$27*Variables!$C$18+'Cost Calculations'!V466*Variables!$E$28*Variables!$C$18+W466*Variables!$E$29*Variables!$C$18</f>
        <v>0</v>
      </c>
      <c r="Y466" s="58">
        <f>J466*Variables!$E$30</f>
        <v>3158.2513789702039</v>
      </c>
      <c r="Z466" s="1"/>
      <c r="AA466" s="245">
        <f>D466*(IF(D466&lt;Variables!$C$7,Variables!$C$38,IF(D466&gt;Variables!$C$6,Variables!$C$36,Variables!$C$37)))</f>
        <v>1.7617009723881754</v>
      </c>
      <c r="AB466" s="64">
        <f t="shared" si="13"/>
        <v>2</v>
      </c>
      <c r="AC466" s="66">
        <f t="shared" si="2"/>
        <v>0</v>
      </c>
      <c r="AD466" s="62">
        <f>AC466*Variables!$E$41</f>
        <v>0</v>
      </c>
      <c r="AE466" s="71">
        <f>ROUND((H466/(3.14*Variables!$C$35^2)),0)</f>
        <v>0</v>
      </c>
      <c r="AF466" s="57">
        <f t="shared" si="14"/>
        <v>0</v>
      </c>
      <c r="AG466" s="57">
        <f t="shared" si="3"/>
        <v>0</v>
      </c>
      <c r="AH466" s="58">
        <f>AG466*Variables!$E$42*Variables!$C$18</f>
        <v>0</v>
      </c>
      <c r="AI466" s="73">
        <f t="shared" si="4"/>
        <v>0</v>
      </c>
      <c r="AJ466" s="66">
        <f t="shared" si="15"/>
        <v>0</v>
      </c>
      <c r="AK466" s="66">
        <f t="shared" si="5"/>
        <v>0</v>
      </c>
      <c r="AL466" s="62">
        <f>IF(AK466*Variables!$E$43*Variables!$C$18&lt;0,0,AK466*Variables!$E$43*Variables!$C$18)</f>
        <v>0</v>
      </c>
      <c r="AM466" s="58">
        <f>AA466*Variables!$E$39*Variables!$C$18</f>
        <v>509223.74370876502</v>
      </c>
      <c r="AN466" s="1"/>
      <c r="AO466" s="76">
        <f t="shared" si="16"/>
        <v>0.67714285714285716</v>
      </c>
      <c r="AP466" s="76">
        <f t="shared" si="6"/>
        <v>159.07410185073181</v>
      </c>
      <c r="AQ466" s="75">
        <f>VLOOKUP(B466,'Household Information'!$B$2:$E$48,4,FALSE)</f>
        <v>40.760000000000005</v>
      </c>
      <c r="AR466" s="79">
        <f>IF(12*(AP466-Variables!$C$45*AQ466*F466)*(G466/5)&lt;0,0,12*(AP466-Variables!$C$45*AQ466*F466)*(G466/5))</f>
        <v>291860.89942692197</v>
      </c>
      <c r="AS466" s="1"/>
      <c r="AT466" s="62">
        <v>0</v>
      </c>
      <c r="AU466" s="1"/>
    </row>
    <row r="467" spans="1:47" ht="14.25" customHeight="1">
      <c r="A467" s="1">
        <v>41</v>
      </c>
      <c r="B467" s="3" t="s">
        <v>234</v>
      </c>
      <c r="C467" s="1">
        <v>2028</v>
      </c>
      <c r="D467" s="13">
        <f>VLOOKUP(B467,Population!$B$1:$O$48,12,FALSE)</f>
        <v>60720.656506140796</v>
      </c>
      <c r="E467" s="13" t="str">
        <f t="shared" si="23"/>
        <v>Small</v>
      </c>
      <c r="F467" s="54">
        <f>VLOOKUP(B467,'Household Information'!$B$1:$E$48,2,FALSE)</f>
        <v>2.524</v>
      </c>
      <c r="G467" s="54">
        <f t="shared" si="0"/>
        <v>24057.312403383832</v>
      </c>
      <c r="H467" s="55">
        <f>IF(D467&gt;Variables!$C$6,H420,H420*(1+Variables!$C$9))</f>
        <v>5.3575087005431783</v>
      </c>
      <c r="I467" s="1"/>
      <c r="J467" s="13">
        <f>H467*Variables!$C$21</f>
        <v>96.435156609777209</v>
      </c>
      <c r="K467" s="13">
        <f t="shared" si="12"/>
        <v>105</v>
      </c>
      <c r="L467" s="54">
        <f t="shared" si="1"/>
        <v>0</v>
      </c>
      <c r="M467" s="56"/>
      <c r="N467" s="57"/>
      <c r="O467" s="57"/>
      <c r="P467" s="57"/>
      <c r="Q467" s="57"/>
      <c r="R467" s="57"/>
      <c r="S467" s="58">
        <v>0</v>
      </c>
      <c r="T467" s="59">
        <f>$L467*Variables!$C$22/100</f>
        <v>0</v>
      </c>
      <c r="U467" s="59">
        <f>$L467*Variables!$C$23/100</f>
        <v>0</v>
      </c>
      <c r="V467" s="59">
        <f>$L467*Variables!$C$24/100</f>
        <v>0</v>
      </c>
      <c r="W467" s="59">
        <f>$L467*Variables!$C$25/100</f>
        <v>0</v>
      </c>
      <c r="X467" s="62">
        <f>T467*Variables!$E$26*Variables!$C$18+'Cost Calculations'!U467*Variables!$E$27*Variables!$C$18+'Cost Calculations'!V467*Variables!$E$28*Variables!$C$18+W467*Variables!$E$29*Variables!$C$18</f>
        <v>0</v>
      </c>
      <c r="Y467" s="58">
        <f>J467*Variables!$E$30</f>
        <v>63165.027579404072</v>
      </c>
      <c r="Z467" s="1"/>
      <c r="AA467" s="245">
        <f>D467*(IF(D467&lt;Variables!$C$7,Variables!$C$38,IF(D467&gt;Variables!$C$6,Variables!$C$36,Variables!$C$37)))</f>
        <v>48.576525204912642</v>
      </c>
      <c r="AB467" s="64">
        <f t="shared" si="13"/>
        <v>48</v>
      </c>
      <c r="AC467" s="66">
        <f t="shared" si="2"/>
        <v>1</v>
      </c>
      <c r="AD467" s="62">
        <f>AC467*Variables!$E$41</f>
        <v>537600</v>
      </c>
      <c r="AE467" s="71">
        <f>ROUND((H467/(3.14*Variables!$C$35^2)),0)</f>
        <v>7</v>
      </c>
      <c r="AF467" s="57">
        <f t="shared" si="14"/>
        <v>7</v>
      </c>
      <c r="AG467" s="57">
        <f t="shared" si="3"/>
        <v>0</v>
      </c>
      <c r="AH467" s="58">
        <f>AG467*Variables!$E$42*Variables!$C$18</f>
        <v>0</v>
      </c>
      <c r="AI467" s="73">
        <f t="shared" si="4"/>
        <v>0</v>
      </c>
      <c r="AJ467" s="66">
        <f t="shared" si="15"/>
        <v>2</v>
      </c>
      <c r="AK467" s="66">
        <f t="shared" si="5"/>
        <v>0</v>
      </c>
      <c r="AL467" s="62">
        <f>IF(AK467*Variables!$E$43*Variables!$C$18&lt;0,0,AK467*Variables!$E$43*Variables!$C$18)</f>
        <v>0</v>
      </c>
      <c r="AM467" s="58">
        <f>AA467*Variables!$E$39*Variables!$C$18</f>
        <v>14041157.045895282</v>
      </c>
      <c r="AN467" s="1"/>
      <c r="AO467" s="76">
        <f t="shared" si="16"/>
        <v>0.67714285714285716</v>
      </c>
      <c r="AP467" s="76">
        <f t="shared" si="6"/>
        <v>102.54651428571428</v>
      </c>
      <c r="AQ467" s="75">
        <f>VLOOKUP(B467,'Household Information'!$B$2:$E$48,4,FALSE)</f>
        <v>40.760000000000005</v>
      </c>
      <c r="AR467" s="79">
        <f>IF(12*(AP467-Variables!$C$45*AQ467*F467)*(G467/5)&lt;0,0,12*(AP467-Variables!$C$45*AQ467*F467)*(G467/5))</f>
        <v>5029793.846810271</v>
      </c>
      <c r="AS467" s="1"/>
      <c r="AT467" s="62">
        <v>0</v>
      </c>
      <c r="AU467" s="1"/>
    </row>
    <row r="468" spans="1:47" ht="14.25" customHeight="1">
      <c r="A468" s="1">
        <v>42</v>
      </c>
      <c r="B468" s="3" t="s">
        <v>235</v>
      </c>
      <c r="C468" s="1">
        <v>2028</v>
      </c>
      <c r="D468" s="13">
        <f>VLOOKUP(B468,Population!$B$1:$O$48,12,FALSE)</f>
        <v>52828.978895969783</v>
      </c>
      <c r="E468" s="13" t="str">
        <f t="shared" si="23"/>
        <v>Small</v>
      </c>
      <c r="F468" s="54">
        <f>VLOOKUP(B468,'Household Information'!$B$1:$E$48,2,FALSE)</f>
        <v>2.7236881469514751</v>
      </c>
      <c r="G468" s="54">
        <f t="shared" si="0"/>
        <v>19396.118808645304</v>
      </c>
      <c r="H468" s="55">
        <f>IF(D468&gt;Variables!$C$6,H421,H421*(1+Variables!$C$9))</f>
        <v>6.8308235931925507</v>
      </c>
      <c r="I468" s="1"/>
      <c r="J468" s="13">
        <f>H468*Variables!$C$21</f>
        <v>122.95482467746591</v>
      </c>
      <c r="K468" s="13">
        <f t="shared" si="12"/>
        <v>119.02693579619159</v>
      </c>
      <c r="L468" s="54">
        <f t="shared" si="1"/>
        <v>3.9278888812743133</v>
      </c>
      <c r="M468" s="56"/>
      <c r="N468" s="57"/>
      <c r="O468" s="57"/>
      <c r="P468" s="57"/>
      <c r="Q468" s="57"/>
      <c r="R468" s="57"/>
      <c r="S468" s="58">
        <v>0</v>
      </c>
      <c r="T468" s="59">
        <f>$L468*Variables!$C$22/100</f>
        <v>0.21327903427733827</v>
      </c>
      <c r="U468" s="59">
        <f>$L468*Variables!$C$23/100</f>
        <v>0.37323830998534197</v>
      </c>
      <c r="V468" s="59">
        <f>$L468*Variables!$C$24/100</f>
        <v>0.39101156284178684</v>
      </c>
      <c r="W468" s="59">
        <f>$L468*Variables!$C$25/100</f>
        <v>2.8437204570311767</v>
      </c>
      <c r="X468" s="62">
        <f>T468*Variables!$E$26*Variables!$C$18+'Cost Calculations'!U468*Variables!$E$27*Variables!$C$18+'Cost Calculations'!V468*Variables!$E$28*Variables!$C$18+W468*Variables!$E$29*Variables!$C$18</f>
        <v>4464941.1833669227</v>
      </c>
      <c r="Y468" s="58">
        <f>J468*Variables!$E$30</f>
        <v>80535.410163740176</v>
      </c>
      <c r="Z468" s="1"/>
      <c r="AA468" s="245">
        <f>D468*(IF(D468&lt;Variables!$C$7,Variables!$C$38,IF(D468&gt;Variables!$C$6,Variables!$C$36,Variables!$C$37)))</f>
        <v>42.263183116775828</v>
      </c>
      <c r="AB468" s="64">
        <f t="shared" si="13"/>
        <v>42</v>
      </c>
      <c r="AC468" s="66">
        <f t="shared" si="2"/>
        <v>0</v>
      </c>
      <c r="AD468" s="62">
        <f>AC468*Variables!$E$41</f>
        <v>0</v>
      </c>
      <c r="AE468" s="71">
        <f>ROUND((H468/(3.14*Variables!$C$35^2)),0)</f>
        <v>9</v>
      </c>
      <c r="AF468" s="57">
        <f t="shared" si="14"/>
        <v>8</v>
      </c>
      <c r="AG468" s="57">
        <f t="shared" si="3"/>
        <v>1</v>
      </c>
      <c r="AH468" s="58">
        <f>AG468*Variables!$E$42*Variables!$C$18</f>
        <v>1148.2560000000001</v>
      </c>
      <c r="AI468" s="73">
        <f t="shared" si="4"/>
        <v>0</v>
      </c>
      <c r="AJ468" s="66">
        <f t="shared" si="15"/>
        <v>0</v>
      </c>
      <c r="AK468" s="66">
        <f t="shared" si="5"/>
        <v>0</v>
      </c>
      <c r="AL468" s="62">
        <f>IF(AK468*Variables!$E$43*Variables!$C$18&lt;0,0,AK468*Variables!$E$43*Variables!$C$18)</f>
        <v>0</v>
      </c>
      <c r="AM468" s="58">
        <f>AA468*Variables!$E$39*Variables!$C$18</f>
        <v>12216270.90243304</v>
      </c>
      <c r="AN468" s="1"/>
      <c r="AO468" s="76">
        <f t="shared" si="16"/>
        <v>0.67714285714285716</v>
      </c>
      <c r="AP468" s="76">
        <f t="shared" si="6"/>
        <v>110.65955842757135</v>
      </c>
      <c r="AQ468" s="75">
        <f>VLOOKUP(B468,'Household Information'!$B$2:$E$48,4,FALSE)</f>
        <v>40.760000000000005</v>
      </c>
      <c r="AR468" s="79">
        <f>IF(12*(AP468-Variables!$C$45*AQ468*F468)*(G468/5)&lt;0,0,12*(AP468-Variables!$C$45*AQ468*F468)*(G468/5))</f>
        <v>4376086.957448259</v>
      </c>
      <c r="AS468" s="1"/>
      <c r="AT468" s="62">
        <v>0</v>
      </c>
      <c r="AU468" s="1"/>
    </row>
    <row r="469" spans="1:47" ht="14.25" customHeight="1">
      <c r="A469" s="1">
        <v>43</v>
      </c>
      <c r="B469" s="3" t="s">
        <v>236</v>
      </c>
      <c r="C469" s="1">
        <v>2028</v>
      </c>
      <c r="D469" s="13">
        <f>VLOOKUP(B469,Population!$B$1:$O$48,12,FALSE)</f>
        <v>27895.919811129497</v>
      </c>
      <c r="E469" s="13" t="str">
        <f t="shared" si="23"/>
        <v>Small</v>
      </c>
      <c r="F469" s="54">
        <f>VLOOKUP(B469,'Household Information'!$B$1:$E$48,2,FALSE)</f>
        <v>3.4114391143911438</v>
      </c>
      <c r="G469" s="54">
        <f t="shared" si="0"/>
        <v>8177.1706531271975</v>
      </c>
      <c r="H469" s="55">
        <f>IF(D469&gt;Variables!$C$6,H422,H422*(1+Variables!$C$9))</f>
        <v>5.841743856449547</v>
      </c>
      <c r="I469" s="1"/>
      <c r="J469" s="13">
        <f>H469*Variables!$C$21</f>
        <v>105.15138941609185</v>
      </c>
      <c r="K469" s="13">
        <f t="shared" si="12"/>
        <v>101.79224532051487</v>
      </c>
      <c r="L469" s="54">
        <f t="shared" si="1"/>
        <v>3.3591440955769798</v>
      </c>
      <c r="M469" s="56"/>
      <c r="N469" s="57"/>
      <c r="O469" s="57"/>
      <c r="P469" s="57"/>
      <c r="Q469" s="57"/>
      <c r="R469" s="57"/>
      <c r="S469" s="58">
        <v>0</v>
      </c>
      <c r="T469" s="59">
        <f>$L469*Variables!$C$22/100</f>
        <v>0.18239696446571835</v>
      </c>
      <c r="U469" s="59">
        <f>$L469*Variables!$C$23/100</f>
        <v>0.31919468781500709</v>
      </c>
      <c r="V469" s="59">
        <f>$L469*Variables!$C$24/100</f>
        <v>0.33439443485381704</v>
      </c>
      <c r="W469" s="59">
        <f>$L469*Variables!$C$25/100</f>
        <v>2.4319595262095781</v>
      </c>
      <c r="X469" s="62">
        <f>T469*Variables!$E$26*Variables!$C$18+'Cost Calculations'!U469*Variables!$E$27*Variables!$C$18+'Cost Calculations'!V469*Variables!$E$28*Variables!$C$18+W469*Variables!$E$29*Variables!$C$18</f>
        <v>3818433.0734782945</v>
      </c>
      <c r="Y469" s="58">
        <f>J469*Variables!$E$30</f>
        <v>68874.160067540157</v>
      </c>
      <c r="Z469" s="1"/>
      <c r="AA469" s="245">
        <f>D469*(IF(D469&lt;Variables!$C$7,Variables!$C$38,IF(D469&gt;Variables!$C$6,Variables!$C$36,Variables!$C$37)))</f>
        <v>13.947959905564749</v>
      </c>
      <c r="AB469" s="64">
        <f t="shared" si="13"/>
        <v>14</v>
      </c>
      <c r="AC469" s="66">
        <f t="shared" si="2"/>
        <v>0</v>
      </c>
      <c r="AD469" s="62">
        <f>AC469*Variables!$E$41</f>
        <v>0</v>
      </c>
      <c r="AE469" s="71">
        <f>ROUND((H469/(3.14*Variables!$C$35^2)),0)</f>
        <v>7</v>
      </c>
      <c r="AF469" s="57">
        <f t="shared" si="14"/>
        <v>7</v>
      </c>
      <c r="AG469" s="57">
        <f t="shared" si="3"/>
        <v>0</v>
      </c>
      <c r="AH469" s="58">
        <f>AG469*Variables!$E$42*Variables!$C$18</f>
        <v>0</v>
      </c>
      <c r="AI469" s="73">
        <f t="shared" si="4"/>
        <v>0</v>
      </c>
      <c r="AJ469" s="66">
        <f t="shared" si="15"/>
        <v>0</v>
      </c>
      <c r="AK469" s="66">
        <f t="shared" si="5"/>
        <v>0</v>
      </c>
      <c r="AL469" s="62">
        <f>IF(AK469*Variables!$E$43*Variables!$C$18&lt;0,0,AK469*Variables!$E$43*Variables!$C$18)</f>
        <v>0</v>
      </c>
      <c r="AM469" s="58">
        <f>AA469*Variables!$E$39*Variables!$C$18</f>
        <v>4031690.0947060557</v>
      </c>
      <c r="AN469" s="1"/>
      <c r="AO469" s="76">
        <f t="shared" si="16"/>
        <v>0.67714285714285716</v>
      </c>
      <c r="AP469" s="76">
        <f t="shared" si="6"/>
        <v>138.60189773326303</v>
      </c>
      <c r="AQ469" s="75">
        <f>VLOOKUP(B469,'Household Information'!$B$2:$E$48,4,FALSE)</f>
        <v>40.760000000000005</v>
      </c>
      <c r="AR469" s="79">
        <f>IF(12*(AP469-Variables!$C$45*AQ469*F469)*(G469/5)&lt;0,0,12*(AP469-Variables!$C$45*AQ469*F469)*(G469/5))</f>
        <v>2310757.7205286315</v>
      </c>
      <c r="AS469" s="1"/>
      <c r="AT469" s="62">
        <v>0</v>
      </c>
      <c r="AU469" s="1"/>
    </row>
    <row r="470" spans="1:47" ht="14.25" customHeight="1">
      <c r="A470" s="1">
        <v>44</v>
      </c>
      <c r="B470" s="3" t="s">
        <v>241</v>
      </c>
      <c r="C470" s="1">
        <v>2028</v>
      </c>
      <c r="D470" s="13">
        <f>VLOOKUP(B470,Population!$B$1:$O$48,12,FALSE)</f>
        <v>107894.52069412652</v>
      </c>
      <c r="E470" s="13" t="str">
        <f t="shared" si="23"/>
        <v>Medium</v>
      </c>
      <c r="F470" s="54">
        <f>VLOOKUP(B470,'Household Information'!$B$1:$E$48,2,FALSE)</f>
        <v>2.919</v>
      </c>
      <c r="G470" s="54">
        <f t="shared" si="0"/>
        <v>36962.836825668557</v>
      </c>
      <c r="H470" s="55">
        <f>IF(D470&gt;Variables!$C$6,H423,H423*(1+Variables!$C$9))</f>
        <v>11.723279703725108</v>
      </c>
      <c r="I470" s="1"/>
      <c r="J470" s="13">
        <f>H470*Variables!$C$21</f>
        <v>211.01903466705195</v>
      </c>
      <c r="K470" s="13">
        <f t="shared" si="12"/>
        <v>211.01903466705195</v>
      </c>
      <c r="L470" s="54">
        <f t="shared" si="1"/>
        <v>0</v>
      </c>
      <c r="M470" s="56"/>
      <c r="N470" s="57"/>
      <c r="O470" s="57"/>
      <c r="P470" s="57"/>
      <c r="Q470" s="57"/>
      <c r="R470" s="57"/>
      <c r="S470" s="58">
        <v>0</v>
      </c>
      <c r="T470" s="59">
        <f>$L470*Variables!$C$22/100</f>
        <v>0</v>
      </c>
      <c r="U470" s="59">
        <f>$L470*Variables!$C$23/100</f>
        <v>0</v>
      </c>
      <c r="V470" s="59">
        <f>$L470*Variables!$C$24/100</f>
        <v>0</v>
      </c>
      <c r="W470" s="59">
        <f>$L470*Variables!$C$25/100</f>
        <v>0</v>
      </c>
      <c r="X470" s="62">
        <f>T470*Variables!$E$26*Variables!$C$18+'Cost Calculations'!U470*Variables!$E$27*Variables!$C$18+'Cost Calculations'!V470*Variables!$E$28*Variables!$C$18+W470*Variables!$E$29*Variables!$C$18</f>
        <v>0</v>
      </c>
      <c r="Y470" s="58">
        <f>J470*Variables!$E$30</f>
        <v>138217.46770691904</v>
      </c>
      <c r="Z470" s="1"/>
      <c r="AA470" s="245">
        <f>D470*(IF(D470&lt;Variables!$C$7,Variables!$C$38,IF(D470&gt;Variables!$C$6,Variables!$C$36,Variables!$C$37)))</f>
        <v>129.47342483295182</v>
      </c>
      <c r="AB470" s="64">
        <f t="shared" si="13"/>
        <v>128</v>
      </c>
      <c r="AC470" s="66">
        <f t="shared" si="2"/>
        <v>1</v>
      </c>
      <c r="AD470" s="62">
        <f>AC470*Variables!$E$41</f>
        <v>537600</v>
      </c>
      <c r="AE470" s="71">
        <f>ROUND((H470/(3.14*Variables!$C$35^2)),0)</f>
        <v>15</v>
      </c>
      <c r="AF470" s="57">
        <f t="shared" si="14"/>
        <v>15</v>
      </c>
      <c r="AG470" s="57">
        <f t="shared" si="3"/>
        <v>0</v>
      </c>
      <c r="AH470" s="58">
        <f>AG470*Variables!$E$42*Variables!$C$18</f>
        <v>0</v>
      </c>
      <c r="AI470" s="73">
        <f t="shared" si="4"/>
        <v>1</v>
      </c>
      <c r="AJ470" s="66">
        <f t="shared" si="15"/>
        <v>1</v>
      </c>
      <c r="AK470" s="66">
        <f t="shared" si="5"/>
        <v>0</v>
      </c>
      <c r="AL470" s="62">
        <f>IF(AK470*Variables!$E$43*Variables!$C$18&lt;0,0,AK470*Variables!$E$43*Variables!$C$18)</f>
        <v>0</v>
      </c>
      <c r="AM470" s="58">
        <f>AA470*Variables!$E$39*Variables!$C$18</f>
        <v>37424593.127660379</v>
      </c>
      <c r="AN470" s="1"/>
      <c r="AO470" s="76">
        <f t="shared" si="16"/>
        <v>0.67714285714285716</v>
      </c>
      <c r="AP470" s="76">
        <f t="shared" si="6"/>
        <v>118.59479999999999</v>
      </c>
      <c r="AQ470" s="75">
        <f>VLOOKUP(B470,'Household Information'!$B$2:$E$48,4,FALSE)</f>
        <v>40.760000000000005</v>
      </c>
      <c r="AR470" s="79">
        <f>IF(12*(AP470-Variables!$C$45*AQ470*F470)*(G470/5)&lt;0,0,12*(AP470-Variables!$C$45*AQ470*F470)*(G470/5))</f>
        <v>8937439.5389973782</v>
      </c>
      <c r="AS470" s="1"/>
      <c r="AT470" s="62">
        <v>0</v>
      </c>
      <c r="AU470" s="1"/>
    </row>
    <row r="471" spans="1:47" ht="14.25" customHeight="1">
      <c r="A471" s="1">
        <v>45</v>
      </c>
      <c r="B471" s="3" t="s">
        <v>242</v>
      </c>
      <c r="C471" s="1">
        <v>2028</v>
      </c>
      <c r="D471" s="13">
        <f>VLOOKUP(B471,Population!$B$1:$O$48,12,FALSE)</f>
        <v>27407.332123793909</v>
      </c>
      <c r="E471" s="13" t="str">
        <f t="shared" si="23"/>
        <v>Small</v>
      </c>
      <c r="F471" s="54">
        <f>VLOOKUP(B471,'Household Information'!$B$1:$E$48,2,FALSE)</f>
        <v>2.377290114757399</v>
      </c>
      <c r="G471" s="54">
        <f t="shared" si="0"/>
        <v>11528.812555799825</v>
      </c>
      <c r="H471" s="55">
        <f>IF(D471&gt;Variables!$C$6,H424,H424*(1+Variables!$C$9))</f>
        <v>5.0896332655160181</v>
      </c>
      <c r="I471" s="1"/>
      <c r="J471" s="13">
        <f>H471*Variables!$C$21</f>
        <v>91.613398779288332</v>
      </c>
      <c r="K471" s="13">
        <f t="shared" si="12"/>
        <v>88.686736475593733</v>
      </c>
      <c r="L471" s="54">
        <f t="shared" si="1"/>
        <v>2.9266623036945987</v>
      </c>
      <c r="M471" s="56"/>
      <c r="N471" s="57"/>
      <c r="O471" s="57"/>
      <c r="P471" s="57"/>
      <c r="Q471" s="57"/>
      <c r="R471" s="57"/>
      <c r="S471" s="58">
        <v>0</v>
      </c>
      <c r="T471" s="59">
        <f>$L471*Variables!$C$22/100</f>
        <v>0.15891379024586055</v>
      </c>
      <c r="U471" s="59">
        <f>$L471*Variables!$C$23/100</f>
        <v>0.27809913293025601</v>
      </c>
      <c r="V471" s="59">
        <f>$L471*Variables!$C$24/100</f>
        <v>0.29134194878407771</v>
      </c>
      <c r="W471" s="59">
        <f>$L471*Variables!$C$25/100</f>
        <v>2.118850536611474</v>
      </c>
      <c r="X471" s="62">
        <f>T471*Variables!$E$26*Variables!$C$18+'Cost Calculations'!U471*Variables!$E$27*Variables!$C$18+'Cost Calculations'!V471*Variables!$E$28*Variables!$C$18+W471*Variables!$E$29*Variables!$C$18</f>
        <v>3326818.9209400741</v>
      </c>
      <c r="Y471" s="58">
        <f>J471*Variables!$E$30</f>
        <v>60006.776200433858</v>
      </c>
      <c r="Z471" s="1"/>
      <c r="AA471" s="245">
        <f>D471*(IF(D471&lt;Variables!$C$7,Variables!$C$38,IF(D471&gt;Variables!$C$6,Variables!$C$36,Variables!$C$37)))</f>
        <v>13.703666061896955</v>
      </c>
      <c r="AB471" s="64">
        <f t="shared" si="13"/>
        <v>14</v>
      </c>
      <c r="AC471" s="66">
        <f t="shared" si="2"/>
        <v>0</v>
      </c>
      <c r="AD471" s="62">
        <f>AC471*Variables!$E$41</f>
        <v>0</v>
      </c>
      <c r="AE471" s="71">
        <f>ROUND((H471/(3.14*Variables!$C$35^2)),0)</f>
        <v>6</v>
      </c>
      <c r="AF471" s="57">
        <f t="shared" si="14"/>
        <v>6</v>
      </c>
      <c r="AG471" s="57">
        <f t="shared" si="3"/>
        <v>0</v>
      </c>
      <c r="AH471" s="58">
        <f>AG471*Variables!$E$42*Variables!$C$18</f>
        <v>0</v>
      </c>
      <c r="AI471" s="73">
        <f t="shared" si="4"/>
        <v>0</v>
      </c>
      <c r="AJ471" s="66">
        <f t="shared" si="15"/>
        <v>0</v>
      </c>
      <c r="AK471" s="66">
        <f t="shared" si="5"/>
        <v>0</v>
      </c>
      <c r="AL471" s="62">
        <f>IF(AK471*Variables!$E$43*Variables!$C$18&lt;0,0,AK471*Variables!$E$43*Variables!$C$18)</f>
        <v>0</v>
      </c>
      <c r="AM471" s="58">
        <f>AA471*Variables!$E$39*Variables!$C$18</f>
        <v>3961076.3937503942</v>
      </c>
      <c r="AN471" s="1"/>
      <c r="AO471" s="76">
        <f t="shared" si="16"/>
        <v>0.67714285714285716</v>
      </c>
      <c r="AP471" s="76">
        <f t="shared" si="6"/>
        <v>96.585901233857754</v>
      </c>
      <c r="AQ471" s="75">
        <f>VLOOKUP(B471,'Household Information'!$B$2:$E$48,4,FALSE)</f>
        <v>40.760000000000005</v>
      </c>
      <c r="AR471" s="79">
        <f>IF(12*(AP471-Variables!$C$45*AQ471*F471)*(G471/5)&lt;0,0,12*(AP471-Variables!$C$45*AQ471*F471)*(G471/5))</f>
        <v>2270285.5734078363</v>
      </c>
      <c r="AS471" s="1"/>
      <c r="AT471" s="62">
        <v>0</v>
      </c>
      <c r="AU471" s="1"/>
    </row>
    <row r="472" spans="1:47" ht="14.25" customHeight="1">
      <c r="A472" s="1">
        <v>46</v>
      </c>
      <c r="B472" s="3" t="s">
        <v>243</v>
      </c>
      <c r="C472" s="1">
        <v>2028</v>
      </c>
      <c r="D472" s="13">
        <f>VLOOKUP(B472,Population!$B$1:$O$48,12,FALSE)</f>
        <v>35028.603721734056</v>
      </c>
      <c r="E472" s="13" t="str">
        <f t="shared" si="23"/>
        <v>Small</v>
      </c>
      <c r="F472" s="54">
        <f>VLOOKUP(B472,'Household Information'!$B$1:$E$48,2,FALSE)</f>
        <v>2.6682284299858559</v>
      </c>
      <c r="G472" s="54">
        <f t="shared" si="0"/>
        <v>13128.037812684479</v>
      </c>
      <c r="H472" s="55">
        <f>IF(D472&gt;Variables!$C$6,H425,H425*(1+Variables!$C$9))</f>
        <v>4.9607019635139089</v>
      </c>
      <c r="I472" s="1"/>
      <c r="J472" s="13">
        <f>H472*Variables!$C$21</f>
        <v>89.292635343250367</v>
      </c>
      <c r="K472" s="13">
        <f t="shared" si="12"/>
        <v>86.440111658519228</v>
      </c>
      <c r="L472" s="54">
        <f t="shared" si="1"/>
        <v>2.852523684731139</v>
      </c>
      <c r="M472" s="56"/>
      <c r="N472" s="57"/>
      <c r="O472" s="57"/>
      <c r="P472" s="57"/>
      <c r="Q472" s="57"/>
      <c r="R472" s="57"/>
      <c r="S472" s="58">
        <v>0</v>
      </c>
      <c r="T472" s="59">
        <f>$L472*Variables!$C$22/100</f>
        <v>0.1548881638768039</v>
      </c>
      <c r="U472" s="59">
        <f>$L472*Variables!$C$23/100</f>
        <v>0.27105428678440691</v>
      </c>
      <c r="V472" s="59">
        <f>$L472*Variables!$C$24/100</f>
        <v>0.28396163377414058</v>
      </c>
      <c r="W472" s="59">
        <f>$L472*Variables!$C$25/100</f>
        <v>2.0651755183573859</v>
      </c>
      <c r="X472" s="62">
        <f>T472*Variables!$E$26*Variables!$C$18+'Cost Calculations'!U472*Variables!$E$27*Variables!$C$18+'Cost Calculations'!V472*Variables!$E$28*Variables!$C$18+W472*Variables!$E$29*Variables!$C$18</f>
        <v>3242543.4785603238</v>
      </c>
      <c r="Y472" s="58">
        <f>J472*Variables!$E$30</f>
        <v>58486.676149828992</v>
      </c>
      <c r="Z472" s="1"/>
      <c r="AA472" s="245">
        <f>D472*(IF(D472&lt;Variables!$C$7,Variables!$C$38,IF(D472&gt;Variables!$C$6,Variables!$C$36,Variables!$C$37)))</f>
        <v>17.514301860867029</v>
      </c>
      <c r="AB472" s="64">
        <f t="shared" si="13"/>
        <v>17</v>
      </c>
      <c r="AC472" s="66">
        <f t="shared" si="2"/>
        <v>1</v>
      </c>
      <c r="AD472" s="62">
        <f>AC472*Variables!$E$41</f>
        <v>537600</v>
      </c>
      <c r="AE472" s="71">
        <f>ROUND((H472/(3.14*Variables!$C$35^2)),0)</f>
        <v>6</v>
      </c>
      <c r="AF472" s="57">
        <f t="shared" si="14"/>
        <v>6</v>
      </c>
      <c r="AG472" s="57">
        <f t="shared" si="3"/>
        <v>0</v>
      </c>
      <c r="AH472" s="58">
        <f>AG472*Variables!$E$42*Variables!$C$18</f>
        <v>0</v>
      </c>
      <c r="AI472" s="73">
        <f t="shared" si="4"/>
        <v>0</v>
      </c>
      <c r="AJ472" s="66">
        <f t="shared" si="15"/>
        <v>0</v>
      </c>
      <c r="AK472" s="66">
        <f t="shared" si="5"/>
        <v>0</v>
      </c>
      <c r="AL472" s="62">
        <f>IF(AK472*Variables!$E$43*Variables!$C$18&lt;0,0,AK472*Variables!$E$43*Variables!$C$18)</f>
        <v>0</v>
      </c>
      <c r="AM472" s="58">
        <f>AA472*Variables!$E$39*Variables!$C$18</f>
        <v>5062549.4915552223</v>
      </c>
      <c r="AN472" s="1"/>
      <c r="AO472" s="76">
        <f t="shared" si="16"/>
        <v>0.67714285714285716</v>
      </c>
      <c r="AP472" s="76">
        <f t="shared" si="6"/>
        <v>108.40630935542534</v>
      </c>
      <c r="AQ472" s="75">
        <f>VLOOKUP(B472,'Household Information'!$B$2:$E$48,4,FALSE)</f>
        <v>40.760000000000005</v>
      </c>
      <c r="AR472" s="79">
        <f>IF(12*(AP472-Variables!$C$45*AQ472*F472)*(G472/5)&lt;0,0,12*(AP472-Variables!$C$45*AQ472*F472)*(G472/5))</f>
        <v>2901593.3884725911</v>
      </c>
      <c r="AS472" s="1"/>
      <c r="AT472" s="62">
        <v>0</v>
      </c>
      <c r="AU472" s="1"/>
    </row>
    <row r="473" spans="1:47" ht="14.25" customHeight="1">
      <c r="A473" s="1">
        <v>47</v>
      </c>
      <c r="B473" s="3" t="s">
        <v>244</v>
      </c>
      <c r="C473" s="1">
        <v>2028</v>
      </c>
      <c r="D473" s="13">
        <f>VLOOKUP(B473,Population!$B$1:$O$48,12,FALSE)</f>
        <v>74232.833331908609</v>
      </c>
      <c r="E473" s="13" t="str">
        <f t="shared" si="23"/>
        <v>Small</v>
      </c>
      <c r="F473" s="54">
        <f>VLOOKUP(B473,'Household Information'!$B$1:$E$48,2,FALSE)</f>
        <v>3.4580000000000002</v>
      </c>
      <c r="G473" s="54">
        <f t="shared" si="0"/>
        <v>21466.98476920434</v>
      </c>
      <c r="H473" s="55">
        <f>IF(D473&gt;Variables!$C$6,H426,H426*(1+Variables!$C$9))</f>
        <v>5.6253841355703376</v>
      </c>
      <c r="I473" s="1"/>
      <c r="J473" s="13">
        <f>H473*Variables!$C$21</f>
        <v>101.25691444026607</v>
      </c>
      <c r="K473" s="13">
        <f t="shared" si="12"/>
        <v>98.022182420393108</v>
      </c>
      <c r="L473" s="54">
        <f t="shared" si="1"/>
        <v>3.2347320198729648</v>
      </c>
      <c r="M473" s="56"/>
      <c r="N473" s="57"/>
      <c r="O473" s="57"/>
      <c r="P473" s="57"/>
      <c r="Q473" s="57"/>
      <c r="R473" s="57"/>
      <c r="S473" s="58">
        <v>0</v>
      </c>
      <c r="T473" s="59">
        <f>$L473*Variables!$C$22/100</f>
        <v>0.17564155764016096</v>
      </c>
      <c r="U473" s="59">
        <f>$L473*Variables!$C$23/100</f>
        <v>0.30737272587028175</v>
      </c>
      <c r="V473" s="59">
        <f>$L473*Variables!$C$24/100</f>
        <v>0.32200952234029517</v>
      </c>
      <c r="W473" s="59">
        <f>$L473*Variables!$C$25/100</f>
        <v>2.3418874352021466</v>
      </c>
      <c r="X473" s="62">
        <f>T473*Variables!$E$26*Variables!$C$18+'Cost Calculations'!U473*Variables!$E$27*Variables!$C$18+'Cost Calculations'!V473*Variables!$E$28*Variables!$C$18+W473*Variables!$E$29*Variables!$C$18</f>
        <v>3677010.3863021731</v>
      </c>
      <c r="Y473" s="58">
        <f>J473*Variables!$E$30</f>
        <v>66323.278958374271</v>
      </c>
      <c r="Z473" s="1"/>
      <c r="AA473" s="245">
        <f>D473*(IF(D473&lt;Variables!$C$7,Variables!$C$38,IF(D473&gt;Variables!$C$6,Variables!$C$36,Variables!$C$37)))</f>
        <v>59.38626666552689</v>
      </c>
      <c r="AB473" s="64">
        <f t="shared" si="13"/>
        <v>59</v>
      </c>
      <c r="AC473" s="66">
        <f t="shared" si="2"/>
        <v>0</v>
      </c>
      <c r="AD473" s="62">
        <f>AC473*Variables!$E$41</f>
        <v>0</v>
      </c>
      <c r="AE473" s="71">
        <f>ROUND((H473/(3.14*Variables!$C$35^2)),0)</f>
        <v>7</v>
      </c>
      <c r="AF473" s="57">
        <f t="shared" si="14"/>
        <v>7</v>
      </c>
      <c r="AG473" s="57">
        <f t="shared" si="3"/>
        <v>0</v>
      </c>
      <c r="AH473" s="58">
        <f>AG473*Variables!$E$42*Variables!$C$18</f>
        <v>0</v>
      </c>
      <c r="AI473" s="73">
        <f t="shared" si="4"/>
        <v>0</v>
      </c>
      <c r="AJ473" s="66">
        <f t="shared" si="15"/>
        <v>0</v>
      </c>
      <c r="AK473" s="66">
        <f t="shared" si="5"/>
        <v>0</v>
      </c>
      <c r="AL473" s="62">
        <f>IF(AK473*Variables!$E$43*Variables!$C$18&lt;0,0,AK473*Variables!$E$43*Variables!$C$18)</f>
        <v>0</v>
      </c>
      <c r="AM473" s="58">
        <f>AA473*Variables!$E$39*Variables!$C$18</f>
        <v>17165737.835355707</v>
      </c>
      <c r="AN473" s="1"/>
      <c r="AO473" s="76">
        <f t="shared" si="16"/>
        <v>0.67714285714285716</v>
      </c>
      <c r="AP473" s="76">
        <f t="shared" si="6"/>
        <v>140.49359999999999</v>
      </c>
      <c r="AQ473" s="75">
        <f>VLOOKUP(B473,'Household Information'!$B$2:$E$48,4,FALSE)</f>
        <v>40.760000000000005</v>
      </c>
      <c r="AR473" s="79">
        <f>IF(12*(AP473-Variables!$C$45*AQ473*F473)*(G473/5)&lt;0,0,12*(AP473-Variables!$C$45*AQ473*F473)*(G473/5))</f>
        <v>6149074.6281105541</v>
      </c>
      <c r="AS473" s="1"/>
      <c r="AT473" s="62">
        <v>0</v>
      </c>
      <c r="AU473" s="1"/>
    </row>
    <row r="474" spans="1:47" ht="14.25" customHeight="1">
      <c r="A474" s="1">
        <v>1</v>
      </c>
      <c r="B474" s="3" t="s">
        <v>76</v>
      </c>
      <c r="C474" s="1">
        <v>2029</v>
      </c>
      <c r="D474" s="13">
        <f>VLOOKUP(B474,Population!$B$1:$O$48,13,FALSE)</f>
        <v>8459403.7775248159</v>
      </c>
      <c r="E474" s="13" t="str">
        <f t="shared" si="23"/>
        <v>Large</v>
      </c>
      <c r="F474" s="54">
        <f>VLOOKUP(B474,'Household Information'!$B$1:$E$48,2,FALSE)</f>
        <v>2.8458153079093123</v>
      </c>
      <c r="G474" s="54">
        <f t="shared" si="0"/>
        <v>2972576.5245600375</v>
      </c>
      <c r="H474" s="55">
        <f>IF(D474&gt;Variables!$C$6,H427,H427*(1+Variables!$C$9))</f>
        <v>418.2688494446499</v>
      </c>
      <c r="I474" s="1"/>
      <c r="J474" s="13">
        <f>H474*Variables!$C$21</f>
        <v>7528.8392900036979</v>
      </c>
      <c r="K474" s="13">
        <f t="shared" si="12"/>
        <v>13984</v>
      </c>
      <c r="L474" s="54">
        <f t="shared" si="1"/>
        <v>0</v>
      </c>
      <c r="M474" s="56"/>
      <c r="N474" s="57"/>
      <c r="O474" s="57"/>
      <c r="P474" s="57"/>
      <c r="Q474" s="57"/>
      <c r="R474" s="57"/>
      <c r="S474" s="58">
        <v>0</v>
      </c>
      <c r="T474" s="59">
        <f>$L474*Variables!$C$22/100</f>
        <v>0</v>
      </c>
      <c r="U474" s="59">
        <f>$L474*Variables!$C$23/100</f>
        <v>0</v>
      </c>
      <c r="V474" s="59">
        <f>$L474*Variables!$C$24/100</f>
        <v>0</v>
      </c>
      <c r="W474" s="59">
        <f>$L474*Variables!$C$25/100</f>
        <v>0</v>
      </c>
      <c r="X474" s="62">
        <f>T474*Variables!$E$26*Variables!$C$18+'Cost Calculations'!U474*Variables!$E$27*Variables!$C$18+'Cost Calculations'!V474*Variables!$E$28*Variables!$C$18+W474*Variables!$E$29*Variables!$C$18</f>
        <v>0</v>
      </c>
      <c r="Y474" s="58">
        <f>J474*Variables!$E$30</f>
        <v>4931389.7349524219</v>
      </c>
      <c r="Z474" s="1"/>
      <c r="AA474" s="245">
        <f>D474*(IF(D474&lt;Variables!$C$7,Variables!$C$38,IF(D474&gt;Variables!$C$6,Variables!$C$36,Variables!$C$37)))</f>
        <v>10151.284533029779</v>
      </c>
      <c r="AB474" s="64">
        <f t="shared" si="13"/>
        <v>10001</v>
      </c>
      <c r="AC474" s="66">
        <f t="shared" si="2"/>
        <v>150</v>
      </c>
      <c r="AD474" s="62">
        <f>AC474*Variables!$E$41</f>
        <v>80640000</v>
      </c>
      <c r="AE474" s="71">
        <f>ROUND((H474/(3.14*Variables!$C$35^2)),0)</f>
        <v>533</v>
      </c>
      <c r="AF474" s="57">
        <f t="shared" si="14"/>
        <v>853</v>
      </c>
      <c r="AG474" s="57">
        <f t="shared" si="3"/>
        <v>0</v>
      </c>
      <c r="AH474" s="58">
        <f>AG474*Variables!$E$42*Variables!$C$18</f>
        <v>0</v>
      </c>
      <c r="AI474" s="73">
        <f t="shared" si="4"/>
        <v>85</v>
      </c>
      <c r="AJ474" s="66">
        <f t="shared" si="15"/>
        <v>83</v>
      </c>
      <c r="AK474" s="66">
        <f t="shared" si="5"/>
        <v>2</v>
      </c>
      <c r="AL474" s="62">
        <f>IF(AK474*Variables!$E$43*Variables!$C$18&lt;0,0,AK474*Variables!$E$43*Variables!$C$18)</f>
        <v>1890762.9839999999</v>
      </c>
      <c r="AM474" s="58">
        <f>AA474*Variables!$E$39*Variables!$C$18</f>
        <v>2934252290.475152</v>
      </c>
      <c r="AN474" s="1"/>
      <c r="AO474" s="76">
        <f t="shared" si="16"/>
        <v>0.68340000000000001</v>
      </c>
      <c r="AP474" s="76">
        <f t="shared" si="6"/>
        <v>116.68981088551344</v>
      </c>
      <c r="AQ474" s="75">
        <f>VLOOKUP(B474,'Household Information'!$B$2:$E$48,4,FALSE)</f>
        <v>91.36</v>
      </c>
      <c r="AR474" s="79">
        <f>IF(12*(AP474-Variables!$C$45*AQ474*F474)*(G474/5)&lt;0,0,12*(AP474-Variables!$C$45*AQ474*F474)*(G474/5))</f>
        <v>554260135.50342607</v>
      </c>
      <c r="AS474" s="1"/>
      <c r="AT474" s="62">
        <v>0</v>
      </c>
      <c r="AU474" s="1"/>
    </row>
    <row r="475" spans="1:47" ht="14.25" customHeight="1">
      <c r="A475" s="1">
        <v>2</v>
      </c>
      <c r="B475" s="3" t="s">
        <v>87</v>
      </c>
      <c r="C475" s="1">
        <v>2029</v>
      </c>
      <c r="D475" s="13">
        <f>VLOOKUP(B475,Population!$B$1:$O$48,13,FALSE)</f>
        <v>2794483.6026633889</v>
      </c>
      <c r="E475" s="13" t="str">
        <f t="shared" si="23"/>
        <v>Large</v>
      </c>
      <c r="F475" s="54">
        <f>VLOOKUP(B475,'Household Information'!$B$1:$E$48,2,FALSE)</f>
        <v>2.6591126390039355</v>
      </c>
      <c r="G475" s="54">
        <f t="shared" si="0"/>
        <v>1050908.3224508164</v>
      </c>
      <c r="H475" s="55">
        <f>IF(D475&gt;Variables!$C$6,H428,H428*(1+Variables!$C$9))</f>
        <v>119.58406164038337</v>
      </c>
      <c r="I475" s="1"/>
      <c r="J475" s="13">
        <f>H475*Variables!$C$21</f>
        <v>2152.5131095269007</v>
      </c>
      <c r="K475" s="13">
        <f t="shared" si="12"/>
        <v>2152.5131095269007</v>
      </c>
      <c r="L475" s="54">
        <f t="shared" si="1"/>
        <v>0</v>
      </c>
      <c r="M475" s="56"/>
      <c r="N475" s="57"/>
      <c r="O475" s="57"/>
      <c r="P475" s="57"/>
      <c r="Q475" s="57"/>
      <c r="R475" s="57"/>
      <c r="S475" s="58">
        <v>0</v>
      </c>
      <c r="T475" s="59">
        <f>$L475*Variables!$C$22/100</f>
        <v>0</v>
      </c>
      <c r="U475" s="59">
        <f>$L475*Variables!$C$23/100</f>
        <v>0</v>
      </c>
      <c r="V475" s="59">
        <f>$L475*Variables!$C$24/100</f>
        <v>0</v>
      </c>
      <c r="W475" s="59">
        <f>$L475*Variables!$C$25/100</f>
        <v>0</v>
      </c>
      <c r="X475" s="62">
        <f>T475*Variables!$E$26*Variables!$C$18+'Cost Calculations'!U475*Variables!$E$27*Variables!$C$18+'Cost Calculations'!V475*Variables!$E$28*Variables!$C$18+W475*Variables!$E$29*Variables!$C$18</f>
        <v>0</v>
      </c>
      <c r="Y475" s="58">
        <f>J475*Variables!$E$30</f>
        <v>1409896.0867401201</v>
      </c>
      <c r="Z475" s="1"/>
      <c r="AA475" s="245">
        <f>D475*(IF(D475&lt;Variables!$C$7,Variables!$C$38,IF(D475&gt;Variables!$C$6,Variables!$C$36,Variables!$C$37)))</f>
        <v>3353.3803231960665</v>
      </c>
      <c r="AB475" s="64">
        <f t="shared" si="13"/>
        <v>4664</v>
      </c>
      <c r="AC475" s="66">
        <f t="shared" si="2"/>
        <v>0</v>
      </c>
      <c r="AD475" s="62">
        <f>AC475*Variables!$E$41</f>
        <v>0</v>
      </c>
      <c r="AE475" s="71">
        <f>ROUND((H475/(3.14*Variables!$C$35^2)),0)</f>
        <v>152</v>
      </c>
      <c r="AF475" s="57">
        <f t="shared" si="14"/>
        <v>152</v>
      </c>
      <c r="AG475" s="57">
        <f t="shared" si="3"/>
        <v>0</v>
      </c>
      <c r="AH475" s="58">
        <f>AG475*Variables!$E$42*Variables!$C$18</f>
        <v>0</v>
      </c>
      <c r="AI475" s="73">
        <f t="shared" si="4"/>
        <v>28</v>
      </c>
      <c r="AJ475" s="66">
        <f t="shared" si="15"/>
        <v>28</v>
      </c>
      <c r="AK475" s="66">
        <f t="shared" si="5"/>
        <v>0</v>
      </c>
      <c r="AL475" s="62">
        <f>IF(AK475*Variables!$E$43*Variables!$C$18&lt;0,0,AK475*Variables!$E$43*Variables!$C$18)</f>
        <v>0</v>
      </c>
      <c r="AM475" s="58">
        <f>AA475*Variables!$E$39*Variables!$C$18</f>
        <v>969302344.16703832</v>
      </c>
      <c r="AN475" s="1"/>
      <c r="AO475" s="76">
        <f t="shared" si="16"/>
        <v>0.75480000000000003</v>
      </c>
      <c r="AP475" s="76">
        <f t="shared" si="6"/>
        <v>120.42589319521024</v>
      </c>
      <c r="AQ475" s="75">
        <f>VLOOKUP(B475,'Household Information'!$B$2:$E$48,4,FALSE)</f>
        <v>73.64</v>
      </c>
      <c r="AR475" s="79">
        <f>IF(12*(AP475-Variables!$C$45*AQ475*F475)*(G475/5)&lt;0,0,12*(AP475-Variables!$C$45*AQ475*F475)*(G475/5))</f>
        <v>229652898.05375946</v>
      </c>
      <c r="AS475" s="1"/>
      <c r="AT475" s="62">
        <v>0</v>
      </c>
      <c r="AU475" s="1"/>
    </row>
    <row r="476" spans="1:47" ht="14.25" customHeight="1">
      <c r="A476" s="1">
        <v>3</v>
      </c>
      <c r="B476" s="3" t="s">
        <v>103</v>
      </c>
      <c r="C476" s="1">
        <v>2029</v>
      </c>
      <c r="D476" s="13">
        <f>VLOOKUP(B476,Population!$B$1:$O$48,13,FALSE)</f>
        <v>2147246.601570359</v>
      </c>
      <c r="E476" s="13" t="str">
        <f t="shared" si="23"/>
        <v>Large</v>
      </c>
      <c r="F476" s="54">
        <f>VLOOKUP(B476,'Household Information'!$B$1:$E$48,2,FALSE)</f>
        <v>2.6407866430045996</v>
      </c>
      <c r="G476" s="54">
        <f t="shared" si="0"/>
        <v>813108.70276414789</v>
      </c>
      <c r="H476" s="55">
        <f>IF(D476&gt;Variables!$C$6,H429,H429*(1+Variables!$C$9))</f>
        <v>224.70642399999997</v>
      </c>
      <c r="I476" s="1"/>
      <c r="J476" s="13">
        <f>H476*Variables!$C$21</f>
        <v>4044.7156319999995</v>
      </c>
      <c r="K476" s="13">
        <f t="shared" si="12"/>
        <v>4044.7156319999995</v>
      </c>
      <c r="L476" s="54">
        <f t="shared" si="1"/>
        <v>0</v>
      </c>
      <c r="M476" s="56"/>
      <c r="N476" s="57"/>
      <c r="O476" s="57"/>
      <c r="P476" s="57"/>
      <c r="Q476" s="57"/>
      <c r="R476" s="57"/>
      <c r="S476" s="58">
        <v>0</v>
      </c>
      <c r="T476" s="59">
        <f>$L476*Variables!$C$22/100</f>
        <v>0</v>
      </c>
      <c r="U476" s="59">
        <f>$L476*Variables!$C$23/100</f>
        <v>0</v>
      </c>
      <c r="V476" s="59">
        <f>$L476*Variables!$C$24/100</f>
        <v>0</v>
      </c>
      <c r="W476" s="59">
        <f>$L476*Variables!$C$25/100</f>
        <v>0</v>
      </c>
      <c r="X476" s="62">
        <f>T476*Variables!$E$26*Variables!$C$18+'Cost Calculations'!U476*Variables!$E$27*Variables!$C$18+'Cost Calculations'!V476*Variables!$E$28*Variables!$C$18+W476*Variables!$E$29*Variables!$C$18</f>
        <v>0</v>
      </c>
      <c r="Y476" s="58">
        <f>J476*Variables!$E$30</f>
        <v>2649288.7389599998</v>
      </c>
      <c r="Z476" s="1"/>
      <c r="AA476" s="245">
        <f>D476*(IF(D476&lt;Variables!$C$7,Variables!$C$38,IF(D476&gt;Variables!$C$6,Variables!$C$36,Variables!$C$37)))</f>
        <v>2576.6959218844304</v>
      </c>
      <c r="AB476" s="64">
        <f t="shared" si="13"/>
        <v>2539</v>
      </c>
      <c r="AC476" s="66">
        <f t="shared" si="2"/>
        <v>38</v>
      </c>
      <c r="AD476" s="62">
        <f>AC476*Variables!$E$41</f>
        <v>20428800</v>
      </c>
      <c r="AE476" s="71">
        <f>ROUND((H476/(3.14*Variables!$C$35^2)),0)</f>
        <v>286</v>
      </c>
      <c r="AF476" s="57">
        <f t="shared" si="14"/>
        <v>286</v>
      </c>
      <c r="AG476" s="57">
        <f t="shared" si="3"/>
        <v>0</v>
      </c>
      <c r="AH476" s="58">
        <f>AG476*Variables!$E$42*Variables!$C$18</f>
        <v>0</v>
      </c>
      <c r="AI476" s="73">
        <f t="shared" si="4"/>
        <v>21</v>
      </c>
      <c r="AJ476" s="66">
        <f t="shared" si="15"/>
        <v>21</v>
      </c>
      <c r="AK476" s="66">
        <f t="shared" si="5"/>
        <v>0</v>
      </c>
      <c r="AL476" s="62">
        <f>IF(AK476*Variables!$E$43*Variables!$C$18&lt;0,0,AK476*Variables!$E$43*Variables!$C$18)</f>
        <v>0</v>
      </c>
      <c r="AM476" s="58">
        <f>AA476*Variables!$E$39*Variables!$C$18</f>
        <v>744799920.25115609</v>
      </c>
      <c r="AN476" s="1"/>
      <c r="AO476" s="76">
        <f t="shared" si="16"/>
        <v>0.61199999999999999</v>
      </c>
      <c r="AP476" s="76">
        <f t="shared" si="6"/>
        <v>96.969685531128903</v>
      </c>
      <c r="AQ476" s="75">
        <f>VLOOKUP(B476,'Household Information'!$B$2:$E$48,4,FALSE)</f>
        <v>61.12</v>
      </c>
      <c r="AR476" s="79">
        <f>IF(12*(AP476-Variables!$C$45*AQ476*F476)*(G476/5)&lt;0,0,12*(AP476-Variables!$C$45*AQ476*F476)*(G476/5))</f>
        <v>141986252.07951969</v>
      </c>
      <c r="AS476" s="1"/>
      <c r="AT476" s="62">
        <v>0</v>
      </c>
      <c r="AU476" s="1"/>
    </row>
    <row r="477" spans="1:47" ht="14.25" customHeight="1">
      <c r="A477" s="1">
        <v>4</v>
      </c>
      <c r="B477" s="3" t="s">
        <v>104</v>
      </c>
      <c r="C477" s="1">
        <v>2029</v>
      </c>
      <c r="D477" s="13">
        <f>VLOOKUP(B477,Population!$B$1:$O$48,13,FALSE)</f>
        <v>1319424.138629141</v>
      </c>
      <c r="E477" s="13" t="str">
        <f t="shared" si="23"/>
        <v>Large</v>
      </c>
      <c r="F477" s="54">
        <f>VLOOKUP(B477,'Household Information'!$B$1:$E$48,2,FALSE)</f>
        <v>3.2280741697119208</v>
      </c>
      <c r="G477" s="54">
        <f t="shared" si="0"/>
        <v>408734.14589073363</v>
      </c>
      <c r="H477" s="55">
        <f>IF(D477&gt;Variables!$C$6,H430,H430*(1+Variables!$C$9))</f>
        <v>154</v>
      </c>
      <c r="I477" s="1"/>
      <c r="J477" s="13">
        <f>H477*Variables!$C$21</f>
        <v>2772</v>
      </c>
      <c r="K477" s="13">
        <f t="shared" si="12"/>
        <v>3916</v>
      </c>
      <c r="L477" s="54">
        <f t="shared" si="1"/>
        <v>0</v>
      </c>
      <c r="M477" s="56"/>
      <c r="N477" s="57"/>
      <c r="O477" s="57"/>
      <c r="P477" s="57"/>
      <c r="Q477" s="57"/>
      <c r="R477" s="57"/>
      <c r="S477" s="58">
        <v>0</v>
      </c>
      <c r="T477" s="59">
        <f>$L477*Variables!$C$22/100</f>
        <v>0</v>
      </c>
      <c r="U477" s="59">
        <f>$L477*Variables!$C$23/100</f>
        <v>0</v>
      </c>
      <c r="V477" s="59">
        <f>$L477*Variables!$C$24/100</f>
        <v>0</v>
      </c>
      <c r="W477" s="59">
        <f>$L477*Variables!$C$25/100</f>
        <v>0</v>
      </c>
      <c r="X477" s="62">
        <f>T477*Variables!$E$26*Variables!$C$18+'Cost Calculations'!U477*Variables!$E$27*Variables!$C$18+'Cost Calculations'!V477*Variables!$E$28*Variables!$C$18+W477*Variables!$E$29*Variables!$C$18</f>
        <v>0</v>
      </c>
      <c r="Y477" s="58">
        <f>J477*Variables!$E$30</f>
        <v>1815660</v>
      </c>
      <c r="Z477" s="1"/>
      <c r="AA477" s="245">
        <f>D477*(IF(D477&lt;Variables!$C$7,Variables!$C$38,IF(D477&gt;Variables!$C$6,Variables!$C$36,Variables!$C$37)))</f>
        <v>1583.308966354969</v>
      </c>
      <c r="AB477" s="64">
        <f t="shared" si="13"/>
        <v>2043</v>
      </c>
      <c r="AC477" s="66">
        <f t="shared" si="2"/>
        <v>0</v>
      </c>
      <c r="AD477" s="62">
        <f>AC477*Variables!$E$41</f>
        <v>0</v>
      </c>
      <c r="AE477" s="71">
        <f>ROUND((H477/(3.14*Variables!$C$35^2)),0)</f>
        <v>196</v>
      </c>
      <c r="AF477" s="57">
        <f t="shared" si="14"/>
        <v>196</v>
      </c>
      <c r="AG477" s="57">
        <f t="shared" si="3"/>
        <v>0</v>
      </c>
      <c r="AH477" s="58">
        <f>AG477*Variables!$E$42*Variables!$C$18</f>
        <v>0</v>
      </c>
      <c r="AI477" s="73">
        <f t="shared" si="4"/>
        <v>13</v>
      </c>
      <c r="AJ477" s="66">
        <f t="shared" si="15"/>
        <v>13</v>
      </c>
      <c r="AK477" s="66">
        <f t="shared" si="5"/>
        <v>0</v>
      </c>
      <c r="AL477" s="62">
        <f>IF(AK477*Variables!$E$43*Variables!$C$18&lt;0,0,AK477*Variables!$E$43*Variables!$C$18)</f>
        <v>0</v>
      </c>
      <c r="AM477" s="58">
        <f>AA477*Variables!$E$39*Variables!$C$18</f>
        <v>457659121.45803165</v>
      </c>
      <c r="AN477" s="1"/>
      <c r="AO477" s="76">
        <f t="shared" si="16"/>
        <v>0.6804</v>
      </c>
      <c r="AP477" s="76">
        <f t="shared" si="6"/>
        <v>131.78289990431946</v>
      </c>
      <c r="AQ477" s="75">
        <f>VLOOKUP(B477,'Household Information'!$B$2:$E$48,4,FALSE)</f>
        <v>42.71</v>
      </c>
      <c r="AR477" s="79">
        <f>IF(12*(AP477-Variables!$C$45*AQ477*F477)*(G477/5)&lt;0,0,12*(AP477-Variables!$C$45*AQ477*F477)*(G477/5))</f>
        <v>108987072.69904433</v>
      </c>
      <c r="AS477" s="1"/>
      <c r="AT477" s="62">
        <v>0</v>
      </c>
      <c r="AU477" s="1"/>
    </row>
    <row r="478" spans="1:47" ht="14.25" customHeight="1">
      <c r="A478" s="1">
        <v>5</v>
      </c>
      <c r="B478" s="3" t="s">
        <v>105</v>
      </c>
      <c r="C478" s="1">
        <v>2029</v>
      </c>
      <c r="D478" s="13">
        <f>VLOOKUP(B478,Population!$B$1:$O$48,13,FALSE)</f>
        <v>622964.18528895499</v>
      </c>
      <c r="E478" s="13" t="str">
        <f t="shared" si="23"/>
        <v>Medium</v>
      </c>
      <c r="F478" s="54">
        <f>VLOOKUP(B478,'Household Information'!$B$1:$E$48,2,FALSE)</f>
        <v>2.791645991913092</v>
      </c>
      <c r="G478" s="54">
        <f t="shared" si="0"/>
        <v>223153.00259903038</v>
      </c>
      <c r="H478" s="55">
        <f>IF(D478&gt;Variables!$C$6,H431,H431*(1+Variables!$C$9))</f>
        <v>76.806648999999993</v>
      </c>
      <c r="I478" s="1"/>
      <c r="J478" s="13">
        <f>H478*Variables!$C$21</f>
        <v>1382.5196819999999</v>
      </c>
      <c r="K478" s="13">
        <f t="shared" si="12"/>
        <v>1382.5196819999999</v>
      </c>
      <c r="L478" s="54">
        <f t="shared" si="1"/>
        <v>0</v>
      </c>
      <c r="M478" s="56"/>
      <c r="N478" s="57"/>
      <c r="O478" s="57"/>
      <c r="P478" s="57"/>
      <c r="Q478" s="57"/>
      <c r="R478" s="57"/>
      <c r="S478" s="58">
        <v>0</v>
      </c>
      <c r="T478" s="59">
        <f>$L478*Variables!$C$22/100</f>
        <v>0</v>
      </c>
      <c r="U478" s="59">
        <f>$L478*Variables!$C$23/100</f>
        <v>0</v>
      </c>
      <c r="V478" s="59">
        <f>$L478*Variables!$C$24/100</f>
        <v>0</v>
      </c>
      <c r="W478" s="59">
        <f>$L478*Variables!$C$25/100</f>
        <v>0</v>
      </c>
      <c r="X478" s="62">
        <f>T478*Variables!$E$26*Variables!$C$18+'Cost Calculations'!U478*Variables!$E$27*Variables!$C$18+'Cost Calculations'!V478*Variables!$E$28*Variables!$C$18+W478*Variables!$E$29*Variables!$C$18</f>
        <v>0</v>
      </c>
      <c r="Y478" s="58">
        <f>J478*Variables!$E$30</f>
        <v>905550.39170999988</v>
      </c>
      <c r="Z478" s="1"/>
      <c r="AA478" s="245">
        <f>D478*(IF(D478&lt;Variables!$C$7,Variables!$C$38,IF(D478&gt;Variables!$C$6,Variables!$C$36,Variables!$C$37)))</f>
        <v>747.55702234674595</v>
      </c>
      <c r="AB478" s="64">
        <f t="shared" si="13"/>
        <v>737</v>
      </c>
      <c r="AC478" s="66">
        <f t="shared" si="2"/>
        <v>11</v>
      </c>
      <c r="AD478" s="62">
        <f>AC478*Variables!$E$41</f>
        <v>5913600</v>
      </c>
      <c r="AE478" s="71">
        <f>ROUND((H478/(3.14*Variables!$C$35^2)),0)</f>
        <v>98</v>
      </c>
      <c r="AF478" s="57">
        <f t="shared" si="14"/>
        <v>98</v>
      </c>
      <c r="AG478" s="57">
        <f t="shared" si="3"/>
        <v>0</v>
      </c>
      <c r="AH478" s="58">
        <f>AG478*Variables!$E$42*Variables!$C$18</f>
        <v>0</v>
      </c>
      <c r="AI478" s="73">
        <f t="shared" si="4"/>
        <v>6</v>
      </c>
      <c r="AJ478" s="66">
        <f t="shared" si="15"/>
        <v>6</v>
      </c>
      <c r="AK478" s="66">
        <f t="shared" si="5"/>
        <v>0</v>
      </c>
      <c r="AL478" s="62">
        <f>IF(AK478*Variables!$E$43*Variables!$C$18&lt;0,0,AK478*Variables!$E$43*Variables!$C$18)</f>
        <v>0</v>
      </c>
      <c r="AM478" s="58">
        <f>AA478*Variables!$E$39*Variables!$C$18</f>
        <v>216083087.60773548</v>
      </c>
      <c r="AN478" s="1"/>
      <c r="AO478" s="76">
        <f t="shared" si="16"/>
        <v>0.71399999999999997</v>
      </c>
      <c r="AP478" s="76">
        <f t="shared" si="6"/>
        <v>119.59411429355686</v>
      </c>
      <c r="AQ478" s="75">
        <f>VLOOKUP(B478,'Household Information'!$B$2:$E$48,4,FALSE)</f>
        <v>61.2</v>
      </c>
      <c r="AR478" s="79">
        <f>IF(12*(AP478-Variables!$C$45*AQ478*F478)*(G478/5)&lt;0,0,12*(AP478-Variables!$C$45*AQ478*F478)*(G478/5))</f>
        <v>50325538.744382933</v>
      </c>
      <c r="AS478" s="1"/>
      <c r="AT478" s="62">
        <v>0</v>
      </c>
      <c r="AU478" s="1"/>
    </row>
    <row r="479" spans="1:47" ht="14.25" customHeight="1">
      <c r="A479" s="1">
        <v>6</v>
      </c>
      <c r="B479" s="3" t="s">
        <v>106</v>
      </c>
      <c r="C479" s="1">
        <v>2029</v>
      </c>
      <c r="D479" s="13">
        <f>VLOOKUP(B479,Population!$B$1:$O$48,13,FALSE)</f>
        <v>1045955.0471690472</v>
      </c>
      <c r="E479" s="13" t="str">
        <f t="shared" si="23"/>
        <v>Large</v>
      </c>
      <c r="F479" s="54">
        <f>VLOOKUP(B479,'Household Information'!$B$1:$E$48,2,FALSE)</f>
        <v>3.0151582035627214</v>
      </c>
      <c r="G479" s="54">
        <f t="shared" si="0"/>
        <v>346898.89437083039</v>
      </c>
      <c r="H479" s="55">
        <f>IF(D479&gt;Variables!$C$6,H432,H432*(1+Variables!$C$9))</f>
        <v>116.91803899999999</v>
      </c>
      <c r="I479" s="1"/>
      <c r="J479" s="13">
        <f>H479*Variables!$C$21</f>
        <v>2104.5247019999997</v>
      </c>
      <c r="K479" s="13">
        <f t="shared" si="12"/>
        <v>2104.5247019999997</v>
      </c>
      <c r="L479" s="54">
        <f t="shared" si="1"/>
        <v>0</v>
      </c>
      <c r="M479" s="56"/>
      <c r="N479" s="57"/>
      <c r="O479" s="57"/>
      <c r="P479" s="57"/>
      <c r="Q479" s="57"/>
      <c r="R479" s="57"/>
      <c r="S479" s="58">
        <v>0</v>
      </c>
      <c r="T479" s="59">
        <f>$L479*Variables!$C$22/100</f>
        <v>0</v>
      </c>
      <c r="U479" s="59">
        <f>$L479*Variables!$C$23/100</f>
        <v>0</v>
      </c>
      <c r="V479" s="59">
        <f>$L479*Variables!$C$24/100</f>
        <v>0</v>
      </c>
      <c r="W479" s="59">
        <f>$L479*Variables!$C$25/100</f>
        <v>0</v>
      </c>
      <c r="X479" s="62">
        <f>T479*Variables!$E$26*Variables!$C$18+'Cost Calculations'!U479*Variables!$E$27*Variables!$C$18+'Cost Calculations'!V479*Variables!$E$28*Variables!$C$18+W479*Variables!$E$29*Variables!$C$18</f>
        <v>0</v>
      </c>
      <c r="Y479" s="58">
        <f>J479*Variables!$E$30</f>
        <v>1378463.6798099999</v>
      </c>
      <c r="Z479" s="1"/>
      <c r="AA479" s="245">
        <f>D479*(IF(D479&lt;Variables!$C$7,Variables!$C$38,IF(D479&gt;Variables!$C$6,Variables!$C$36,Variables!$C$37)))</f>
        <v>1255.1460566028566</v>
      </c>
      <c r="AB479" s="64">
        <f t="shared" si="13"/>
        <v>1237</v>
      </c>
      <c r="AC479" s="66">
        <f t="shared" si="2"/>
        <v>18</v>
      </c>
      <c r="AD479" s="62">
        <f>AC479*Variables!$E$41</f>
        <v>9676800</v>
      </c>
      <c r="AE479" s="71">
        <f>ROUND((H479/(3.14*Variables!$C$35^2)),0)</f>
        <v>149</v>
      </c>
      <c r="AF479" s="57">
        <f t="shared" si="14"/>
        <v>149</v>
      </c>
      <c r="AG479" s="57">
        <f t="shared" si="3"/>
        <v>0</v>
      </c>
      <c r="AH479" s="58">
        <f>AG479*Variables!$E$42*Variables!$C$18</f>
        <v>0</v>
      </c>
      <c r="AI479" s="73">
        <f t="shared" si="4"/>
        <v>10</v>
      </c>
      <c r="AJ479" s="66">
        <f t="shared" si="15"/>
        <v>10</v>
      </c>
      <c r="AK479" s="66">
        <f t="shared" si="5"/>
        <v>0</v>
      </c>
      <c r="AL479" s="62">
        <f>IF(AK479*Variables!$E$43*Variables!$C$18&lt;0,0,AK479*Variables!$E$43*Variables!$C$18)</f>
        <v>0</v>
      </c>
      <c r="AM479" s="58">
        <f>AA479*Variables!$E$39*Variables!$C$18</f>
        <v>362802872.82702875</v>
      </c>
      <c r="AN479" s="1"/>
      <c r="AO479" s="76">
        <f t="shared" si="16"/>
        <v>0.68340000000000001</v>
      </c>
      <c r="AP479" s="76">
        <f t="shared" si="6"/>
        <v>123.63354697888582</v>
      </c>
      <c r="AQ479" s="75">
        <f>VLOOKUP(B479,'Household Information'!$B$2:$E$48,4,FALSE)</f>
        <v>55.55</v>
      </c>
      <c r="AR479" s="79">
        <f>IF(12*(AP479-Variables!$C$45*AQ479*F479)*(G479/5)&lt;0,0,12*(AP479-Variables!$C$45*AQ479*F479)*(G479/5))</f>
        <v>82015008.77660045</v>
      </c>
      <c r="AS479" s="1"/>
      <c r="AT479" s="62">
        <v>0</v>
      </c>
      <c r="AU479" s="1"/>
    </row>
    <row r="480" spans="1:47" ht="14.25" customHeight="1">
      <c r="A480" s="1">
        <v>7</v>
      </c>
      <c r="B480" s="3" t="s">
        <v>107</v>
      </c>
      <c r="C480" s="1">
        <v>2029</v>
      </c>
      <c r="D480" s="13">
        <f>VLOOKUP(B480,Population!$B$1:$O$48,13,FALSE)</f>
        <v>741417.55248501443</v>
      </c>
      <c r="E480" s="13" t="str">
        <f t="shared" si="23"/>
        <v>Medium</v>
      </c>
      <c r="F480" s="54">
        <f>VLOOKUP(B480,'Household Information'!$B$1:$E$48,2,FALSE)</f>
        <v>2.7144187891908675</v>
      </c>
      <c r="G480" s="54">
        <f t="shared" si="0"/>
        <v>273140.44370655908</v>
      </c>
      <c r="H480" s="55">
        <f>IF(D480&gt;Variables!$C$6,H433,H433*(1+Variables!$C$9))</f>
        <v>92.766498999999996</v>
      </c>
      <c r="I480" s="1"/>
      <c r="J480" s="13">
        <f>H480*Variables!$C$21</f>
        <v>1669.7969819999998</v>
      </c>
      <c r="K480" s="13">
        <f t="shared" si="12"/>
        <v>1669.7969819999998</v>
      </c>
      <c r="L480" s="54">
        <f t="shared" si="1"/>
        <v>0</v>
      </c>
      <c r="M480" s="56"/>
      <c r="N480" s="57"/>
      <c r="O480" s="57"/>
      <c r="P480" s="57"/>
      <c r="Q480" s="57"/>
      <c r="R480" s="57"/>
      <c r="S480" s="58">
        <v>0</v>
      </c>
      <c r="T480" s="59">
        <f>$L480*Variables!$C$22/100</f>
        <v>0</v>
      </c>
      <c r="U480" s="59">
        <f>$L480*Variables!$C$23/100</f>
        <v>0</v>
      </c>
      <c r="V480" s="59">
        <f>$L480*Variables!$C$24/100</f>
        <v>0</v>
      </c>
      <c r="W480" s="59">
        <f>$L480*Variables!$C$25/100</f>
        <v>0</v>
      </c>
      <c r="X480" s="62">
        <f>T480*Variables!$E$26*Variables!$C$18+'Cost Calculations'!U480*Variables!$E$27*Variables!$C$18+'Cost Calculations'!V480*Variables!$E$28*Variables!$C$18+W480*Variables!$E$29*Variables!$C$18</f>
        <v>0</v>
      </c>
      <c r="Y480" s="58">
        <f>J480*Variables!$E$30</f>
        <v>1093717.0232099998</v>
      </c>
      <c r="Z480" s="1"/>
      <c r="AA480" s="245">
        <f>D480*(IF(D480&lt;Variables!$C$7,Variables!$C$38,IF(D480&gt;Variables!$C$6,Variables!$C$36,Variables!$C$37)))</f>
        <v>889.70106298201722</v>
      </c>
      <c r="AB480" s="64">
        <f t="shared" si="13"/>
        <v>877</v>
      </c>
      <c r="AC480" s="66">
        <f t="shared" si="2"/>
        <v>13</v>
      </c>
      <c r="AD480" s="62">
        <f>AC480*Variables!$E$41</f>
        <v>6988800</v>
      </c>
      <c r="AE480" s="71">
        <f>ROUND((H480/(3.14*Variables!$C$35^2)),0)</f>
        <v>118</v>
      </c>
      <c r="AF480" s="57">
        <f t="shared" si="14"/>
        <v>118</v>
      </c>
      <c r="AG480" s="57">
        <f t="shared" si="3"/>
        <v>0</v>
      </c>
      <c r="AH480" s="58">
        <f>AG480*Variables!$E$42*Variables!$C$18</f>
        <v>0</v>
      </c>
      <c r="AI480" s="73">
        <f t="shared" si="4"/>
        <v>7</v>
      </c>
      <c r="AJ480" s="66">
        <f t="shared" si="15"/>
        <v>7</v>
      </c>
      <c r="AK480" s="66">
        <f t="shared" si="5"/>
        <v>0</v>
      </c>
      <c r="AL480" s="62">
        <f>IF(AK480*Variables!$E$43*Variables!$C$18&lt;0,0,AK480*Variables!$E$43*Variables!$C$18)</f>
        <v>0</v>
      </c>
      <c r="AM480" s="58">
        <f>AA480*Variables!$E$39*Variables!$C$18</f>
        <v>257170151.56051317</v>
      </c>
      <c r="AN480" s="1"/>
      <c r="AO480" s="76">
        <f t="shared" si="16"/>
        <v>0.67714285714285716</v>
      </c>
      <c r="AP480" s="76">
        <f t="shared" si="6"/>
        <v>110.28295766369753</v>
      </c>
      <c r="AQ480" s="75">
        <f>VLOOKUP(B480,'Household Information'!$B$2:$E$48,4,FALSE)</f>
        <v>59.47</v>
      </c>
      <c r="AR480" s="79">
        <f>IF(12*(AP480-Variables!$C$45*AQ480*F480)*(G480/5)&lt;0,0,12*(AP480-Variables!$C$45*AQ480*F480)*(G480/5))</f>
        <v>56421409.710219465</v>
      </c>
      <c r="AS480" s="1"/>
      <c r="AT480" s="62">
        <v>0</v>
      </c>
      <c r="AU480" s="1"/>
    </row>
    <row r="481" spans="1:47" ht="14.25" customHeight="1">
      <c r="A481" s="1">
        <v>8</v>
      </c>
      <c r="B481" s="3" t="s">
        <v>108</v>
      </c>
      <c r="C481" s="1">
        <v>2029</v>
      </c>
      <c r="D481" s="13">
        <f>VLOOKUP(B481,Population!$B$1:$O$48,13,FALSE)</f>
        <v>482570.34118487337</v>
      </c>
      <c r="E481" s="13" t="str">
        <f t="shared" si="23"/>
        <v>Medium</v>
      </c>
      <c r="F481" s="54">
        <f>VLOOKUP(B481,'Household Information'!$B$1:$E$48,2,FALSE)</f>
        <v>2.3617684870776379</v>
      </c>
      <c r="G481" s="54">
        <f t="shared" si="0"/>
        <v>204325.8447325578</v>
      </c>
      <c r="H481" s="55">
        <f>IF(D481&gt;Variables!$C$6,H434,H434*(1+Variables!$C$9))</f>
        <v>39.199250999999997</v>
      </c>
      <c r="I481" s="1"/>
      <c r="J481" s="13">
        <f>H481*Variables!$C$21</f>
        <v>705.58651799999996</v>
      </c>
      <c r="K481" s="13">
        <f t="shared" si="12"/>
        <v>705.58651799999996</v>
      </c>
      <c r="L481" s="54">
        <f t="shared" si="1"/>
        <v>0</v>
      </c>
      <c r="M481" s="56"/>
      <c r="N481" s="57"/>
      <c r="O481" s="57"/>
      <c r="P481" s="57"/>
      <c r="Q481" s="57"/>
      <c r="R481" s="57"/>
      <c r="S481" s="58">
        <v>0</v>
      </c>
      <c r="T481" s="59">
        <f>$L481*Variables!$C$22/100</f>
        <v>0</v>
      </c>
      <c r="U481" s="59">
        <f>$L481*Variables!$C$23/100</f>
        <v>0</v>
      </c>
      <c r="V481" s="59">
        <f>$L481*Variables!$C$24/100</f>
        <v>0</v>
      </c>
      <c r="W481" s="59">
        <f>$L481*Variables!$C$25/100</f>
        <v>0</v>
      </c>
      <c r="X481" s="62">
        <f>T481*Variables!$E$26*Variables!$C$18+'Cost Calculations'!U481*Variables!$E$27*Variables!$C$18+'Cost Calculations'!V481*Variables!$E$28*Variables!$C$18+W481*Variables!$E$29*Variables!$C$18</f>
        <v>0</v>
      </c>
      <c r="Y481" s="58">
        <f>J481*Variables!$E$30</f>
        <v>462159.16928999999</v>
      </c>
      <c r="Z481" s="1"/>
      <c r="AA481" s="245">
        <f>D481*(IF(D481&lt;Variables!$C$7,Variables!$C$38,IF(D481&gt;Variables!$C$6,Variables!$C$36,Variables!$C$37)))</f>
        <v>579.08440942184802</v>
      </c>
      <c r="AB481" s="64">
        <f t="shared" si="13"/>
        <v>978</v>
      </c>
      <c r="AC481" s="66">
        <f t="shared" si="2"/>
        <v>0</v>
      </c>
      <c r="AD481" s="62">
        <f>AC481*Variables!$E$41</f>
        <v>0</v>
      </c>
      <c r="AE481" s="71">
        <f>ROUND((H481/(3.14*Variables!$C$35^2)),0)</f>
        <v>50</v>
      </c>
      <c r="AF481" s="57">
        <f t="shared" si="14"/>
        <v>50</v>
      </c>
      <c r="AG481" s="57">
        <f t="shared" si="3"/>
        <v>0</v>
      </c>
      <c r="AH481" s="58">
        <f>AG481*Variables!$E$42*Variables!$C$18</f>
        <v>0</v>
      </c>
      <c r="AI481" s="73">
        <f t="shared" si="4"/>
        <v>5</v>
      </c>
      <c r="AJ481" s="66">
        <f t="shared" si="15"/>
        <v>5</v>
      </c>
      <c r="AK481" s="66">
        <f t="shared" si="5"/>
        <v>0</v>
      </c>
      <c r="AL481" s="62">
        <f>IF(AK481*Variables!$E$43*Variables!$C$18&lt;0,0,AK481*Variables!$E$43*Variables!$C$18)</f>
        <v>0</v>
      </c>
      <c r="AM481" s="58">
        <f>AA481*Variables!$E$39*Variables!$C$18</f>
        <v>167385688.89442474</v>
      </c>
      <c r="AN481" s="1"/>
      <c r="AO481" s="76">
        <f t="shared" si="16"/>
        <v>0.61199999999999999</v>
      </c>
      <c r="AP481" s="76">
        <f t="shared" si="6"/>
        <v>86.724138845490856</v>
      </c>
      <c r="AQ481" s="75">
        <f>VLOOKUP(B481,'Household Information'!$B$2:$E$48,4,FALSE)</f>
        <v>75.66</v>
      </c>
      <c r="AR481" s="79">
        <f>IF(12*(AP481-Variables!$C$45*AQ481*F481)*(G481/5)&lt;0,0,12*(AP481-Variables!$C$45*AQ481*F481)*(G481/5))</f>
        <v>29383901.102883417</v>
      </c>
      <c r="AS481" s="1"/>
      <c r="AT481" s="62">
        <v>0</v>
      </c>
      <c r="AU481" s="1"/>
    </row>
    <row r="482" spans="1:47" ht="14.25" customHeight="1">
      <c r="A482" s="1">
        <v>9</v>
      </c>
      <c r="B482" s="3" t="s">
        <v>109</v>
      </c>
      <c r="C482" s="1">
        <v>2029</v>
      </c>
      <c r="D482" s="13">
        <f>VLOOKUP(B482,Population!$B$1:$O$48,13,FALSE)</f>
        <v>565242.33145845449</v>
      </c>
      <c r="E482" s="13" t="str">
        <f t="shared" si="23"/>
        <v>Medium</v>
      </c>
      <c r="F482" s="54">
        <f>VLOOKUP(B482,'Household Information'!$B$1:$E$48,2,FALSE)</f>
        <v>2.7429262269780841</v>
      </c>
      <c r="G482" s="54">
        <f t="shared" si="0"/>
        <v>206072.74300672277</v>
      </c>
      <c r="H482" s="55">
        <f>IF(D482&gt;Variables!$C$6,H435,H435*(1+Variables!$C$9))</f>
        <v>47.234957999999992</v>
      </c>
      <c r="I482" s="1"/>
      <c r="J482" s="13">
        <f>H482*Variables!$C$21</f>
        <v>850.22924399999988</v>
      </c>
      <c r="K482" s="13">
        <f t="shared" si="12"/>
        <v>850.22924399999988</v>
      </c>
      <c r="L482" s="54">
        <f t="shared" si="1"/>
        <v>0</v>
      </c>
      <c r="M482" s="56"/>
      <c r="N482" s="57"/>
      <c r="O482" s="57"/>
      <c r="P482" s="57"/>
      <c r="Q482" s="57"/>
      <c r="R482" s="57"/>
      <c r="S482" s="58">
        <v>0</v>
      </c>
      <c r="T482" s="59">
        <f>$L482*Variables!$C$22/100</f>
        <v>0</v>
      </c>
      <c r="U482" s="59">
        <f>$L482*Variables!$C$23/100</f>
        <v>0</v>
      </c>
      <c r="V482" s="59">
        <f>$L482*Variables!$C$24/100</f>
        <v>0</v>
      </c>
      <c r="W482" s="59">
        <f>$L482*Variables!$C$25/100</f>
        <v>0</v>
      </c>
      <c r="X482" s="62">
        <f>T482*Variables!$E$26*Variables!$C$18+'Cost Calculations'!U482*Variables!$E$27*Variables!$C$18+'Cost Calculations'!V482*Variables!$E$28*Variables!$C$18+W482*Variables!$E$29*Variables!$C$18</f>
        <v>0</v>
      </c>
      <c r="Y482" s="58">
        <f>J482*Variables!$E$30</f>
        <v>556900.15481999994</v>
      </c>
      <c r="Z482" s="1"/>
      <c r="AA482" s="245">
        <f>D482*(IF(D482&lt;Variables!$C$7,Variables!$C$38,IF(D482&gt;Variables!$C$6,Variables!$C$36,Variables!$C$37)))</f>
        <v>678.29079775014532</v>
      </c>
      <c r="AB482" s="64">
        <f t="shared" si="13"/>
        <v>668</v>
      </c>
      <c r="AC482" s="66">
        <f t="shared" si="2"/>
        <v>10</v>
      </c>
      <c r="AD482" s="62">
        <f>AC482*Variables!$E$41</f>
        <v>5376000</v>
      </c>
      <c r="AE482" s="71">
        <f>ROUND((H482/(3.14*Variables!$C$35^2)),0)</f>
        <v>60</v>
      </c>
      <c r="AF482" s="57">
        <f t="shared" si="14"/>
        <v>60</v>
      </c>
      <c r="AG482" s="57">
        <f t="shared" si="3"/>
        <v>0</v>
      </c>
      <c r="AH482" s="58">
        <f>AG482*Variables!$E$42*Variables!$C$18</f>
        <v>0</v>
      </c>
      <c r="AI482" s="73">
        <f t="shared" si="4"/>
        <v>6</v>
      </c>
      <c r="AJ482" s="66">
        <f t="shared" si="15"/>
        <v>6</v>
      </c>
      <c r="AK482" s="66">
        <f t="shared" si="5"/>
        <v>0</v>
      </c>
      <c r="AL482" s="62">
        <f>IF(AK482*Variables!$E$43*Variables!$C$18&lt;0,0,AK482*Variables!$E$43*Variables!$C$18)</f>
        <v>0</v>
      </c>
      <c r="AM482" s="58">
        <f>AA482*Variables!$E$39*Variables!$C$18</f>
        <v>196061525.06421363</v>
      </c>
      <c r="AN482" s="1"/>
      <c r="AO482" s="76">
        <f t="shared" si="16"/>
        <v>0.67714285714285716</v>
      </c>
      <c r="AP482" s="76">
        <f t="shared" si="6"/>
        <v>111.44117413608102</v>
      </c>
      <c r="AQ482" s="75">
        <f>VLOOKUP(B482,'Household Information'!$B$2:$E$48,4,FALSE)</f>
        <v>65.935833333333335</v>
      </c>
      <c r="AR482" s="79">
        <f>IF(12*(AP482-Variables!$C$45*AQ482*F482)*(G482/5)&lt;0,0,12*(AP482-Variables!$C$45*AQ482*F482)*(G482/5))</f>
        <v>41698871.553872772</v>
      </c>
      <c r="AS482" s="1"/>
      <c r="AT482" s="62">
        <v>0</v>
      </c>
      <c r="AU482" s="1"/>
    </row>
    <row r="483" spans="1:47" ht="14.25" customHeight="1">
      <c r="A483" s="1">
        <v>10</v>
      </c>
      <c r="B483" s="3" t="s">
        <v>110</v>
      </c>
      <c r="C483" s="1">
        <v>2029</v>
      </c>
      <c r="D483" s="13">
        <f>VLOOKUP(B483,Population!$B$1:$O$48,13,FALSE)</f>
        <v>589782.54167131963</v>
      </c>
      <c r="E483" s="13" t="str">
        <f t="shared" si="23"/>
        <v>Medium</v>
      </c>
      <c r="F483" s="54">
        <f>VLOOKUP(B483,'Household Information'!$B$1:$E$48,2,FALSE)</f>
        <v>2.5116430728482135</v>
      </c>
      <c r="G483" s="54">
        <f t="shared" si="0"/>
        <v>234819.40887504522</v>
      </c>
      <c r="H483" s="55">
        <f>IF(D483&gt;Variables!$C$6,H436,H436*(1+Variables!$C$9))</f>
        <v>27.319750999999997</v>
      </c>
      <c r="I483" s="1"/>
      <c r="J483" s="13">
        <f>H483*Variables!$C$21</f>
        <v>491.75551799999994</v>
      </c>
      <c r="K483" s="13">
        <f t="shared" si="12"/>
        <v>491.75551799999994</v>
      </c>
      <c r="L483" s="54">
        <f t="shared" si="1"/>
        <v>0</v>
      </c>
      <c r="M483" s="56"/>
      <c r="N483" s="57"/>
      <c r="O483" s="57"/>
      <c r="P483" s="57"/>
      <c r="Q483" s="57"/>
      <c r="R483" s="57"/>
      <c r="S483" s="58">
        <v>0</v>
      </c>
      <c r="T483" s="59">
        <f>$L483*Variables!$C$22/100</f>
        <v>0</v>
      </c>
      <c r="U483" s="59">
        <f>$L483*Variables!$C$23/100</f>
        <v>0</v>
      </c>
      <c r="V483" s="59">
        <f>$L483*Variables!$C$24/100</f>
        <v>0</v>
      </c>
      <c r="W483" s="59">
        <f>$L483*Variables!$C$25/100</f>
        <v>0</v>
      </c>
      <c r="X483" s="62">
        <f>T483*Variables!$E$26*Variables!$C$18+'Cost Calculations'!U483*Variables!$E$27*Variables!$C$18+'Cost Calculations'!V483*Variables!$E$28*Variables!$C$18+W483*Variables!$E$29*Variables!$C$18</f>
        <v>0</v>
      </c>
      <c r="Y483" s="58">
        <f>J483*Variables!$E$30</f>
        <v>322099.86428999994</v>
      </c>
      <c r="Z483" s="1"/>
      <c r="AA483" s="245">
        <f>D483*(IF(D483&lt;Variables!$C$7,Variables!$C$38,IF(D483&gt;Variables!$C$6,Variables!$C$36,Variables!$C$37)))</f>
        <v>707.73905000558352</v>
      </c>
      <c r="AB483" s="64">
        <f t="shared" si="13"/>
        <v>697</v>
      </c>
      <c r="AC483" s="66">
        <f t="shared" si="2"/>
        <v>11</v>
      </c>
      <c r="AD483" s="62">
        <f>AC483*Variables!$E$41</f>
        <v>5913600</v>
      </c>
      <c r="AE483" s="71">
        <f>ROUND((H483/(3.14*Variables!$C$35^2)),0)</f>
        <v>35</v>
      </c>
      <c r="AF483" s="57">
        <f t="shared" si="14"/>
        <v>35</v>
      </c>
      <c r="AG483" s="57">
        <f t="shared" si="3"/>
        <v>0</v>
      </c>
      <c r="AH483" s="58">
        <f>AG483*Variables!$E$42*Variables!$C$18</f>
        <v>0</v>
      </c>
      <c r="AI483" s="73">
        <f t="shared" si="4"/>
        <v>6</v>
      </c>
      <c r="AJ483" s="66">
        <f t="shared" si="15"/>
        <v>6</v>
      </c>
      <c r="AK483" s="66">
        <f t="shared" si="5"/>
        <v>0</v>
      </c>
      <c r="AL483" s="62">
        <f>IF(AK483*Variables!$E$43*Variables!$C$18&lt;0,0,AK483*Variables!$E$43*Variables!$C$18)</f>
        <v>0</v>
      </c>
      <c r="AM483" s="58">
        <f>AA483*Variables!$E$39*Variables!$C$18</f>
        <v>204573610.5396879</v>
      </c>
      <c r="AN483" s="1"/>
      <c r="AO483" s="76">
        <f t="shared" si="16"/>
        <v>0.67714285714285716</v>
      </c>
      <c r="AP483" s="76">
        <f t="shared" si="6"/>
        <v>102.04446998829027</v>
      </c>
      <c r="AQ483" s="75">
        <f>VLOOKUP(B483,'Household Information'!$B$2:$E$48,4,FALSE)</f>
        <v>62.81</v>
      </c>
      <c r="AR483" s="79">
        <f>IF(12*(AP483-Variables!$C$45*AQ483*F483)*(G483/5)&lt;0,0,12*(AP483-Variables!$C$45*AQ483*F483)*(G483/5))</f>
        <v>44172926.172627069</v>
      </c>
      <c r="AS483" s="1"/>
      <c r="AT483" s="62">
        <v>0</v>
      </c>
      <c r="AU483" s="1"/>
    </row>
    <row r="484" spans="1:47" ht="14.25" customHeight="1">
      <c r="A484" s="1">
        <v>11</v>
      </c>
      <c r="B484" s="3" t="s">
        <v>125</v>
      </c>
      <c r="C484" s="1">
        <v>2029</v>
      </c>
      <c r="D484" s="13">
        <f>VLOOKUP(B484,Population!$B$1:$O$48,13,FALSE)</f>
        <v>415022.03731857758</v>
      </c>
      <c r="E484" s="13" t="str">
        <f t="shared" si="23"/>
        <v>Medium</v>
      </c>
      <c r="F484" s="54">
        <f>VLOOKUP(B484,'Household Information'!$B$1:$E$48,2,FALSE)</f>
        <v>2.693850400263019</v>
      </c>
      <c r="G484" s="54">
        <f t="shared" si="0"/>
        <v>154062.76357367734</v>
      </c>
      <c r="H484" s="55">
        <f>IF(D484&gt;Variables!$C$6,H437,H437*(1+Variables!$C$9))</f>
        <v>28.674206300180991</v>
      </c>
      <c r="I484" s="1"/>
      <c r="J484" s="13">
        <f>H484*Variables!$C$21</f>
        <v>516.1357134032578</v>
      </c>
      <c r="K484" s="13">
        <f t="shared" si="12"/>
        <v>516.1357134032578</v>
      </c>
      <c r="L484" s="54">
        <f t="shared" si="1"/>
        <v>0</v>
      </c>
      <c r="M484" s="56"/>
      <c r="N484" s="57"/>
      <c r="O484" s="57"/>
      <c r="P484" s="57"/>
      <c r="Q484" s="57"/>
      <c r="R484" s="57"/>
      <c r="S484" s="58">
        <v>0</v>
      </c>
      <c r="T484" s="59">
        <f>$L484*Variables!$C$22/100</f>
        <v>0</v>
      </c>
      <c r="U484" s="59">
        <f>$L484*Variables!$C$23/100</f>
        <v>0</v>
      </c>
      <c r="V484" s="59">
        <f>$L484*Variables!$C$24/100</f>
        <v>0</v>
      </c>
      <c r="W484" s="59">
        <f>$L484*Variables!$C$25/100</f>
        <v>0</v>
      </c>
      <c r="X484" s="62">
        <f>T484*Variables!$E$26*Variables!$C$18+'Cost Calculations'!U484*Variables!$E$27*Variables!$C$18+'Cost Calculations'!V484*Variables!$E$28*Variables!$C$18+W484*Variables!$E$29*Variables!$C$18</f>
        <v>0</v>
      </c>
      <c r="Y484" s="58">
        <f>J484*Variables!$E$30</f>
        <v>338068.89227913384</v>
      </c>
      <c r="Z484" s="1"/>
      <c r="AA484" s="245">
        <f>D484*(IF(D484&lt;Variables!$C$7,Variables!$C$38,IF(D484&gt;Variables!$C$6,Variables!$C$36,Variables!$C$37)))</f>
        <v>498.02644478229308</v>
      </c>
      <c r="AB484" s="64">
        <f t="shared" si="13"/>
        <v>491</v>
      </c>
      <c r="AC484" s="66">
        <f t="shared" si="2"/>
        <v>7</v>
      </c>
      <c r="AD484" s="62">
        <f>AC484*Variables!$E$41</f>
        <v>3763200</v>
      </c>
      <c r="AE484" s="71">
        <f>ROUND((H484/(3.14*Variables!$C$35^2)),0)</f>
        <v>37</v>
      </c>
      <c r="AF484" s="57">
        <f t="shared" si="14"/>
        <v>37</v>
      </c>
      <c r="AG484" s="57">
        <f t="shared" si="3"/>
        <v>0</v>
      </c>
      <c r="AH484" s="58">
        <f>AG484*Variables!$E$42*Variables!$C$18</f>
        <v>0</v>
      </c>
      <c r="AI484" s="73">
        <f t="shared" si="4"/>
        <v>4</v>
      </c>
      <c r="AJ484" s="66">
        <f t="shared" si="15"/>
        <v>4</v>
      </c>
      <c r="AK484" s="66">
        <f t="shared" si="5"/>
        <v>0</v>
      </c>
      <c r="AL484" s="62">
        <f>IF(AK484*Variables!$E$43*Variables!$C$18&lt;0,0,AK484*Variables!$E$43*Variables!$C$18)</f>
        <v>0</v>
      </c>
      <c r="AM484" s="58">
        <f>AA484*Variables!$E$39*Variables!$C$18</f>
        <v>143955696.59827933</v>
      </c>
      <c r="AN484" s="1"/>
      <c r="AO484" s="76">
        <f t="shared" si="16"/>
        <v>0.67714285714285716</v>
      </c>
      <c r="AP484" s="76">
        <f t="shared" si="6"/>
        <v>109.4472934049718</v>
      </c>
      <c r="AQ484" s="75">
        <f>VLOOKUP(B484,'Household Information'!$B$2:$E$48,4,FALSE)</f>
        <v>65.935833333333335</v>
      </c>
      <c r="AR484" s="79">
        <f>IF(12*(AP484-Variables!$C$45*AQ484*F484)*(G484/5)&lt;0,0,12*(AP484-Variables!$C$45*AQ484*F484)*(G484/5))</f>
        <v>30616869.372682411</v>
      </c>
      <c r="AS484" s="1"/>
      <c r="AT484" s="62">
        <v>0</v>
      </c>
      <c r="AU484" s="1"/>
    </row>
    <row r="485" spans="1:47" ht="14.25" customHeight="1">
      <c r="A485" s="1">
        <v>12</v>
      </c>
      <c r="B485" s="3" t="s">
        <v>152</v>
      </c>
      <c r="C485" s="1">
        <v>2029</v>
      </c>
      <c r="D485" s="13">
        <f>VLOOKUP(B485,Population!$B$1:$O$48,13,FALSE)</f>
        <v>471693.16069691686</v>
      </c>
      <c r="E485" s="13" t="str">
        <f t="shared" si="23"/>
        <v>Medium</v>
      </c>
      <c r="F485" s="54">
        <f>VLOOKUP(B485,'Household Information'!$B$1:$E$48,2,FALSE)</f>
        <v>2.5280688906285511</v>
      </c>
      <c r="G485" s="54">
        <f t="shared" si="0"/>
        <v>186582.39988849367</v>
      </c>
      <c r="H485" s="55">
        <f>IF(D485&gt;Variables!$C$6,H438,H438*(1+Variables!$C$9))</f>
        <v>17.374026999999998</v>
      </c>
      <c r="I485" s="1"/>
      <c r="J485" s="13">
        <f>H485*Variables!$C$21</f>
        <v>312.73248599999999</v>
      </c>
      <c r="K485" s="13">
        <f t="shared" si="12"/>
        <v>639</v>
      </c>
      <c r="L485" s="54">
        <f t="shared" si="1"/>
        <v>0</v>
      </c>
      <c r="M485" s="56"/>
      <c r="N485" s="57"/>
      <c r="O485" s="57"/>
      <c r="P485" s="57"/>
      <c r="Q485" s="57"/>
      <c r="R485" s="57"/>
      <c r="S485" s="58">
        <v>0</v>
      </c>
      <c r="T485" s="59">
        <f>$L485*Variables!$C$22/100</f>
        <v>0</v>
      </c>
      <c r="U485" s="59">
        <f>$L485*Variables!$C$23/100</f>
        <v>0</v>
      </c>
      <c r="V485" s="59">
        <f>$L485*Variables!$C$24/100</f>
        <v>0</v>
      </c>
      <c r="W485" s="59">
        <f>$L485*Variables!$C$25/100</f>
        <v>0</v>
      </c>
      <c r="X485" s="62">
        <f>T485*Variables!$E$26*Variables!$C$18+'Cost Calculations'!U485*Variables!$E$27*Variables!$C$18+'Cost Calculations'!V485*Variables!$E$28*Variables!$C$18+W485*Variables!$E$29*Variables!$C$18</f>
        <v>0</v>
      </c>
      <c r="Y485" s="58">
        <f>J485*Variables!$E$30</f>
        <v>204839.77833</v>
      </c>
      <c r="Z485" s="1"/>
      <c r="AA485" s="245">
        <f>D485*(IF(D485&lt;Variables!$C$7,Variables!$C$38,IF(D485&gt;Variables!$C$6,Variables!$C$36,Variables!$C$37)))</f>
        <v>566.03179283630016</v>
      </c>
      <c r="AB485" s="64">
        <f t="shared" si="13"/>
        <v>558</v>
      </c>
      <c r="AC485" s="66">
        <f t="shared" si="2"/>
        <v>8</v>
      </c>
      <c r="AD485" s="62">
        <f>AC485*Variables!$E$41</f>
        <v>4300800</v>
      </c>
      <c r="AE485" s="71">
        <f>ROUND((H485/(3.14*Variables!$C$35^2)),0)</f>
        <v>22</v>
      </c>
      <c r="AF485" s="57">
        <f t="shared" si="14"/>
        <v>22</v>
      </c>
      <c r="AG485" s="57">
        <f t="shared" si="3"/>
        <v>0</v>
      </c>
      <c r="AH485" s="58">
        <f>AG485*Variables!$E$42*Variables!$C$18</f>
        <v>0</v>
      </c>
      <c r="AI485" s="73">
        <f t="shared" si="4"/>
        <v>5</v>
      </c>
      <c r="AJ485" s="66">
        <f t="shared" si="15"/>
        <v>5</v>
      </c>
      <c r="AK485" s="66">
        <f t="shared" si="5"/>
        <v>0</v>
      </c>
      <c r="AL485" s="62">
        <f>IF(AK485*Variables!$E$43*Variables!$C$18&lt;0,0,AK485*Variables!$E$43*Variables!$C$18)</f>
        <v>0</v>
      </c>
      <c r="AM485" s="58">
        <f>AA485*Variables!$E$39*Variables!$C$18</f>
        <v>163612799.85873473</v>
      </c>
      <c r="AN485" s="1"/>
      <c r="AO485" s="76">
        <f t="shared" si="16"/>
        <v>0.67714285714285716</v>
      </c>
      <c r="AP485" s="76">
        <f t="shared" si="6"/>
        <v>102.71182749925141</v>
      </c>
      <c r="AQ485" s="75">
        <f>VLOOKUP(B485,'Household Information'!$B$2:$E$48,4,FALSE)</f>
        <v>89.08</v>
      </c>
      <c r="AR485" s="79">
        <f>IF(12*(AP485-Variables!$C$45*AQ485*F485)*(G485/5)&lt;0,0,12*(AP485-Variables!$C$45*AQ485*F485)*(G485/5))</f>
        <v>30867492.620426647</v>
      </c>
      <c r="AS485" s="1"/>
      <c r="AT485" s="62">
        <v>0</v>
      </c>
      <c r="AU485" s="1"/>
    </row>
    <row r="486" spans="1:47" ht="14.25" customHeight="1">
      <c r="A486" s="1">
        <v>13</v>
      </c>
      <c r="B486" s="3" t="s">
        <v>181</v>
      </c>
      <c r="C486" s="1">
        <v>2029</v>
      </c>
      <c r="D486" s="13">
        <f>VLOOKUP(B486,Population!$B$1:$O$48,13,FALSE)</f>
        <v>531504.69594236603</v>
      </c>
      <c r="E486" s="13" t="str">
        <f t="shared" si="23"/>
        <v>Medium</v>
      </c>
      <c r="F486" s="54">
        <f>VLOOKUP(B486,'Household Information'!$B$1:$E$48,2,FALSE)</f>
        <v>2.4075040417460345</v>
      </c>
      <c r="G486" s="54">
        <f t="shared" si="0"/>
        <v>220770.01189866912</v>
      </c>
      <c r="H486" s="55">
        <f>IF(D486&gt;Variables!$C$6,H439,H439*(1+Variables!$C$9))</f>
        <v>82.9</v>
      </c>
      <c r="I486" s="1"/>
      <c r="J486" s="13">
        <f>H486*Variables!$C$21</f>
        <v>1492.2</v>
      </c>
      <c r="K486" s="13">
        <f t="shared" si="12"/>
        <v>1492.2</v>
      </c>
      <c r="L486" s="54">
        <f t="shared" si="1"/>
        <v>0</v>
      </c>
      <c r="M486" s="56"/>
      <c r="N486" s="57"/>
      <c r="O486" s="57"/>
      <c r="P486" s="57"/>
      <c r="Q486" s="57"/>
      <c r="R486" s="57"/>
      <c r="S486" s="58">
        <v>0</v>
      </c>
      <c r="T486" s="59">
        <f>$L486*Variables!$C$22/100</f>
        <v>0</v>
      </c>
      <c r="U486" s="59">
        <f>$L486*Variables!$C$23/100</f>
        <v>0</v>
      </c>
      <c r="V486" s="59">
        <f>$L486*Variables!$C$24/100</f>
        <v>0</v>
      </c>
      <c r="W486" s="59">
        <f>$L486*Variables!$C$25/100</f>
        <v>0</v>
      </c>
      <c r="X486" s="62">
        <f>T486*Variables!$E$26*Variables!$C$18+'Cost Calculations'!U486*Variables!$E$27*Variables!$C$18+'Cost Calculations'!V486*Variables!$E$28*Variables!$C$18+W486*Variables!$E$29*Variables!$C$18</f>
        <v>0</v>
      </c>
      <c r="Y486" s="58">
        <f>J486*Variables!$E$30</f>
        <v>977391</v>
      </c>
      <c r="Z486" s="1"/>
      <c r="AA486" s="245">
        <f>D486*(IF(D486&lt;Variables!$C$7,Variables!$C$38,IF(D486&gt;Variables!$C$6,Variables!$C$36,Variables!$C$37)))</f>
        <v>637.80563513083916</v>
      </c>
      <c r="AB486" s="64">
        <f t="shared" si="13"/>
        <v>628</v>
      </c>
      <c r="AC486" s="66">
        <f t="shared" si="2"/>
        <v>10</v>
      </c>
      <c r="AD486" s="62">
        <f>AC486*Variables!$E$41</f>
        <v>5376000</v>
      </c>
      <c r="AE486" s="71">
        <f>ROUND((H486/(3.14*Variables!$C$35^2)),0)</f>
        <v>106</v>
      </c>
      <c r="AF486" s="57">
        <f t="shared" si="14"/>
        <v>106</v>
      </c>
      <c r="AG486" s="57">
        <f t="shared" si="3"/>
        <v>0</v>
      </c>
      <c r="AH486" s="58">
        <f>AG486*Variables!$E$42*Variables!$C$18</f>
        <v>0</v>
      </c>
      <c r="AI486" s="73">
        <f t="shared" si="4"/>
        <v>5</v>
      </c>
      <c r="AJ486" s="66">
        <f t="shared" si="15"/>
        <v>5</v>
      </c>
      <c r="AK486" s="66">
        <f t="shared" si="5"/>
        <v>0</v>
      </c>
      <c r="AL486" s="62">
        <f>IF(AK486*Variables!$E$43*Variables!$C$18&lt;0,0,AK486*Variables!$E$43*Variables!$C$18)</f>
        <v>0</v>
      </c>
      <c r="AM486" s="58">
        <f>AA486*Variables!$E$39*Variables!$C$18</f>
        <v>184359195.10198739</v>
      </c>
      <c r="AN486" s="1"/>
      <c r="AO486" s="76">
        <f t="shared" si="16"/>
        <v>0.67714285714285716</v>
      </c>
      <c r="AP486" s="76">
        <f t="shared" si="6"/>
        <v>97.81344992465317</v>
      </c>
      <c r="AQ486" s="75">
        <f>VLOOKUP(B486,'Household Information'!$B$2:$E$48,4,FALSE)</f>
        <v>71.48</v>
      </c>
      <c r="AR486" s="79">
        <f>IF(12*(AP486-Variables!$C$45*AQ486*F486)*(G486/5)&lt;0,0,12*(AP486-Variables!$C$45*AQ486*F486)*(G486/5))</f>
        <v>38149159.569171622</v>
      </c>
      <c r="AS486" s="1"/>
      <c r="AT486" s="62">
        <v>0</v>
      </c>
      <c r="AU486" s="1"/>
    </row>
    <row r="487" spans="1:47" ht="14.25" customHeight="1">
      <c r="A487" s="1">
        <v>14</v>
      </c>
      <c r="B487" s="3" t="s">
        <v>206</v>
      </c>
      <c r="C487" s="1">
        <v>2029</v>
      </c>
      <c r="D487" s="13">
        <f>VLOOKUP(B487,Population!$B$1:$O$48,13,FALSE)</f>
        <v>370495.56748483772</v>
      </c>
      <c r="E487" s="13" t="str">
        <f t="shared" si="23"/>
        <v>Medium</v>
      </c>
      <c r="F487" s="54">
        <f>VLOOKUP(B487,'Household Information'!$B$1:$E$48,2,FALSE)</f>
        <v>2.4590017825311943</v>
      </c>
      <c r="G487" s="54">
        <f t="shared" si="0"/>
        <v>150669.09268502644</v>
      </c>
      <c r="H487" s="55">
        <f>IF(D487&gt;Variables!$C$6,H440,H440*(1+Variables!$C$9))</f>
        <v>25.496505999999997</v>
      </c>
      <c r="I487" s="1"/>
      <c r="J487" s="13">
        <f>H487*Variables!$C$21</f>
        <v>458.93710799999997</v>
      </c>
      <c r="K487" s="13">
        <f t="shared" si="12"/>
        <v>458.93710799999997</v>
      </c>
      <c r="L487" s="54">
        <f t="shared" si="1"/>
        <v>0</v>
      </c>
      <c r="M487" s="56"/>
      <c r="N487" s="57"/>
      <c r="O487" s="57"/>
      <c r="P487" s="57"/>
      <c r="Q487" s="57"/>
      <c r="R487" s="57"/>
      <c r="S487" s="58">
        <v>0</v>
      </c>
      <c r="T487" s="59">
        <f>$L487*Variables!$C$22/100</f>
        <v>0</v>
      </c>
      <c r="U487" s="59">
        <f>$L487*Variables!$C$23/100</f>
        <v>0</v>
      </c>
      <c r="V487" s="59">
        <f>$L487*Variables!$C$24/100</f>
        <v>0</v>
      </c>
      <c r="W487" s="59">
        <f>$L487*Variables!$C$25/100</f>
        <v>0</v>
      </c>
      <c r="X487" s="62">
        <f>T487*Variables!$E$26*Variables!$C$18+'Cost Calculations'!U487*Variables!$E$27*Variables!$C$18+'Cost Calculations'!V487*Variables!$E$28*Variables!$C$18+W487*Variables!$E$29*Variables!$C$18</f>
        <v>0</v>
      </c>
      <c r="Y487" s="58">
        <f>J487*Variables!$E$30</f>
        <v>300603.80573999998</v>
      </c>
      <c r="Z487" s="1"/>
      <c r="AA487" s="245">
        <f>D487*(IF(D487&lt;Variables!$C$7,Variables!$C$38,IF(D487&gt;Variables!$C$6,Variables!$C$36,Variables!$C$37)))</f>
        <v>444.59468098180525</v>
      </c>
      <c r="AB487" s="64">
        <f t="shared" si="13"/>
        <v>438</v>
      </c>
      <c r="AC487" s="66">
        <f t="shared" si="2"/>
        <v>7</v>
      </c>
      <c r="AD487" s="62">
        <f>AC487*Variables!$E$41</f>
        <v>3763200</v>
      </c>
      <c r="AE487" s="71">
        <f>ROUND((H487/(3.14*Variables!$C$35^2)),0)</f>
        <v>32</v>
      </c>
      <c r="AF487" s="57">
        <f t="shared" si="14"/>
        <v>32</v>
      </c>
      <c r="AG487" s="57">
        <f t="shared" si="3"/>
        <v>0</v>
      </c>
      <c r="AH487" s="58">
        <f>AG487*Variables!$E$42*Variables!$C$18</f>
        <v>0</v>
      </c>
      <c r="AI487" s="73">
        <f t="shared" si="4"/>
        <v>4</v>
      </c>
      <c r="AJ487" s="66">
        <f t="shared" si="15"/>
        <v>4</v>
      </c>
      <c r="AK487" s="66">
        <f t="shared" si="5"/>
        <v>0</v>
      </c>
      <c r="AL487" s="62">
        <f>IF(AK487*Variables!$E$43*Variables!$C$18&lt;0,0,AK487*Variables!$E$43*Variables!$C$18)</f>
        <v>0</v>
      </c>
      <c r="AM487" s="58">
        <f>AA487*Variables!$E$39*Variables!$C$18</f>
        <v>128511121.59837878</v>
      </c>
      <c r="AN487" s="1"/>
      <c r="AO487" s="76">
        <f t="shared" si="16"/>
        <v>0.67714285714285716</v>
      </c>
      <c r="AP487" s="76">
        <f t="shared" si="6"/>
        <v>99.905729564553084</v>
      </c>
      <c r="AQ487" s="75">
        <f>VLOOKUP(B487,'Household Information'!$B$2:$E$48,4,FALSE)</f>
        <v>65.935833333333335</v>
      </c>
      <c r="AR487" s="79">
        <f>IF(12*(AP487-Variables!$C$45*AQ487*F487)*(G487/5)&lt;0,0,12*(AP487-Variables!$C$45*AQ487*F487)*(G487/5))</f>
        <v>27332077.27023356</v>
      </c>
      <c r="AS487" s="1"/>
      <c r="AT487" s="62">
        <v>0</v>
      </c>
      <c r="AU487" s="1"/>
    </row>
    <row r="488" spans="1:47" ht="14.25" customHeight="1">
      <c r="A488" s="1">
        <v>15</v>
      </c>
      <c r="B488" s="3" t="s">
        <v>207</v>
      </c>
      <c r="C488" s="1">
        <v>2029</v>
      </c>
      <c r="D488" s="13">
        <f>VLOOKUP(B488,Population!$B$1:$O$48,13,FALSE)</f>
        <v>324691.02305401827</v>
      </c>
      <c r="E488" s="13" t="str">
        <f t="shared" si="23"/>
        <v>Medium</v>
      </c>
      <c r="F488" s="54">
        <f>VLOOKUP(B488,'Household Information'!$B$1:$E$48,2,FALSE)</f>
        <v>2.4536973570595619</v>
      </c>
      <c r="G488" s="54">
        <f t="shared" si="0"/>
        <v>132327.24978076282</v>
      </c>
      <c r="H488" s="55">
        <f>IF(D488&gt;Variables!$C$6,H441,H441*(1+Variables!$C$9))</f>
        <v>19.38</v>
      </c>
      <c r="I488" s="1"/>
      <c r="J488" s="13">
        <f>H488*Variables!$C$21</f>
        <v>348.84</v>
      </c>
      <c r="K488" s="13">
        <f t="shared" si="12"/>
        <v>348.84</v>
      </c>
      <c r="L488" s="54">
        <f t="shared" si="1"/>
        <v>0</v>
      </c>
      <c r="M488" s="56"/>
      <c r="N488" s="57"/>
      <c r="O488" s="57"/>
      <c r="P488" s="57"/>
      <c r="Q488" s="57"/>
      <c r="R488" s="57"/>
      <c r="S488" s="58">
        <v>0</v>
      </c>
      <c r="T488" s="59">
        <f>$L488*Variables!$C$22/100</f>
        <v>0</v>
      </c>
      <c r="U488" s="59">
        <f>$L488*Variables!$C$23/100</f>
        <v>0</v>
      </c>
      <c r="V488" s="59">
        <f>$L488*Variables!$C$24/100</f>
        <v>0</v>
      </c>
      <c r="W488" s="59">
        <f>$L488*Variables!$C$25/100</f>
        <v>0</v>
      </c>
      <c r="X488" s="62">
        <f>T488*Variables!$E$26*Variables!$C$18+'Cost Calculations'!U488*Variables!$E$27*Variables!$C$18+'Cost Calculations'!V488*Variables!$E$28*Variables!$C$18+W488*Variables!$E$29*Variables!$C$18</f>
        <v>0</v>
      </c>
      <c r="Y488" s="58">
        <f>J488*Variables!$E$30</f>
        <v>228490.19999999998</v>
      </c>
      <c r="Z488" s="1"/>
      <c r="AA488" s="245">
        <f>D488*(IF(D488&lt;Variables!$C$7,Variables!$C$38,IF(D488&gt;Variables!$C$6,Variables!$C$36,Variables!$C$37)))</f>
        <v>389.62922766482188</v>
      </c>
      <c r="AB488" s="64">
        <f t="shared" si="13"/>
        <v>384</v>
      </c>
      <c r="AC488" s="66">
        <f t="shared" si="2"/>
        <v>6</v>
      </c>
      <c r="AD488" s="62">
        <f>AC488*Variables!$E$41</f>
        <v>3225600</v>
      </c>
      <c r="AE488" s="71">
        <f>ROUND((H488/(3.14*Variables!$C$35^2)),0)</f>
        <v>25</v>
      </c>
      <c r="AF488" s="57">
        <f t="shared" si="14"/>
        <v>25</v>
      </c>
      <c r="AG488" s="57">
        <f t="shared" si="3"/>
        <v>0</v>
      </c>
      <c r="AH488" s="58">
        <f>AG488*Variables!$E$42*Variables!$C$18</f>
        <v>0</v>
      </c>
      <c r="AI488" s="73">
        <f t="shared" si="4"/>
        <v>3</v>
      </c>
      <c r="AJ488" s="66">
        <f t="shared" si="15"/>
        <v>3</v>
      </c>
      <c r="AK488" s="66">
        <f t="shared" si="5"/>
        <v>0</v>
      </c>
      <c r="AL488" s="62">
        <f>IF(AK488*Variables!$E$43*Variables!$C$18&lt;0,0,AK488*Variables!$E$43*Variables!$C$18)</f>
        <v>0</v>
      </c>
      <c r="AM488" s="58">
        <f>AA488*Variables!$E$39*Variables!$C$18</f>
        <v>112623230.09385145</v>
      </c>
      <c r="AN488" s="1"/>
      <c r="AO488" s="76">
        <f t="shared" si="16"/>
        <v>0.67714285714285716</v>
      </c>
      <c r="AP488" s="76">
        <f t="shared" si="6"/>
        <v>99.690218335391336</v>
      </c>
      <c r="AQ488" s="75">
        <f>VLOOKUP(B488,'Household Information'!$B$2:$E$48,4,FALSE)</f>
        <v>65.935833333333335</v>
      </c>
      <c r="AR488" s="79">
        <f>IF(12*(AP488-Variables!$C$45*AQ488*F488)*(G488/5)&lt;0,0,12*(AP488-Variables!$C$45*AQ488*F488)*(G488/5))</f>
        <v>23952999.468547743</v>
      </c>
      <c r="AS488" s="1"/>
      <c r="AT488" s="62">
        <v>0</v>
      </c>
      <c r="AU488" s="1"/>
    </row>
    <row r="489" spans="1:47" ht="14.25" customHeight="1">
      <c r="A489" s="1">
        <v>16</v>
      </c>
      <c r="B489" s="3" t="s">
        <v>208</v>
      </c>
      <c r="C489" s="1">
        <v>2029</v>
      </c>
      <c r="D489" s="13">
        <f>VLOOKUP(B489,Population!$B$1:$O$48,13,FALSE)</f>
        <v>541089.66644599405</v>
      </c>
      <c r="E489" s="13" t="str">
        <f t="shared" si="23"/>
        <v>Medium</v>
      </c>
      <c r="F489" s="54">
        <f>VLOOKUP(B489,'Household Information'!$B$1:$E$48,2,FALSE)</f>
        <v>3.2379076029492619</v>
      </c>
      <c r="G489" s="54">
        <f t="shared" si="0"/>
        <v>167110.90395326298</v>
      </c>
      <c r="H489" s="55">
        <f>IF(D489&gt;Variables!$C$6,H442,H442*(1+Variables!$C$9))</f>
        <v>31.656284999999997</v>
      </c>
      <c r="I489" s="1"/>
      <c r="J489" s="13">
        <f>H489*Variables!$C$21</f>
        <v>569.81313</v>
      </c>
      <c r="K489" s="13">
        <f t="shared" si="12"/>
        <v>582</v>
      </c>
      <c r="L489" s="54">
        <f t="shared" si="1"/>
        <v>0</v>
      </c>
      <c r="M489" s="56"/>
      <c r="N489" s="57"/>
      <c r="O489" s="57"/>
      <c r="P489" s="57"/>
      <c r="Q489" s="57"/>
      <c r="R489" s="57"/>
      <c r="S489" s="58">
        <v>0</v>
      </c>
      <c r="T489" s="59">
        <f>$L489*Variables!$C$22/100</f>
        <v>0</v>
      </c>
      <c r="U489" s="59">
        <f>$L489*Variables!$C$23/100</f>
        <v>0</v>
      </c>
      <c r="V489" s="59">
        <f>$L489*Variables!$C$24/100</f>
        <v>0</v>
      </c>
      <c r="W489" s="59">
        <f>$L489*Variables!$C$25/100</f>
        <v>0</v>
      </c>
      <c r="X489" s="62">
        <f>T489*Variables!$E$26*Variables!$C$18+'Cost Calculations'!U489*Variables!$E$27*Variables!$C$18+'Cost Calculations'!V489*Variables!$E$28*Variables!$C$18+W489*Variables!$E$29*Variables!$C$18</f>
        <v>0</v>
      </c>
      <c r="Y489" s="58">
        <f>J489*Variables!$E$30</f>
        <v>373227.60015000001</v>
      </c>
      <c r="Z489" s="1"/>
      <c r="AA489" s="245">
        <f>D489*(IF(D489&lt;Variables!$C$7,Variables!$C$38,IF(D489&gt;Variables!$C$6,Variables!$C$36,Variables!$C$37)))</f>
        <v>649.30759973519275</v>
      </c>
      <c r="AB489" s="64">
        <f t="shared" si="13"/>
        <v>640</v>
      </c>
      <c r="AC489" s="66">
        <f t="shared" si="2"/>
        <v>9</v>
      </c>
      <c r="AD489" s="62">
        <f>AC489*Variables!$E$41</f>
        <v>4838400</v>
      </c>
      <c r="AE489" s="71">
        <f>ROUND((H489/(3.14*Variables!$C$35^2)),0)</f>
        <v>40</v>
      </c>
      <c r="AF489" s="57">
        <f t="shared" si="14"/>
        <v>40</v>
      </c>
      <c r="AG489" s="57">
        <f t="shared" si="3"/>
        <v>0</v>
      </c>
      <c r="AH489" s="58">
        <f>AG489*Variables!$E$42*Variables!$C$18</f>
        <v>0</v>
      </c>
      <c r="AI489" s="73">
        <f t="shared" si="4"/>
        <v>5</v>
      </c>
      <c r="AJ489" s="66">
        <f t="shared" si="15"/>
        <v>5</v>
      </c>
      <c r="AK489" s="66">
        <f t="shared" si="5"/>
        <v>0</v>
      </c>
      <c r="AL489" s="62">
        <f>IF(AK489*Variables!$E$43*Variables!$C$18&lt;0,0,AK489*Variables!$E$43*Variables!$C$18)</f>
        <v>0</v>
      </c>
      <c r="AM489" s="58">
        <f>AA489*Variables!$E$39*Variables!$C$18</f>
        <v>187683864.59336805</v>
      </c>
      <c r="AN489" s="1"/>
      <c r="AO489" s="76">
        <f t="shared" si="16"/>
        <v>0.67714285714285716</v>
      </c>
      <c r="AP489" s="76">
        <f t="shared" si="6"/>
        <v>131.55156032553859</v>
      </c>
      <c r="AQ489" s="75">
        <f>VLOOKUP(B489,'Household Information'!$B$2:$E$48,4,FALSE)</f>
        <v>65.935833333333335</v>
      </c>
      <c r="AR489" s="79">
        <f>IF(12*(AP489-Variables!$C$45*AQ489*F489)*(G489/5)&lt;0,0,12*(AP489-Variables!$C$45*AQ489*F489)*(G489/5))</f>
        <v>39917089.086449184</v>
      </c>
      <c r="AS489" s="1"/>
      <c r="AT489" s="62">
        <v>0</v>
      </c>
      <c r="AU489" s="1"/>
    </row>
    <row r="490" spans="1:47" ht="14.25" customHeight="1">
      <c r="A490" s="1">
        <v>17</v>
      </c>
      <c r="B490" s="3" t="s">
        <v>209</v>
      </c>
      <c r="C490" s="1">
        <v>2029</v>
      </c>
      <c r="D490" s="13">
        <f>VLOOKUP(B490,Population!$B$1:$O$48,13,FALSE)</f>
        <v>510903.54697616817</v>
      </c>
      <c r="E490" s="13" t="str">
        <f t="shared" si="23"/>
        <v>Medium</v>
      </c>
      <c r="F490" s="54">
        <f>VLOOKUP(B490,'Household Information'!$B$1:$E$48,2,FALSE)</f>
        <v>3.2463324451363733</v>
      </c>
      <c r="G490" s="54">
        <f t="shared" si="0"/>
        <v>157378.68983245982</v>
      </c>
      <c r="H490" s="55">
        <f>IF(D490&gt;Variables!$C$6,H443,H443*(1+Variables!$C$9))</f>
        <v>25.896000000000001</v>
      </c>
      <c r="I490" s="1"/>
      <c r="J490" s="13">
        <f>H490*Variables!$C$21</f>
        <v>466.12800000000004</v>
      </c>
      <c r="K490" s="13">
        <f t="shared" si="12"/>
        <v>961.78647000000012</v>
      </c>
      <c r="L490" s="54">
        <f t="shared" si="1"/>
        <v>0</v>
      </c>
      <c r="M490" s="56"/>
      <c r="N490" s="57"/>
      <c r="O490" s="57"/>
      <c r="P490" s="57"/>
      <c r="Q490" s="57"/>
      <c r="R490" s="57"/>
      <c r="S490" s="58">
        <v>0</v>
      </c>
      <c r="T490" s="59">
        <f>$L490*Variables!$C$22/100</f>
        <v>0</v>
      </c>
      <c r="U490" s="59">
        <f>$L490*Variables!$C$23/100</f>
        <v>0</v>
      </c>
      <c r="V490" s="59">
        <f>$L490*Variables!$C$24/100</f>
        <v>0</v>
      </c>
      <c r="W490" s="59">
        <f>$L490*Variables!$C$25/100</f>
        <v>0</v>
      </c>
      <c r="X490" s="62">
        <f>T490*Variables!$E$26*Variables!$C$18+'Cost Calculations'!U490*Variables!$E$27*Variables!$C$18+'Cost Calculations'!V490*Variables!$E$28*Variables!$C$18+W490*Variables!$E$29*Variables!$C$18</f>
        <v>0</v>
      </c>
      <c r="Y490" s="58">
        <f>J490*Variables!$E$30</f>
        <v>305313.84000000003</v>
      </c>
      <c r="Z490" s="1"/>
      <c r="AA490" s="245">
        <f>D490*(IF(D490&lt;Variables!$C$7,Variables!$C$38,IF(D490&gt;Variables!$C$6,Variables!$C$36,Variables!$C$37)))</f>
        <v>613.08425637140181</v>
      </c>
      <c r="AB490" s="64">
        <f t="shared" si="13"/>
        <v>604</v>
      </c>
      <c r="AC490" s="66">
        <f t="shared" si="2"/>
        <v>9</v>
      </c>
      <c r="AD490" s="62">
        <f>AC490*Variables!$E$41</f>
        <v>4838400</v>
      </c>
      <c r="AE490" s="71">
        <f>ROUND((H490/(3.14*Variables!$C$35^2)),0)</f>
        <v>33</v>
      </c>
      <c r="AF490" s="57">
        <f t="shared" si="14"/>
        <v>33</v>
      </c>
      <c r="AG490" s="57">
        <f t="shared" si="3"/>
        <v>0</v>
      </c>
      <c r="AH490" s="58">
        <f>AG490*Variables!$E$42*Variables!$C$18</f>
        <v>0</v>
      </c>
      <c r="AI490" s="73">
        <f t="shared" si="4"/>
        <v>5</v>
      </c>
      <c r="AJ490" s="66">
        <f t="shared" si="15"/>
        <v>5</v>
      </c>
      <c r="AK490" s="66">
        <f t="shared" si="5"/>
        <v>0</v>
      </c>
      <c r="AL490" s="62">
        <f>IF(AK490*Variables!$E$43*Variables!$C$18&lt;0,0,AK490*Variables!$E$43*Variables!$C$18)</f>
        <v>0</v>
      </c>
      <c r="AM490" s="58">
        <f>AA490*Variables!$E$39*Variables!$C$18</f>
        <v>177213423.35137203</v>
      </c>
      <c r="AN490" s="1"/>
      <c r="AO490" s="76">
        <f t="shared" si="16"/>
        <v>0.67714285714285716</v>
      </c>
      <c r="AP490" s="76">
        <f t="shared" si="6"/>
        <v>131.89384962811206</v>
      </c>
      <c r="AQ490" s="75">
        <f>VLOOKUP(B490,'Household Information'!$B$2:$E$48,4,FALSE)</f>
        <v>47.15</v>
      </c>
      <c r="AR490" s="79">
        <f>IF(12*(AP490-Variables!$C$45*AQ490*F490)*(G490/5)&lt;0,0,12*(AP490-Variables!$C$45*AQ490*F490)*(G490/5))</f>
        <v>41145398.197062708</v>
      </c>
      <c r="AS490" s="1"/>
      <c r="AT490" s="62">
        <v>0</v>
      </c>
      <c r="AU490" s="1"/>
    </row>
    <row r="491" spans="1:47" ht="14.25" customHeight="1">
      <c r="A491" s="1">
        <v>18</v>
      </c>
      <c r="B491" s="3" t="s">
        <v>210</v>
      </c>
      <c r="C491" s="1">
        <v>2029</v>
      </c>
      <c r="D491" s="13">
        <f>VLOOKUP(B491,Population!$B$1:$O$48,13,FALSE)</f>
        <v>323490.69308680715</v>
      </c>
      <c r="E491" s="13" t="str">
        <f t="shared" si="23"/>
        <v>Medium</v>
      </c>
      <c r="F491" s="54">
        <f>VLOOKUP(B491,'Household Information'!$B$1:$E$48,2,FALSE)</f>
        <v>3.2199371541131225</v>
      </c>
      <c r="G491" s="54">
        <f t="shared" si="0"/>
        <v>100464.90897301603</v>
      </c>
      <c r="H491" s="55">
        <f>IF(D491&gt;Variables!$C$6,H444,H444*(1+Variables!$C$9))</f>
        <v>16.261485999999998</v>
      </c>
      <c r="I491" s="1"/>
      <c r="J491" s="13">
        <f>H491*Variables!$C$21</f>
        <v>292.70674799999995</v>
      </c>
      <c r="K491" s="13">
        <f t="shared" si="12"/>
        <v>512</v>
      </c>
      <c r="L491" s="54">
        <f t="shared" si="1"/>
        <v>0</v>
      </c>
      <c r="M491" s="56"/>
      <c r="N491" s="57"/>
      <c r="O491" s="57"/>
      <c r="P491" s="57"/>
      <c r="Q491" s="57"/>
      <c r="R491" s="57"/>
      <c r="S491" s="58">
        <v>0</v>
      </c>
      <c r="T491" s="59">
        <f>$L491*Variables!$C$22/100</f>
        <v>0</v>
      </c>
      <c r="U491" s="59">
        <f>$L491*Variables!$C$23/100</f>
        <v>0</v>
      </c>
      <c r="V491" s="59">
        <f>$L491*Variables!$C$24/100</f>
        <v>0</v>
      </c>
      <c r="W491" s="59">
        <f>$L491*Variables!$C$25/100</f>
        <v>0</v>
      </c>
      <c r="X491" s="62">
        <f>T491*Variables!$E$26*Variables!$C$18+'Cost Calculations'!U491*Variables!$E$27*Variables!$C$18+'Cost Calculations'!V491*Variables!$E$28*Variables!$C$18+W491*Variables!$E$29*Variables!$C$18</f>
        <v>0</v>
      </c>
      <c r="Y491" s="58">
        <f>J491*Variables!$E$30</f>
        <v>191722.91993999996</v>
      </c>
      <c r="Z491" s="1"/>
      <c r="AA491" s="245">
        <f>D491*(IF(D491&lt;Variables!$C$7,Variables!$C$38,IF(D491&gt;Variables!$C$6,Variables!$C$36,Variables!$C$37)))</f>
        <v>388.18883170416854</v>
      </c>
      <c r="AB491" s="64">
        <f t="shared" si="13"/>
        <v>382</v>
      </c>
      <c r="AC491" s="66">
        <f t="shared" si="2"/>
        <v>6</v>
      </c>
      <c r="AD491" s="62">
        <f>AC491*Variables!$E$41</f>
        <v>3225600</v>
      </c>
      <c r="AE491" s="71">
        <f>ROUND((H491/(3.14*Variables!$C$35^2)),0)</f>
        <v>21</v>
      </c>
      <c r="AF491" s="57">
        <f t="shared" si="14"/>
        <v>21</v>
      </c>
      <c r="AG491" s="57">
        <f t="shared" si="3"/>
        <v>0</v>
      </c>
      <c r="AH491" s="58">
        <f>AG491*Variables!$E$42*Variables!$C$18</f>
        <v>0</v>
      </c>
      <c r="AI491" s="73">
        <f t="shared" si="4"/>
        <v>3</v>
      </c>
      <c r="AJ491" s="66">
        <f t="shared" si="15"/>
        <v>3</v>
      </c>
      <c r="AK491" s="66">
        <f t="shared" si="5"/>
        <v>0</v>
      </c>
      <c r="AL491" s="62">
        <f>IF(AK491*Variables!$E$43*Variables!$C$18&lt;0,0,AK491*Variables!$E$43*Variables!$C$18)</f>
        <v>0</v>
      </c>
      <c r="AM491" s="58">
        <f>AA491*Variables!$E$39*Variables!$C$18</f>
        <v>112206880.30747847</v>
      </c>
      <c r="AN491" s="1"/>
      <c r="AO491" s="76">
        <f t="shared" si="16"/>
        <v>0.67714285714285716</v>
      </c>
      <c r="AP491" s="76">
        <f t="shared" si="6"/>
        <v>130.82144666139601</v>
      </c>
      <c r="AQ491" s="75">
        <f>VLOOKUP(B491,'Household Information'!$B$2:$E$48,4,FALSE)</f>
        <v>65.935833333333335</v>
      </c>
      <c r="AR491" s="79">
        <f>IF(12*(AP491-Variables!$C$45*AQ491*F491)*(G491/5)&lt;0,0,12*(AP491-Variables!$C$45*AQ491*F491)*(G491/5))</f>
        <v>23864449.120600779</v>
      </c>
      <c r="AS491" s="1"/>
      <c r="AT491" s="62">
        <v>0</v>
      </c>
      <c r="AU491" s="1"/>
    </row>
    <row r="492" spans="1:47" ht="14.25" customHeight="1">
      <c r="A492" s="1">
        <v>19</v>
      </c>
      <c r="B492" s="3" t="s">
        <v>211</v>
      </c>
      <c r="C492" s="1">
        <v>2029</v>
      </c>
      <c r="D492" s="13">
        <f>VLOOKUP(B492,Population!$B$1:$O$48,13,FALSE)</f>
        <v>326609.90187304374</v>
      </c>
      <c r="E492" s="13" t="str">
        <f t="shared" si="23"/>
        <v>Medium</v>
      </c>
      <c r="F492" s="54">
        <f>VLOOKUP(B492,'Household Information'!$B$1:$E$48,2,FALSE)</f>
        <v>2.5344143617118515</v>
      </c>
      <c r="G492" s="54">
        <f t="shared" si="0"/>
        <v>128869.96964949231</v>
      </c>
      <c r="H492" s="55">
        <f>IF(D492&gt;Variables!$C$6,H445,H445*(1+Variables!$C$9))</f>
        <v>33.110705594037988</v>
      </c>
      <c r="I492" s="1"/>
      <c r="J492" s="13">
        <f>H492*Variables!$C$21</f>
        <v>595.9927006926838</v>
      </c>
      <c r="K492" s="13">
        <f t="shared" si="12"/>
        <v>595.9927006926838</v>
      </c>
      <c r="L492" s="54">
        <f t="shared" si="1"/>
        <v>0</v>
      </c>
      <c r="M492" s="56"/>
      <c r="N492" s="57"/>
      <c r="O492" s="57"/>
      <c r="P492" s="57"/>
      <c r="Q492" s="57"/>
      <c r="R492" s="57"/>
      <c r="S492" s="58">
        <v>0</v>
      </c>
      <c r="T492" s="59">
        <f>$L492*Variables!$C$22/100</f>
        <v>0</v>
      </c>
      <c r="U492" s="59">
        <f>$L492*Variables!$C$23/100</f>
        <v>0</v>
      </c>
      <c r="V492" s="59">
        <f>$L492*Variables!$C$24/100</f>
        <v>0</v>
      </c>
      <c r="W492" s="59">
        <f>$L492*Variables!$C$25/100</f>
        <v>0</v>
      </c>
      <c r="X492" s="62">
        <f>T492*Variables!$E$26*Variables!$C$18+'Cost Calculations'!U492*Variables!$E$27*Variables!$C$18+'Cost Calculations'!V492*Variables!$E$28*Variables!$C$18+W492*Variables!$E$29*Variables!$C$18</f>
        <v>0</v>
      </c>
      <c r="Y492" s="58">
        <f>J492*Variables!$E$30</f>
        <v>390375.2189537079</v>
      </c>
      <c r="Z492" s="1"/>
      <c r="AA492" s="245">
        <f>D492*(IF(D492&lt;Variables!$C$7,Variables!$C$38,IF(D492&gt;Variables!$C$6,Variables!$C$36,Variables!$C$37)))</f>
        <v>391.93188224765242</v>
      </c>
      <c r="AB492" s="64">
        <f t="shared" si="13"/>
        <v>386</v>
      </c>
      <c r="AC492" s="66">
        <f t="shared" si="2"/>
        <v>6</v>
      </c>
      <c r="AD492" s="62">
        <f>AC492*Variables!$E$41</f>
        <v>3225600</v>
      </c>
      <c r="AE492" s="71">
        <f>ROUND((H492/(3.14*Variables!$C$35^2)),0)</f>
        <v>42</v>
      </c>
      <c r="AF492" s="57">
        <f t="shared" si="14"/>
        <v>42</v>
      </c>
      <c r="AG492" s="57">
        <f t="shared" si="3"/>
        <v>0</v>
      </c>
      <c r="AH492" s="58">
        <f>AG492*Variables!$E$42*Variables!$C$18</f>
        <v>0</v>
      </c>
      <c r="AI492" s="73">
        <f t="shared" si="4"/>
        <v>3</v>
      </c>
      <c r="AJ492" s="66">
        <f t="shared" si="15"/>
        <v>3</v>
      </c>
      <c r="AK492" s="66">
        <f t="shared" si="5"/>
        <v>0</v>
      </c>
      <c r="AL492" s="62">
        <f>IF(AK492*Variables!$E$43*Variables!$C$18&lt;0,0,AK492*Variables!$E$43*Variables!$C$18)</f>
        <v>0</v>
      </c>
      <c r="AM492" s="58">
        <f>AA492*Variables!$E$39*Variables!$C$18</f>
        <v>113288817.73075192</v>
      </c>
      <c r="AN492" s="1"/>
      <c r="AO492" s="76">
        <f t="shared" si="16"/>
        <v>0.67714285714285716</v>
      </c>
      <c r="AP492" s="76">
        <f t="shared" si="6"/>
        <v>102.96963492440722</v>
      </c>
      <c r="AQ492" s="75">
        <f>VLOOKUP(B492,'Household Information'!$B$2:$E$48,4,FALSE)</f>
        <v>65.935833333333335</v>
      </c>
      <c r="AR492" s="79">
        <f>IF(12*(AP492-Variables!$C$45*AQ492*F492)*(G492/5)&lt;0,0,12*(AP492-Variables!$C$45*AQ492*F492)*(G492/5))</f>
        <v>24094558.366296139</v>
      </c>
      <c r="AS492" s="1"/>
      <c r="AT492" s="62">
        <v>0</v>
      </c>
      <c r="AU492" s="1"/>
    </row>
    <row r="493" spans="1:47" ht="14.25" customHeight="1">
      <c r="A493" s="1">
        <v>20</v>
      </c>
      <c r="B493" s="3" t="s">
        <v>212</v>
      </c>
      <c r="C493" s="1">
        <v>2029</v>
      </c>
      <c r="D493" s="13">
        <f>VLOOKUP(B493,Population!$B$1:$O$48,13,FALSE)</f>
        <v>197884.8199428517</v>
      </c>
      <c r="E493" s="13" t="str">
        <f t="shared" si="23"/>
        <v>Medium</v>
      </c>
      <c r="F493" s="54">
        <f>VLOOKUP(B493,'Household Information'!$B$1:$E$48,2,FALSE)</f>
        <v>2.6024941905499612</v>
      </c>
      <c r="G493" s="54">
        <f t="shared" si="0"/>
        <v>76036.603909203928</v>
      </c>
      <c r="H493" s="55">
        <f>IF(D493&gt;Variables!$C$6,H446,H446*(1+Variables!$C$9))</f>
        <v>15</v>
      </c>
      <c r="I493" s="1"/>
      <c r="J493" s="13">
        <f>H493*Variables!$C$21</f>
        <v>270</v>
      </c>
      <c r="K493" s="13">
        <f t="shared" si="12"/>
        <v>270</v>
      </c>
      <c r="L493" s="54">
        <f t="shared" si="1"/>
        <v>0</v>
      </c>
      <c r="M493" s="56"/>
      <c r="N493" s="57"/>
      <c r="O493" s="57"/>
      <c r="P493" s="57"/>
      <c r="Q493" s="57"/>
      <c r="R493" s="57"/>
      <c r="S493" s="58">
        <v>0</v>
      </c>
      <c r="T493" s="59">
        <f>$L493*Variables!$C$22/100</f>
        <v>0</v>
      </c>
      <c r="U493" s="59">
        <f>$L493*Variables!$C$23/100</f>
        <v>0</v>
      </c>
      <c r="V493" s="59">
        <f>$L493*Variables!$C$24/100</f>
        <v>0</v>
      </c>
      <c r="W493" s="59">
        <f>$L493*Variables!$C$25/100</f>
        <v>0</v>
      </c>
      <c r="X493" s="62">
        <f>T493*Variables!$E$26*Variables!$C$18+'Cost Calculations'!U493*Variables!$E$27*Variables!$C$18+'Cost Calculations'!V493*Variables!$E$28*Variables!$C$18+W493*Variables!$E$29*Variables!$C$18</f>
        <v>0</v>
      </c>
      <c r="Y493" s="58">
        <f>J493*Variables!$E$30</f>
        <v>176850</v>
      </c>
      <c r="Z493" s="1"/>
      <c r="AA493" s="245">
        <f>D493*(IF(D493&lt;Variables!$C$7,Variables!$C$38,IF(D493&gt;Variables!$C$6,Variables!$C$36,Variables!$C$37)))</f>
        <v>237.46178393142202</v>
      </c>
      <c r="AB493" s="64">
        <f t="shared" si="13"/>
        <v>234</v>
      </c>
      <c r="AC493" s="66">
        <f t="shared" si="2"/>
        <v>3</v>
      </c>
      <c r="AD493" s="62">
        <f>AC493*Variables!$E$41</f>
        <v>1612800</v>
      </c>
      <c r="AE493" s="71">
        <f>ROUND((H493/(3.14*Variables!$C$35^2)),0)</f>
        <v>19</v>
      </c>
      <c r="AF493" s="57">
        <f t="shared" si="14"/>
        <v>19</v>
      </c>
      <c r="AG493" s="57">
        <f t="shared" si="3"/>
        <v>0</v>
      </c>
      <c r="AH493" s="58">
        <f>AG493*Variables!$E$42*Variables!$C$18</f>
        <v>0</v>
      </c>
      <c r="AI493" s="73">
        <f t="shared" si="4"/>
        <v>2</v>
      </c>
      <c r="AJ493" s="66">
        <f t="shared" si="15"/>
        <v>2</v>
      </c>
      <c r="AK493" s="66">
        <f t="shared" si="5"/>
        <v>0</v>
      </c>
      <c r="AL493" s="62">
        <f>IF(AK493*Variables!$E$43*Variables!$C$18&lt;0,0,AK493*Variables!$E$43*Variables!$C$18)</f>
        <v>0</v>
      </c>
      <c r="AM493" s="58">
        <f>AA493*Variables!$E$39*Variables!$C$18</f>
        <v>68638878.275351629</v>
      </c>
      <c r="AN493" s="1"/>
      <c r="AO493" s="76">
        <f t="shared" si="16"/>
        <v>0.67714285714285716</v>
      </c>
      <c r="AP493" s="76">
        <f t="shared" si="6"/>
        <v>105.73562111320128</v>
      </c>
      <c r="AQ493" s="75">
        <f>VLOOKUP(B493,'Household Information'!$B$2:$E$48,4,FALSE)</f>
        <v>65.935833333333335</v>
      </c>
      <c r="AR493" s="79">
        <f>IF(12*(AP493-Variables!$C$45*AQ493*F493)*(G493/5)&lt;0,0,12*(AP493-Variables!$C$45*AQ493*F493)*(G493/5))</f>
        <v>14598293.917526072</v>
      </c>
      <c r="AS493" s="1"/>
      <c r="AT493" s="62">
        <v>0</v>
      </c>
      <c r="AU493" s="1"/>
    </row>
    <row r="494" spans="1:47" ht="14.25" customHeight="1">
      <c r="A494" s="1">
        <v>21</v>
      </c>
      <c r="B494" s="3" t="s">
        <v>213</v>
      </c>
      <c r="C494" s="1">
        <v>2029</v>
      </c>
      <c r="D494" s="13">
        <f>VLOOKUP(B494,Population!$B$1:$O$48,13,FALSE)</f>
        <v>209171.92666102355</v>
      </c>
      <c r="E494" s="13" t="str">
        <f t="shared" si="23"/>
        <v>Medium</v>
      </c>
      <c r="F494" s="54">
        <f>VLOOKUP(B494,'Household Information'!$B$1:$E$48,2,FALSE)</f>
        <v>3.3084232295567606</v>
      </c>
      <c r="G494" s="54">
        <f t="shared" si="0"/>
        <v>63224.053317098413</v>
      </c>
      <c r="H494" s="55">
        <f>IF(D494&gt;Variables!$C$6,H447,H447*(1+Variables!$C$9))</f>
        <v>35.084811999999992</v>
      </c>
      <c r="I494" s="1"/>
      <c r="J494" s="13">
        <f>H494*Variables!$C$21</f>
        <v>631.52661599999988</v>
      </c>
      <c r="K494" s="13">
        <f t="shared" si="12"/>
        <v>631.52661599999988</v>
      </c>
      <c r="L494" s="54">
        <f t="shared" si="1"/>
        <v>0</v>
      </c>
      <c r="M494" s="56"/>
      <c r="N494" s="57"/>
      <c r="O494" s="57"/>
      <c r="P494" s="57"/>
      <c r="Q494" s="57"/>
      <c r="R494" s="57"/>
      <c r="S494" s="58">
        <v>0</v>
      </c>
      <c r="T494" s="59">
        <f>$L494*Variables!$C$22/100</f>
        <v>0</v>
      </c>
      <c r="U494" s="59">
        <f>$L494*Variables!$C$23/100</f>
        <v>0</v>
      </c>
      <c r="V494" s="59">
        <f>$L494*Variables!$C$24/100</f>
        <v>0</v>
      </c>
      <c r="W494" s="59">
        <f>$L494*Variables!$C$25/100</f>
        <v>0</v>
      </c>
      <c r="X494" s="62">
        <f>T494*Variables!$E$26*Variables!$C$18+'Cost Calculations'!U494*Variables!$E$27*Variables!$C$18+'Cost Calculations'!V494*Variables!$E$28*Variables!$C$18+W494*Variables!$E$29*Variables!$C$18</f>
        <v>0</v>
      </c>
      <c r="Y494" s="58">
        <f>J494*Variables!$E$30</f>
        <v>413649.93347999989</v>
      </c>
      <c r="Z494" s="1"/>
      <c r="AA494" s="245">
        <f>D494*(IF(D494&lt;Variables!$C$7,Variables!$C$38,IF(D494&gt;Variables!$C$6,Variables!$C$36,Variables!$C$37)))</f>
        <v>251.00631199322825</v>
      </c>
      <c r="AB494" s="64">
        <f t="shared" si="13"/>
        <v>247</v>
      </c>
      <c r="AC494" s="66">
        <f t="shared" si="2"/>
        <v>4</v>
      </c>
      <c r="AD494" s="62">
        <f>AC494*Variables!$E$41</f>
        <v>2150400</v>
      </c>
      <c r="AE494" s="71">
        <f>ROUND((H494/(3.14*Variables!$C$35^2)),0)</f>
        <v>45</v>
      </c>
      <c r="AF494" s="57">
        <f t="shared" si="14"/>
        <v>45</v>
      </c>
      <c r="AG494" s="57">
        <f t="shared" si="3"/>
        <v>0</v>
      </c>
      <c r="AH494" s="58">
        <f>AG494*Variables!$E$42*Variables!$C$18</f>
        <v>0</v>
      </c>
      <c r="AI494" s="73">
        <f t="shared" si="4"/>
        <v>2</v>
      </c>
      <c r="AJ494" s="66">
        <f t="shared" si="15"/>
        <v>2</v>
      </c>
      <c r="AK494" s="66">
        <f t="shared" si="5"/>
        <v>0</v>
      </c>
      <c r="AL494" s="62">
        <f>IF(AK494*Variables!$E$43*Variables!$C$18&lt;0,0,AK494*Variables!$E$43*Variables!$C$18)</f>
        <v>0</v>
      </c>
      <c r="AM494" s="58">
        <f>AA494*Variables!$E$39*Variables!$C$18</f>
        <v>72553955.461834371</v>
      </c>
      <c r="AN494" s="1"/>
      <c r="AO494" s="76">
        <f t="shared" si="16"/>
        <v>0.67714285714285716</v>
      </c>
      <c r="AP494" s="76">
        <f t="shared" si="6"/>
        <v>134.4165094979918</v>
      </c>
      <c r="AQ494" s="75">
        <f>VLOOKUP(B494,'Household Information'!$B$2:$E$48,4,FALSE)</f>
        <v>65.935833333333335</v>
      </c>
      <c r="AR494" s="79">
        <f>IF(12*(AP494-Variables!$C$45*AQ494*F494)*(G494/5)&lt;0,0,12*(AP494-Variables!$C$45*AQ494*F494)*(G494/5))</f>
        <v>15430962.645718267</v>
      </c>
      <c r="AS494" s="1"/>
      <c r="AT494" s="62">
        <v>0</v>
      </c>
      <c r="AU494" s="1"/>
    </row>
    <row r="495" spans="1:47" ht="14.25" customHeight="1">
      <c r="A495" s="1">
        <v>22</v>
      </c>
      <c r="B495" s="3" t="s">
        <v>214</v>
      </c>
      <c r="C495" s="1">
        <v>2029</v>
      </c>
      <c r="D495" s="13">
        <f>VLOOKUP(B495,Population!$B$1:$O$48,13,FALSE)</f>
        <v>184689.43594609102</v>
      </c>
      <c r="E495" s="13" t="str">
        <f t="shared" si="23"/>
        <v>Medium</v>
      </c>
      <c r="F495" s="54">
        <f>VLOOKUP(B495,'Household Information'!$B$1:$E$48,2,FALSE)</f>
        <v>2.4748082204754236</v>
      </c>
      <c r="G495" s="54">
        <f t="shared" si="0"/>
        <v>74627.776980072915</v>
      </c>
      <c r="H495" s="55">
        <f>IF(D495&gt;Variables!$C$6,H448,H448*(1+Variables!$C$9))</f>
        <v>31.3</v>
      </c>
      <c r="I495" s="1"/>
      <c r="J495" s="13">
        <f>H495*Variables!$C$21</f>
        <v>563.4</v>
      </c>
      <c r="K495" s="13">
        <f t="shared" si="12"/>
        <v>563.4</v>
      </c>
      <c r="L495" s="54">
        <f t="shared" si="1"/>
        <v>0</v>
      </c>
      <c r="M495" s="56"/>
      <c r="N495" s="57"/>
      <c r="O495" s="57"/>
      <c r="P495" s="57"/>
      <c r="Q495" s="57"/>
      <c r="R495" s="57"/>
      <c r="S495" s="58">
        <v>0</v>
      </c>
      <c r="T495" s="59">
        <f>$L495*Variables!$C$22/100</f>
        <v>0</v>
      </c>
      <c r="U495" s="59">
        <f>$L495*Variables!$C$23/100</f>
        <v>0</v>
      </c>
      <c r="V495" s="59">
        <f>$L495*Variables!$C$24/100</f>
        <v>0</v>
      </c>
      <c r="W495" s="59">
        <f>$L495*Variables!$C$25/100</f>
        <v>0</v>
      </c>
      <c r="X495" s="62">
        <f>T495*Variables!$E$26*Variables!$C$18+'Cost Calculations'!U495*Variables!$E$27*Variables!$C$18+'Cost Calculations'!V495*Variables!$E$28*Variables!$C$18+W495*Variables!$E$29*Variables!$C$18</f>
        <v>0</v>
      </c>
      <c r="Y495" s="58">
        <f>J495*Variables!$E$30</f>
        <v>369027</v>
      </c>
      <c r="Z495" s="1"/>
      <c r="AA495" s="245">
        <f>D495*(IF(D495&lt;Variables!$C$7,Variables!$C$38,IF(D495&gt;Variables!$C$6,Variables!$C$36,Variables!$C$37)))</f>
        <v>221.62732313530921</v>
      </c>
      <c r="AB495" s="64">
        <f t="shared" si="13"/>
        <v>218</v>
      </c>
      <c r="AC495" s="66">
        <f t="shared" si="2"/>
        <v>4</v>
      </c>
      <c r="AD495" s="62">
        <f>AC495*Variables!$E$41</f>
        <v>2150400</v>
      </c>
      <c r="AE495" s="71">
        <f>ROUND((H495/(3.14*Variables!$C$35^2)),0)</f>
        <v>40</v>
      </c>
      <c r="AF495" s="57">
        <f t="shared" si="14"/>
        <v>40</v>
      </c>
      <c r="AG495" s="57">
        <f t="shared" si="3"/>
        <v>0</v>
      </c>
      <c r="AH495" s="58">
        <f>AG495*Variables!$E$42*Variables!$C$18</f>
        <v>0</v>
      </c>
      <c r="AI495" s="73">
        <f t="shared" si="4"/>
        <v>2</v>
      </c>
      <c r="AJ495" s="66">
        <f t="shared" si="15"/>
        <v>2</v>
      </c>
      <c r="AK495" s="66">
        <f t="shared" si="5"/>
        <v>0</v>
      </c>
      <c r="AL495" s="62">
        <f>IF(AK495*Variables!$E$43*Variables!$C$18&lt;0,0,AK495*Variables!$E$43*Variables!$C$18)</f>
        <v>0</v>
      </c>
      <c r="AM495" s="58">
        <f>AA495*Variables!$E$39*Variables!$C$18</f>
        <v>64061890.73173032</v>
      </c>
      <c r="AN495" s="1"/>
      <c r="AO495" s="76">
        <f t="shared" si="16"/>
        <v>0.67714285714285716</v>
      </c>
      <c r="AP495" s="76">
        <f t="shared" si="6"/>
        <v>100.5479225576015</v>
      </c>
      <c r="AQ495" s="75">
        <f>VLOOKUP(B495,'Household Information'!$B$2:$E$48,4,FALSE)</f>
        <v>65.935833333333335</v>
      </c>
      <c r="AR495" s="79">
        <f>IF(12*(AP495-Variables!$C$45*AQ495*F495)*(G495/5)&lt;0,0,12*(AP495-Variables!$C$45*AQ495*F495)*(G495/5))</f>
        <v>13624848.384943215</v>
      </c>
      <c r="AS495" s="1"/>
      <c r="AT495" s="62">
        <v>0</v>
      </c>
      <c r="AU495" s="1"/>
    </row>
    <row r="496" spans="1:47" ht="14.25" customHeight="1">
      <c r="A496" s="1">
        <v>23</v>
      </c>
      <c r="B496" s="3" t="s">
        <v>215</v>
      </c>
      <c r="C496" s="1">
        <v>2029</v>
      </c>
      <c r="D496" s="13">
        <f>VLOOKUP(B496,Population!$B$1:$O$48,13,FALSE)</f>
        <v>142153.69981655804</v>
      </c>
      <c r="E496" s="13" t="str">
        <f t="shared" si="23"/>
        <v>Medium</v>
      </c>
      <c r="F496" s="54">
        <f>VLOOKUP(B496,'Household Information'!$B$1:$E$48,2,FALSE)</f>
        <v>2.7568018275271275</v>
      </c>
      <c r="G496" s="54">
        <f t="shared" si="0"/>
        <v>51564.71473470801</v>
      </c>
      <c r="H496" s="55">
        <f>IF(D496&gt;Variables!$C$6,H449,H449*(1+Variables!$C$9))</f>
        <v>14.881089649499996</v>
      </c>
      <c r="I496" s="1"/>
      <c r="J496" s="13">
        <f>H496*Variables!$C$21</f>
        <v>267.85961369099994</v>
      </c>
      <c r="K496" s="13">
        <f t="shared" si="12"/>
        <v>267.85961369099994</v>
      </c>
      <c r="L496" s="54">
        <f t="shared" si="1"/>
        <v>0</v>
      </c>
      <c r="M496" s="56"/>
      <c r="N496" s="57"/>
      <c r="O496" s="57"/>
      <c r="P496" s="57"/>
      <c r="Q496" s="57"/>
      <c r="R496" s="57"/>
      <c r="S496" s="58">
        <v>0</v>
      </c>
      <c r="T496" s="59">
        <f>$L496*Variables!$C$22/100</f>
        <v>0</v>
      </c>
      <c r="U496" s="59">
        <f>$L496*Variables!$C$23/100</f>
        <v>0</v>
      </c>
      <c r="V496" s="59">
        <f>$L496*Variables!$C$24/100</f>
        <v>0</v>
      </c>
      <c r="W496" s="59">
        <f>$L496*Variables!$C$25/100</f>
        <v>0</v>
      </c>
      <c r="X496" s="62">
        <f>T496*Variables!$E$26*Variables!$C$18+'Cost Calculations'!U496*Variables!$E$27*Variables!$C$18+'Cost Calculations'!V496*Variables!$E$28*Variables!$C$18+W496*Variables!$E$29*Variables!$C$18</f>
        <v>0</v>
      </c>
      <c r="Y496" s="58">
        <f>J496*Variables!$E$30</f>
        <v>175448.04696760495</v>
      </c>
      <c r="Z496" s="1"/>
      <c r="AA496" s="245">
        <f>D496*(IF(D496&lt;Variables!$C$7,Variables!$C$38,IF(D496&gt;Variables!$C$6,Variables!$C$36,Variables!$C$37)))</f>
        <v>170.58443977986963</v>
      </c>
      <c r="AB496" s="64">
        <f t="shared" si="13"/>
        <v>168</v>
      </c>
      <c r="AC496" s="66">
        <f t="shared" si="2"/>
        <v>3</v>
      </c>
      <c r="AD496" s="62">
        <f>AC496*Variables!$E$41</f>
        <v>1612800</v>
      </c>
      <c r="AE496" s="71">
        <f>ROUND((H496/(3.14*Variables!$C$35^2)),0)</f>
        <v>19</v>
      </c>
      <c r="AF496" s="57">
        <f t="shared" si="14"/>
        <v>19</v>
      </c>
      <c r="AG496" s="57">
        <f t="shared" si="3"/>
        <v>0</v>
      </c>
      <c r="AH496" s="58">
        <f>AG496*Variables!$E$42*Variables!$C$18</f>
        <v>0</v>
      </c>
      <c r="AI496" s="73">
        <f t="shared" si="4"/>
        <v>1</v>
      </c>
      <c r="AJ496" s="66">
        <f t="shared" si="15"/>
        <v>1</v>
      </c>
      <c r="AK496" s="66">
        <f t="shared" si="5"/>
        <v>0</v>
      </c>
      <c r="AL496" s="62">
        <f>IF(AK496*Variables!$E$43*Variables!$C$18&lt;0,0,AK496*Variables!$E$43*Variables!$C$18)</f>
        <v>0</v>
      </c>
      <c r="AM496" s="58">
        <f>AA496*Variables!$E$39*Variables!$C$18</f>
        <v>49307827.153783001</v>
      </c>
      <c r="AN496" s="1"/>
      <c r="AO496" s="76">
        <f t="shared" si="16"/>
        <v>0.67714285714285716</v>
      </c>
      <c r="AP496" s="76">
        <f t="shared" si="6"/>
        <v>112.00491996410214</v>
      </c>
      <c r="AQ496" s="75">
        <f>VLOOKUP(B496,'Household Information'!$B$2:$E$48,4,FALSE)</f>
        <v>65.935833333333335</v>
      </c>
      <c r="AR496" s="79">
        <f>IF(12*(AP496-Variables!$C$45*AQ496*F496)*(G496/5)&lt;0,0,12*(AP496-Variables!$C$45*AQ496*F496)*(G496/5))</f>
        <v>10486916.035222895</v>
      </c>
      <c r="AS496" s="1"/>
      <c r="AT496" s="62">
        <v>0</v>
      </c>
      <c r="AU496" s="1"/>
    </row>
    <row r="497" spans="1:47" ht="14.25" customHeight="1">
      <c r="A497" s="1">
        <v>24</v>
      </c>
      <c r="B497" s="3" t="s">
        <v>216</v>
      </c>
      <c r="C497" s="1">
        <v>2029</v>
      </c>
      <c r="D497" s="13">
        <f>VLOOKUP(B497,Population!$B$1:$O$48,13,FALSE)</f>
        <v>89211.962774028812</v>
      </c>
      <c r="E497" s="13" t="str">
        <f t="shared" si="23"/>
        <v>Small</v>
      </c>
      <c r="F497" s="54">
        <f>VLOOKUP(B497,'Household Information'!$B$1:$E$48,2,FALSE)</f>
        <v>2.845682723378673</v>
      </c>
      <c r="G497" s="54">
        <f t="shared" si="0"/>
        <v>31349.93301997759</v>
      </c>
      <c r="H497" s="55">
        <f>IF(D497&gt;Variables!$C$6,H450,H450*(1+Variables!$C$9))</f>
        <v>11.758679624782467</v>
      </c>
      <c r="I497" s="1"/>
      <c r="J497" s="13">
        <f>H497*Variables!$C$21</f>
        <v>211.65623324608441</v>
      </c>
      <c r="K497" s="13">
        <f t="shared" si="12"/>
        <v>204.89470788585132</v>
      </c>
      <c r="L497" s="54">
        <f t="shared" si="1"/>
        <v>6.7615253602330938</v>
      </c>
      <c r="M497" s="56"/>
      <c r="N497" s="57"/>
      <c r="O497" s="57"/>
      <c r="P497" s="57"/>
      <c r="Q497" s="57"/>
      <c r="R497" s="57"/>
      <c r="S497" s="58">
        <v>0</v>
      </c>
      <c r="T497" s="59">
        <f>$L497*Variables!$C$22/100</f>
        <v>0.36714164851944397</v>
      </c>
      <c r="U497" s="59">
        <f>$L497*Variables!$C$23/100</f>
        <v>0.64249788490902704</v>
      </c>
      <c r="V497" s="59">
        <f>$L497*Variables!$C$24/100</f>
        <v>0.67309302228564727</v>
      </c>
      <c r="W497" s="59">
        <f>$L497*Variables!$C$25/100</f>
        <v>4.8952219802592536</v>
      </c>
      <c r="X497" s="62">
        <f>T497*Variables!$E$26*Variables!$C$18+'Cost Calculations'!U497*Variables!$E$27*Variables!$C$18+'Cost Calculations'!V497*Variables!$E$28*Variables!$C$18+W497*Variables!$E$29*Variables!$C$18</f>
        <v>7686015.0467113573</v>
      </c>
      <c r="Y497" s="58">
        <f>J497*Variables!$E$30</f>
        <v>138634.8327761853</v>
      </c>
      <c r="Z497" s="1"/>
      <c r="AA497" s="245">
        <f>D497*(IF(D497&lt;Variables!$C$7,Variables!$C$38,IF(D497&gt;Variables!$C$6,Variables!$C$36,Variables!$C$37)))</f>
        <v>71.36957021922305</v>
      </c>
      <c r="AB497" s="64">
        <f t="shared" si="13"/>
        <v>70</v>
      </c>
      <c r="AC497" s="66">
        <f t="shared" si="2"/>
        <v>1</v>
      </c>
      <c r="AD497" s="62">
        <f>AC497*Variables!$E$41</f>
        <v>537600</v>
      </c>
      <c r="AE497" s="71">
        <f>ROUND((H497/(3.14*Variables!$C$35^2)),0)</f>
        <v>15</v>
      </c>
      <c r="AF497" s="57">
        <f t="shared" si="14"/>
        <v>15</v>
      </c>
      <c r="AG497" s="57">
        <f t="shared" si="3"/>
        <v>0</v>
      </c>
      <c r="AH497" s="58">
        <f>AG497*Variables!$E$42*Variables!$C$18</f>
        <v>0</v>
      </c>
      <c r="AI497" s="73">
        <f t="shared" si="4"/>
        <v>1</v>
      </c>
      <c r="AJ497" s="66">
        <f t="shared" si="15"/>
        <v>1</v>
      </c>
      <c r="AK497" s="66">
        <f t="shared" si="5"/>
        <v>0</v>
      </c>
      <c r="AL497" s="62">
        <f>IF(AK497*Variables!$E$43*Variables!$C$18&lt;0,0,AK497*Variables!$E$43*Variables!$C$18)</f>
        <v>0</v>
      </c>
      <c r="AM497" s="58">
        <f>AA497*Variables!$E$39*Variables!$C$18</f>
        <v>20629539.464152869</v>
      </c>
      <c r="AN497" s="1"/>
      <c r="AO497" s="76">
        <f t="shared" si="16"/>
        <v>0.67714285714285716</v>
      </c>
      <c r="AP497" s="76">
        <f t="shared" si="6"/>
        <v>115.61602378984207</v>
      </c>
      <c r="AQ497" s="75">
        <f>VLOOKUP(B497,'Household Information'!$B$2:$E$48,4,FALSE)</f>
        <v>65.935833333333335</v>
      </c>
      <c r="AR497" s="79">
        <f>IF(12*(AP497-Variables!$C$45*AQ497*F497)*(G497/5)&lt;0,0,12*(AP497-Variables!$C$45*AQ497*F497)*(G497/5))</f>
        <v>6581315.6052635992</v>
      </c>
      <c r="AS497" s="1"/>
      <c r="AT497" s="62">
        <v>0</v>
      </c>
      <c r="AU497" s="1"/>
    </row>
    <row r="498" spans="1:47" ht="14.25" customHeight="1">
      <c r="A498" s="1">
        <v>25</v>
      </c>
      <c r="B498" s="3" t="s">
        <v>217</v>
      </c>
      <c r="C498" s="1">
        <v>2029</v>
      </c>
      <c r="D498" s="13">
        <f>VLOOKUP(B498,Population!$B$1:$O$48,13,FALSE)</f>
        <v>184869.66213351331</v>
      </c>
      <c r="E498" s="13" t="str">
        <f t="shared" si="23"/>
        <v>Medium</v>
      </c>
      <c r="F498" s="54">
        <f>VLOOKUP(B498,'Household Information'!$B$1:$E$48,2,FALSE)</f>
        <v>2.502264030612245</v>
      </c>
      <c r="G498" s="54">
        <f t="shared" si="0"/>
        <v>73880.957353760969</v>
      </c>
      <c r="H498" s="55">
        <f>IF(D498&gt;Variables!$C$6,H451,H451*(1+Variables!$C$9))</f>
        <v>22.498002944169993</v>
      </c>
      <c r="I498" s="1"/>
      <c r="J498" s="13">
        <f>H498*Variables!$C$21</f>
        <v>404.96405299505989</v>
      </c>
      <c r="K498" s="13">
        <f t="shared" si="12"/>
        <v>404.96405299505989</v>
      </c>
      <c r="L498" s="54">
        <f t="shared" si="1"/>
        <v>0</v>
      </c>
      <c r="M498" s="56"/>
      <c r="N498" s="57"/>
      <c r="O498" s="57"/>
      <c r="P498" s="57"/>
      <c r="Q498" s="57"/>
      <c r="R498" s="57"/>
      <c r="S498" s="58">
        <v>0</v>
      </c>
      <c r="T498" s="59">
        <f>$L498*Variables!$C$22/100</f>
        <v>0</v>
      </c>
      <c r="U498" s="59">
        <f>$L498*Variables!$C$23/100</f>
        <v>0</v>
      </c>
      <c r="V498" s="59">
        <f>$L498*Variables!$C$24/100</f>
        <v>0</v>
      </c>
      <c r="W498" s="59">
        <f>$L498*Variables!$C$25/100</f>
        <v>0</v>
      </c>
      <c r="X498" s="62">
        <f>T498*Variables!$E$26*Variables!$C$18+'Cost Calculations'!U498*Variables!$E$27*Variables!$C$18+'Cost Calculations'!V498*Variables!$E$28*Variables!$C$18+W498*Variables!$E$29*Variables!$C$18</f>
        <v>0</v>
      </c>
      <c r="Y498" s="58">
        <f>J498*Variables!$E$30</f>
        <v>265251.45471176424</v>
      </c>
      <c r="Z498" s="1"/>
      <c r="AA498" s="245">
        <f>D498*(IF(D498&lt;Variables!$C$7,Variables!$C$38,IF(D498&gt;Variables!$C$6,Variables!$C$36,Variables!$C$37)))</f>
        <v>221.84359456021596</v>
      </c>
      <c r="AB498" s="64">
        <f t="shared" si="13"/>
        <v>219</v>
      </c>
      <c r="AC498" s="66">
        <f t="shared" si="2"/>
        <v>3</v>
      </c>
      <c r="AD498" s="62">
        <f>AC498*Variables!$E$41</f>
        <v>1612800</v>
      </c>
      <c r="AE498" s="71">
        <f>ROUND((H498/(3.14*Variables!$C$35^2)),0)</f>
        <v>29</v>
      </c>
      <c r="AF498" s="57">
        <f t="shared" si="14"/>
        <v>29</v>
      </c>
      <c r="AG498" s="57">
        <f t="shared" si="3"/>
        <v>0</v>
      </c>
      <c r="AH498" s="58">
        <f>AG498*Variables!$E$42*Variables!$C$18</f>
        <v>0</v>
      </c>
      <c r="AI498" s="73">
        <f t="shared" si="4"/>
        <v>2</v>
      </c>
      <c r="AJ498" s="66">
        <f t="shared" si="15"/>
        <v>2</v>
      </c>
      <c r="AK498" s="66">
        <f t="shared" si="5"/>
        <v>0</v>
      </c>
      <c r="AL498" s="62">
        <f>IF(AK498*Variables!$E$43*Variables!$C$18&lt;0,0,AK498*Variables!$E$43*Variables!$C$18)</f>
        <v>0</v>
      </c>
      <c r="AM498" s="58">
        <f>AA498*Variables!$E$39*Variables!$C$18</f>
        <v>64124404.487682298</v>
      </c>
      <c r="AN498" s="1"/>
      <c r="AO498" s="76">
        <f t="shared" si="16"/>
        <v>0.67714285714285716</v>
      </c>
      <c r="AP498" s="76">
        <f t="shared" si="6"/>
        <v>101.66341290087463</v>
      </c>
      <c r="AQ498" s="75">
        <f>VLOOKUP(B498,'Household Information'!$B$2:$E$48,4,FALSE)</f>
        <v>65.935833333333335</v>
      </c>
      <c r="AR498" s="79">
        <f>IF(12*(AP498-Variables!$C$45*AQ498*F498)*(G498/5)&lt;0,0,12*(AP498-Variables!$C$45*AQ498*F498)*(G498/5))</f>
        <v>13638143.972024556</v>
      </c>
      <c r="AS498" s="1"/>
      <c r="AT498" s="62">
        <v>0</v>
      </c>
      <c r="AU498" s="1"/>
    </row>
    <row r="499" spans="1:47" ht="14.25" customHeight="1">
      <c r="A499" s="1">
        <v>26</v>
      </c>
      <c r="B499" s="3" t="s">
        <v>219</v>
      </c>
      <c r="C499" s="1">
        <v>2029</v>
      </c>
      <c r="D499" s="13">
        <f>VLOOKUP(B499,Population!$B$1:$O$48,13,FALSE)</f>
        <v>50468.044273988118</v>
      </c>
      <c r="E499" s="13" t="str">
        <f t="shared" si="23"/>
        <v>Small</v>
      </c>
      <c r="F499" s="54">
        <f>VLOOKUP(B499,'Household Information'!$B$1:$E$48,2,FALSE)</f>
        <v>3.6899491861166136</v>
      </c>
      <c r="G499" s="54">
        <f t="shared" si="0"/>
        <v>13677.165112157503</v>
      </c>
      <c r="H499" s="55">
        <f>IF(D499&gt;Variables!$C$6,H452,H452*(1+Variables!$C$9))</f>
        <v>5.1192335010865193</v>
      </c>
      <c r="I499" s="1"/>
      <c r="J499" s="13">
        <f>H499*Variables!$C$21</f>
        <v>92.146203019557348</v>
      </c>
      <c r="K499" s="13">
        <f t="shared" si="12"/>
        <v>89.202519864043907</v>
      </c>
      <c r="L499" s="54">
        <f t="shared" si="1"/>
        <v>2.9436831555134404</v>
      </c>
      <c r="M499" s="56"/>
      <c r="N499" s="57"/>
      <c r="O499" s="57"/>
      <c r="P499" s="57"/>
      <c r="Q499" s="57"/>
      <c r="R499" s="57"/>
      <c r="S499" s="58">
        <v>0</v>
      </c>
      <c r="T499" s="59">
        <f>$L499*Variables!$C$22/100</f>
        <v>0.15983799939439491</v>
      </c>
      <c r="U499" s="59">
        <f>$L499*Variables!$C$23/100</f>
        <v>0.27971649894019118</v>
      </c>
      <c r="V499" s="59">
        <f>$L499*Variables!$C$24/100</f>
        <v>0.29303633222305742</v>
      </c>
      <c r="W499" s="59">
        <f>$L499*Variables!$C$25/100</f>
        <v>2.1311733252585991</v>
      </c>
      <c r="X499" s="62">
        <f>T499*Variables!$E$26*Variables!$C$18+'Cost Calculations'!U499*Variables!$E$27*Variables!$C$18+'Cost Calculations'!V499*Variables!$E$28*Variables!$C$18+W499*Variables!$E$29*Variables!$C$18</f>
        <v>3346166.9994013151</v>
      </c>
      <c r="Y499" s="58">
        <f>J499*Variables!$E$30</f>
        <v>60355.76297781006</v>
      </c>
      <c r="Z499" s="1"/>
      <c r="AA499" s="245">
        <f>D499*(IF(D499&lt;Variables!$C$7,Variables!$C$38,IF(D499&gt;Variables!$C$6,Variables!$C$36,Variables!$C$37)))</f>
        <v>40.374435419190497</v>
      </c>
      <c r="AB499" s="64">
        <f t="shared" si="13"/>
        <v>25</v>
      </c>
      <c r="AC499" s="66">
        <f t="shared" si="2"/>
        <v>15</v>
      </c>
      <c r="AD499" s="62">
        <f>AC499*Variables!$E$41</f>
        <v>8064000</v>
      </c>
      <c r="AE499" s="71">
        <f>ROUND((H499/(3.14*Variables!$C$35^2)),0)</f>
        <v>7</v>
      </c>
      <c r="AF499" s="57">
        <f t="shared" si="14"/>
        <v>6</v>
      </c>
      <c r="AG499" s="57">
        <f t="shared" si="3"/>
        <v>1</v>
      </c>
      <c r="AH499" s="58">
        <f>AG499*Variables!$E$42*Variables!$C$18</f>
        <v>1148.2560000000001</v>
      </c>
      <c r="AI499" s="73">
        <f t="shared" si="4"/>
        <v>0</v>
      </c>
      <c r="AJ499" s="66">
        <f t="shared" si="15"/>
        <v>0</v>
      </c>
      <c r="AK499" s="66">
        <f t="shared" si="5"/>
        <v>0</v>
      </c>
      <c r="AL499" s="62">
        <f>IF(AK499*Variables!$E$43*Variables!$C$18&lt;0,0,AK499*Variables!$E$43*Variables!$C$18)</f>
        <v>0</v>
      </c>
      <c r="AM499" s="58">
        <f>AA499*Variables!$E$39*Variables!$C$18</f>
        <v>11670324.008743189</v>
      </c>
      <c r="AN499" s="1"/>
      <c r="AO499" s="76">
        <f t="shared" si="16"/>
        <v>0.67714285714285716</v>
      </c>
      <c r="AP499" s="76">
        <f t="shared" si="6"/>
        <v>149.91736407593783</v>
      </c>
      <c r="AQ499" s="75">
        <f>VLOOKUP(B499,'Household Information'!$B$2:$E$48,4,FALSE)</f>
        <v>65.935833333333335</v>
      </c>
      <c r="AR499" s="79">
        <f>IF(12*(AP499-Variables!$C$45*AQ499*F499)*(G499/5)&lt;0,0,12*(AP499-Variables!$C$45*AQ499*F499)*(G499/5))</f>
        <v>3723111.9798232466</v>
      </c>
      <c r="AS499" s="1"/>
      <c r="AT499" s="62">
        <v>0</v>
      </c>
      <c r="AU499" s="1"/>
    </row>
    <row r="500" spans="1:47" ht="14.25" customHeight="1">
      <c r="A500" s="1">
        <v>27</v>
      </c>
      <c r="B500" s="3" t="s">
        <v>220</v>
      </c>
      <c r="C500" s="1">
        <v>2029</v>
      </c>
      <c r="D500" s="13">
        <f>VLOOKUP(B500,Population!$B$1:$O$48,13,FALSE)</f>
        <v>9464.8197120132227</v>
      </c>
      <c r="E500" s="13" t="str">
        <f t="shared" si="23"/>
        <v>Small</v>
      </c>
      <c r="F500" s="54">
        <f>VLOOKUP(B500,'Household Information'!$B$1:$E$48,2,FALSE)</f>
        <v>2.667113684852179</v>
      </c>
      <c r="G500" s="54">
        <f t="shared" si="0"/>
        <v>3548.7125148689702</v>
      </c>
      <c r="H500" s="55">
        <f>IF(D500&gt;Variables!$C$6,H453,H453*(1+Variables!$C$9))</f>
        <v>0.83424095392425535</v>
      </c>
      <c r="I500" s="1"/>
      <c r="J500" s="13">
        <f>H500*Variables!$C$21</f>
        <v>15.016337170636596</v>
      </c>
      <c r="K500" s="13">
        <f t="shared" si="12"/>
        <v>14.536628432368438</v>
      </c>
      <c r="L500" s="54">
        <f t="shared" si="1"/>
        <v>0.47970873826815819</v>
      </c>
      <c r="M500" s="56"/>
      <c r="N500" s="57"/>
      <c r="O500" s="57"/>
      <c r="P500" s="57"/>
      <c r="Q500" s="57"/>
      <c r="R500" s="57"/>
      <c r="S500" s="58">
        <v>0</v>
      </c>
      <c r="T500" s="59">
        <f>$L500*Variables!$C$22/100</f>
        <v>2.6047533299628497E-2</v>
      </c>
      <c r="U500" s="59">
        <f>$L500*Variables!$C$23/100</f>
        <v>4.5583183274349875E-2</v>
      </c>
      <c r="V500" s="59">
        <f>$L500*Variables!$C$24/100</f>
        <v>4.7753811049318917E-2</v>
      </c>
      <c r="W500" s="59">
        <f>$L500*Variables!$C$25/100</f>
        <v>0.34730044399504661</v>
      </c>
      <c r="X500" s="62">
        <f>T500*Variables!$E$26*Variables!$C$18+'Cost Calculations'!U500*Variables!$E$27*Variables!$C$18+'Cost Calculations'!V500*Variables!$E$28*Variables!$C$18+W500*Variables!$E$29*Variables!$C$18</f>
        <v>545298.34378094808</v>
      </c>
      <c r="Y500" s="58">
        <f>J500*Variables!$E$30</f>
        <v>9835.7008467669712</v>
      </c>
      <c r="Z500" s="1"/>
      <c r="AA500" s="245">
        <f>D500*(IF(D500&lt;Variables!$C$7,Variables!$C$38,IF(D500&gt;Variables!$C$6,Variables!$C$36,Variables!$C$37)))</f>
        <v>4.732409856006611</v>
      </c>
      <c r="AB500" s="64">
        <f t="shared" si="13"/>
        <v>78</v>
      </c>
      <c r="AC500" s="66">
        <f t="shared" si="2"/>
        <v>0</v>
      </c>
      <c r="AD500" s="62">
        <f>AC500*Variables!$E$41</f>
        <v>0</v>
      </c>
      <c r="AE500" s="71">
        <f>ROUND((H500/(3.14*Variables!$C$35^2)),0)</f>
        <v>1</v>
      </c>
      <c r="AF500" s="57">
        <f t="shared" si="14"/>
        <v>1</v>
      </c>
      <c r="AG500" s="57">
        <f t="shared" si="3"/>
        <v>0</v>
      </c>
      <c r="AH500" s="58">
        <f>AG500*Variables!$E$42*Variables!$C$18</f>
        <v>0</v>
      </c>
      <c r="AI500" s="73">
        <f t="shared" si="4"/>
        <v>0</v>
      </c>
      <c r="AJ500" s="66">
        <f t="shared" si="15"/>
        <v>0</v>
      </c>
      <c r="AK500" s="66">
        <f t="shared" si="5"/>
        <v>0</v>
      </c>
      <c r="AL500" s="62">
        <f>IF(AK500*Variables!$E$43*Variables!$C$18&lt;0,0,AK500*Variables!$E$43*Variables!$C$18)</f>
        <v>0</v>
      </c>
      <c r="AM500" s="58">
        <f>AA500*Variables!$E$39*Variables!$C$18</f>
        <v>1367914.022533078</v>
      </c>
      <c r="AN500" s="1"/>
      <c r="AO500" s="76">
        <f t="shared" si="16"/>
        <v>0.67714285714285716</v>
      </c>
      <c r="AP500" s="76">
        <f t="shared" si="6"/>
        <v>108.3610188531371</v>
      </c>
      <c r="AQ500" s="75">
        <f>VLOOKUP(B500,'Household Information'!$B$2:$E$48,4,FALSE)</f>
        <v>65.935833333333335</v>
      </c>
      <c r="AR500" s="79">
        <f>IF(12*(AP500-Variables!$C$45*AQ500*F500)*(G500/5)&lt;0,0,12*(AP500-Variables!$C$45*AQ500*F500)*(G500/5))</f>
        <v>698235.56992530532</v>
      </c>
      <c r="AS500" s="1"/>
      <c r="AT500" s="62">
        <v>0</v>
      </c>
      <c r="AU500" s="1"/>
    </row>
    <row r="501" spans="1:47" ht="14.25" customHeight="1">
      <c r="A501" s="1">
        <v>28</v>
      </c>
      <c r="B501" s="3" t="s">
        <v>221</v>
      </c>
      <c r="C501" s="1">
        <v>2029</v>
      </c>
      <c r="D501" s="13">
        <f>VLOOKUP(B501,Population!$B$1:$O$48,13,FALSE)</f>
        <v>56642.852603841675</v>
      </c>
      <c r="E501" s="13" t="str">
        <f t="shared" si="23"/>
        <v>Small</v>
      </c>
      <c r="F501" s="54">
        <f>VLOOKUP(B501,'Household Information'!$B$1:$E$48,2,FALSE)</f>
        <v>2.5363152064982328</v>
      </c>
      <c r="G501" s="54">
        <f t="shared" si="0"/>
        <v>22332.733904176566</v>
      </c>
      <c r="H501" s="55">
        <f>IF(D501&gt;Variables!$C$6,H454,H454*(1+Variables!$C$9))</f>
        <v>7.1945984339594329</v>
      </c>
      <c r="I501" s="1"/>
      <c r="J501" s="13">
        <f>H501*Variables!$C$21</f>
        <v>129.50277181126978</v>
      </c>
      <c r="K501" s="13">
        <f t="shared" si="12"/>
        <v>125.36570359271036</v>
      </c>
      <c r="L501" s="54">
        <f t="shared" si="1"/>
        <v>4.1370682185594205</v>
      </c>
      <c r="M501" s="56"/>
      <c r="N501" s="57"/>
      <c r="O501" s="57"/>
      <c r="P501" s="57"/>
      <c r="Q501" s="57"/>
      <c r="R501" s="57"/>
      <c r="S501" s="58">
        <v>0</v>
      </c>
      <c r="T501" s="59">
        <f>$L501*Variables!$C$22/100</f>
        <v>0.22463718833806806</v>
      </c>
      <c r="U501" s="59">
        <f>$L501*Variables!$C$23/100</f>
        <v>0.39311507959161918</v>
      </c>
      <c r="V501" s="59">
        <f>$L501*Variables!$C$24/100</f>
        <v>0.41183484528645814</v>
      </c>
      <c r="W501" s="59">
        <f>$L501*Variables!$C$25/100</f>
        <v>2.9951625111742413</v>
      </c>
      <c r="X501" s="62">
        <f>T501*Variables!$E$26*Variables!$C$18+'Cost Calculations'!U501*Variables!$E$27*Variables!$C$18+'Cost Calculations'!V501*Variables!$E$28*Variables!$C$18+W501*Variables!$E$29*Variables!$C$18</f>
        <v>4702721.1883477848</v>
      </c>
      <c r="Y501" s="58">
        <f>J501*Variables!$E$30</f>
        <v>84824.315536381706</v>
      </c>
      <c r="Z501" s="1"/>
      <c r="AA501" s="245">
        <f>D501*(IF(D501&lt;Variables!$C$7,Variables!$C$38,IF(D501&gt;Variables!$C$6,Variables!$C$36,Variables!$C$37)))</f>
        <v>45.314282083073344</v>
      </c>
      <c r="AB501" s="64">
        <f t="shared" si="13"/>
        <v>45</v>
      </c>
      <c r="AC501" s="66">
        <f t="shared" si="2"/>
        <v>0</v>
      </c>
      <c r="AD501" s="62">
        <f>AC501*Variables!$E$41</f>
        <v>0</v>
      </c>
      <c r="AE501" s="71">
        <f>ROUND((H501/(3.14*Variables!$C$35^2)),0)</f>
        <v>9</v>
      </c>
      <c r="AF501" s="57">
        <f t="shared" si="14"/>
        <v>9</v>
      </c>
      <c r="AG501" s="57">
        <f t="shared" si="3"/>
        <v>0</v>
      </c>
      <c r="AH501" s="58">
        <f>AG501*Variables!$E$42*Variables!$C$18</f>
        <v>0</v>
      </c>
      <c r="AI501" s="73">
        <f t="shared" si="4"/>
        <v>0</v>
      </c>
      <c r="AJ501" s="66">
        <f t="shared" si="15"/>
        <v>0</v>
      </c>
      <c r="AK501" s="66">
        <f t="shared" si="5"/>
        <v>0</v>
      </c>
      <c r="AL501" s="62">
        <f>IF(AK501*Variables!$E$43*Variables!$C$18&lt;0,0,AK501*Variables!$E$43*Variables!$C$18)</f>
        <v>0</v>
      </c>
      <c r="AM501" s="58">
        <f>AA501*Variables!$E$39*Variables!$C$18</f>
        <v>13098198.120726939</v>
      </c>
      <c r="AN501" s="1"/>
      <c r="AO501" s="76">
        <f t="shared" si="16"/>
        <v>0.67714285714285716</v>
      </c>
      <c r="AP501" s="76">
        <f t="shared" si="6"/>
        <v>103.04686353258533</v>
      </c>
      <c r="AQ501" s="75">
        <f>VLOOKUP(B501,'Household Information'!$B$2:$E$48,4,FALSE)</f>
        <v>65.935833333333335</v>
      </c>
      <c r="AR501" s="79">
        <f>IF(12*(AP501-Variables!$C$45*AQ501*F501)*(G501/5)&lt;0,0,12*(AP501-Variables!$C$45*AQ501*F501)*(G501/5))</f>
        <v>4178637.9110676087</v>
      </c>
      <c r="AS501" s="1"/>
      <c r="AT501" s="62">
        <v>0</v>
      </c>
      <c r="AU501" s="1"/>
    </row>
    <row r="502" spans="1:47" ht="14.25" customHeight="1">
      <c r="A502" s="1">
        <v>29</v>
      </c>
      <c r="B502" s="3" t="s">
        <v>222</v>
      </c>
      <c r="C502" s="1">
        <v>2029</v>
      </c>
      <c r="D502" s="13">
        <f>VLOOKUP(B502,Population!$B$1:$O$48,13,FALSE)</f>
        <v>57038.643446808252</v>
      </c>
      <c r="E502" s="13" t="str">
        <f t="shared" si="23"/>
        <v>Small</v>
      </c>
      <c r="F502" s="54">
        <f>VLOOKUP(B502,'Household Information'!$B$1:$E$48,2,FALSE)</f>
        <v>2.6066968130921619</v>
      </c>
      <c r="G502" s="54">
        <f t="shared" si="0"/>
        <v>21881.579461152163</v>
      </c>
      <c r="H502" s="55">
        <f>IF(D502&gt;Variables!$C$6,H455,H455*(1+Variables!$C$9))</f>
        <v>4.5381313198821038</v>
      </c>
      <c r="I502" s="1"/>
      <c r="J502" s="13">
        <f>H502*Variables!$C$21</f>
        <v>81.686363757877871</v>
      </c>
      <c r="K502" s="13">
        <f t="shared" si="12"/>
        <v>79.076828420017293</v>
      </c>
      <c r="L502" s="54">
        <f t="shared" si="1"/>
        <v>2.6095353378605779</v>
      </c>
      <c r="M502" s="56"/>
      <c r="N502" s="57"/>
      <c r="O502" s="57"/>
      <c r="P502" s="57"/>
      <c r="Q502" s="57"/>
      <c r="R502" s="57"/>
      <c r="S502" s="58">
        <v>0</v>
      </c>
      <c r="T502" s="59">
        <f>$L502*Variables!$C$22/100</f>
        <v>0.14169422649016711</v>
      </c>
      <c r="U502" s="59">
        <f>$L502*Variables!$C$23/100</f>
        <v>0.24796489635779245</v>
      </c>
      <c r="V502" s="59">
        <f>$L502*Variables!$C$24/100</f>
        <v>0.25977274856530641</v>
      </c>
      <c r="W502" s="59">
        <f>$L502*Variables!$C$25/100</f>
        <v>1.8892563532022282</v>
      </c>
      <c r="X502" s="62">
        <f>T502*Variables!$E$26*Variables!$C$18+'Cost Calculations'!U502*Variables!$E$27*Variables!$C$18+'Cost Calculations'!V502*Variables!$E$28*Variables!$C$18+W502*Variables!$E$29*Variables!$C$18</f>
        <v>2966331.826496318</v>
      </c>
      <c r="Y502" s="58">
        <f>J502*Variables!$E$30</f>
        <v>53504.568261410008</v>
      </c>
      <c r="Z502" s="1"/>
      <c r="AA502" s="245">
        <f>D502*(IF(D502&lt;Variables!$C$7,Variables!$C$38,IF(D502&gt;Variables!$C$6,Variables!$C$36,Variables!$C$37)))</f>
        <v>45.630914757446604</v>
      </c>
      <c r="AB502" s="64">
        <f t="shared" si="13"/>
        <v>45</v>
      </c>
      <c r="AC502" s="66">
        <f t="shared" si="2"/>
        <v>1</v>
      </c>
      <c r="AD502" s="62">
        <f>AC502*Variables!$E$41</f>
        <v>537600</v>
      </c>
      <c r="AE502" s="71">
        <f>ROUND((H502/(3.14*Variables!$C$35^2)),0)</f>
        <v>6</v>
      </c>
      <c r="AF502" s="57">
        <f t="shared" si="14"/>
        <v>6</v>
      </c>
      <c r="AG502" s="57">
        <f t="shared" si="3"/>
        <v>0</v>
      </c>
      <c r="AH502" s="58">
        <f>AG502*Variables!$E$42*Variables!$C$18</f>
        <v>0</v>
      </c>
      <c r="AI502" s="73">
        <f t="shared" si="4"/>
        <v>0</v>
      </c>
      <c r="AJ502" s="66">
        <f t="shared" si="15"/>
        <v>0</v>
      </c>
      <c r="AK502" s="66">
        <f t="shared" si="5"/>
        <v>0</v>
      </c>
      <c r="AL502" s="62">
        <f>IF(AK502*Variables!$E$43*Variables!$C$18&lt;0,0,AK502*Variables!$E$43*Variables!$C$18)</f>
        <v>0</v>
      </c>
      <c r="AM502" s="58">
        <f>AA502*Variables!$E$39*Variables!$C$18</f>
        <v>13189721.528133759</v>
      </c>
      <c r="AN502" s="1"/>
      <c r="AO502" s="76">
        <f t="shared" si="16"/>
        <v>0.67714285714285716</v>
      </c>
      <c r="AP502" s="76">
        <f t="shared" si="6"/>
        <v>105.9063676633444</v>
      </c>
      <c r="AQ502" s="75">
        <f>VLOOKUP(B502,'Household Information'!$B$2:$E$48,4,FALSE)</f>
        <v>65.935833333333335</v>
      </c>
      <c r="AR502" s="79">
        <f>IF(12*(AP502-Variables!$C$45*AQ502*F502)*(G502/5)&lt;0,0,12*(AP502-Variables!$C$45*AQ502*F502)*(G502/5))</f>
        <v>4207836.0630893772</v>
      </c>
      <c r="AS502" s="1"/>
      <c r="AT502" s="62">
        <v>0</v>
      </c>
      <c r="AU502" s="1"/>
    </row>
    <row r="503" spans="1:47" ht="14.25" customHeight="1">
      <c r="A503" s="1">
        <v>30</v>
      </c>
      <c r="B503" s="3" t="s">
        <v>223</v>
      </c>
      <c r="C503" s="1">
        <v>2029</v>
      </c>
      <c r="D503" s="13">
        <f>VLOOKUP(B503,Population!$B$1:$O$48,13,FALSE)</f>
        <v>23309.253573281603</v>
      </c>
      <c r="E503" s="13" t="str">
        <f t="shared" si="23"/>
        <v>Small</v>
      </c>
      <c r="F503" s="54">
        <f>VLOOKUP(B503,'Household Information'!$B$1:$E$48,2,FALSE)</f>
        <v>2.8820273812991553</v>
      </c>
      <c r="G503" s="54">
        <f t="shared" si="0"/>
        <v>8087.7974041920097</v>
      </c>
      <c r="H503" s="55">
        <f>IF(D503&gt;Variables!$C$6,H456,H456*(1+Variables!$C$9))</f>
        <v>4.7041605145119361</v>
      </c>
      <c r="I503" s="1"/>
      <c r="J503" s="13">
        <f>H503*Variables!$C$21</f>
        <v>84.674889261214844</v>
      </c>
      <c r="K503" s="13">
        <f t="shared" si="12"/>
        <v>81.969883118310605</v>
      </c>
      <c r="L503" s="54">
        <f t="shared" si="1"/>
        <v>2.7050061429042387</v>
      </c>
      <c r="M503" s="56"/>
      <c r="N503" s="57"/>
      <c r="O503" s="57"/>
      <c r="P503" s="57"/>
      <c r="Q503" s="57"/>
      <c r="R503" s="57"/>
      <c r="S503" s="58">
        <v>0</v>
      </c>
      <c r="T503" s="59">
        <f>$L503*Variables!$C$22/100</f>
        <v>0.14687816160566</v>
      </c>
      <c r="U503" s="59">
        <f>$L503*Variables!$C$23/100</f>
        <v>0.257036782809905</v>
      </c>
      <c r="V503" s="59">
        <f>$L503*Variables!$C$24/100</f>
        <v>0.26927662961037674</v>
      </c>
      <c r="W503" s="59">
        <f>$L503*Variables!$C$25/100</f>
        <v>1.9583754880754669</v>
      </c>
      <c r="X503" s="62">
        <f>T503*Variables!$E$26*Variables!$C$18+'Cost Calculations'!U503*Variables!$E$27*Variables!$C$18+'Cost Calculations'!V503*Variables!$E$28*Variables!$C$18+W503*Variables!$E$29*Variables!$C$18</f>
        <v>3074856.1616120152</v>
      </c>
      <c r="Y503" s="58">
        <f>J503*Variables!$E$30</f>
        <v>55462.052466095724</v>
      </c>
      <c r="Z503" s="1"/>
      <c r="AA503" s="245">
        <f>D503*(IF(D503&lt;Variables!$C$7,Variables!$C$38,IF(D503&gt;Variables!$C$6,Variables!$C$36,Variables!$C$37)))</f>
        <v>11.654626786640803</v>
      </c>
      <c r="AB503" s="64">
        <f t="shared" si="13"/>
        <v>11</v>
      </c>
      <c r="AC503" s="66">
        <f t="shared" si="2"/>
        <v>1</v>
      </c>
      <c r="AD503" s="62">
        <f>AC503*Variables!$E$41</f>
        <v>537600</v>
      </c>
      <c r="AE503" s="71">
        <f>ROUND((H503/(3.14*Variables!$C$35^2)),0)</f>
        <v>6</v>
      </c>
      <c r="AF503" s="57">
        <f t="shared" si="14"/>
        <v>6</v>
      </c>
      <c r="AG503" s="57">
        <f t="shared" si="3"/>
        <v>0</v>
      </c>
      <c r="AH503" s="58">
        <f>AG503*Variables!$E$42*Variables!$C$18</f>
        <v>0</v>
      </c>
      <c r="AI503" s="73">
        <f t="shared" si="4"/>
        <v>0</v>
      </c>
      <c r="AJ503" s="66">
        <f t="shared" si="15"/>
        <v>0</v>
      </c>
      <c r="AK503" s="66">
        <f t="shared" si="5"/>
        <v>0</v>
      </c>
      <c r="AL503" s="62">
        <f>IF(AK503*Variables!$E$43*Variables!$C$18&lt;0,0,AK503*Variables!$E$43*Variables!$C$18)</f>
        <v>0</v>
      </c>
      <c r="AM503" s="58">
        <f>AA503*Variables!$E$39*Variables!$C$18</f>
        <v>3368796.8485232801</v>
      </c>
      <c r="AN503" s="1"/>
      <c r="AO503" s="76">
        <f t="shared" si="16"/>
        <v>0.67714285714285716</v>
      </c>
      <c r="AP503" s="76">
        <f t="shared" si="6"/>
        <v>117.09265532021139</v>
      </c>
      <c r="AQ503" s="75">
        <f>VLOOKUP(B503,'Household Information'!$B$2:$E$48,4,FALSE)</f>
        <v>65.935833333333335</v>
      </c>
      <c r="AR503" s="79">
        <f>IF(12*(AP503-Variables!$C$45*AQ503*F503)*(G503/5)&lt;0,0,12*(AP503-Variables!$C$45*AQ503*F503)*(G503/5))</f>
        <v>1719562.5958533848</v>
      </c>
      <c r="AS503" s="1"/>
      <c r="AT503" s="62">
        <v>0</v>
      </c>
      <c r="AU503" s="1"/>
    </row>
    <row r="504" spans="1:47" ht="14.25" customHeight="1">
      <c r="A504" s="1">
        <v>31</v>
      </c>
      <c r="B504" s="3" t="s">
        <v>224</v>
      </c>
      <c r="C504" s="1">
        <v>2029</v>
      </c>
      <c r="D504" s="13">
        <f>VLOOKUP(B504,Population!$B$1:$O$48,13,FALSE)</f>
        <v>35460.974811505424</v>
      </c>
      <c r="E504" s="13" t="str">
        <f t="shared" si="23"/>
        <v>Small</v>
      </c>
      <c r="F504" s="54">
        <f>VLOOKUP(B504,'Household Information'!$B$1:$E$48,2,FALSE)</f>
        <v>3.407</v>
      </c>
      <c r="G504" s="54">
        <f t="shared" si="0"/>
        <v>10408.269683447439</v>
      </c>
      <c r="H504" s="55">
        <f>IF(D504&gt;Variables!$C$6,H457,H457*(1+Variables!$C$9))</f>
        <v>5.0223831375524499</v>
      </c>
      <c r="I504" s="1"/>
      <c r="J504" s="13">
        <f>H504*Variables!$C$21</f>
        <v>90.402896475944104</v>
      </c>
      <c r="K504" s="13">
        <f t="shared" si="12"/>
        <v>87.514904623372814</v>
      </c>
      <c r="L504" s="54">
        <f t="shared" si="1"/>
        <v>2.8879918525712895</v>
      </c>
      <c r="M504" s="56"/>
      <c r="N504" s="57"/>
      <c r="O504" s="57"/>
      <c r="P504" s="57"/>
      <c r="Q504" s="57"/>
      <c r="R504" s="57"/>
      <c r="S504" s="58">
        <v>0</v>
      </c>
      <c r="T504" s="59">
        <f>$L504*Variables!$C$22/100</f>
        <v>0.15681403724368992</v>
      </c>
      <c r="U504" s="59">
        <f>$L504*Variables!$C$23/100</f>
        <v>0.27442456517645736</v>
      </c>
      <c r="V504" s="59">
        <f>$L504*Variables!$C$24/100</f>
        <v>0.28749240161343154</v>
      </c>
      <c r="W504" s="59">
        <f>$L504*Variables!$C$25/100</f>
        <v>2.0908538299158654</v>
      </c>
      <c r="X504" s="62">
        <f>T504*Variables!$E$26*Variables!$C$18+'Cost Calculations'!U504*Variables!$E$27*Variables!$C$18+'Cost Calculations'!V504*Variables!$E$28*Variables!$C$18+W504*Variables!$E$29*Variables!$C$18</f>
        <v>3282861.1372504737</v>
      </c>
      <c r="Y504" s="58">
        <f>J504*Variables!$E$30</f>
        <v>59213.897191743388</v>
      </c>
      <c r="Z504" s="1"/>
      <c r="AA504" s="245">
        <f>D504*(IF(D504&lt;Variables!$C$7,Variables!$C$38,IF(D504&gt;Variables!$C$6,Variables!$C$36,Variables!$C$37)))</f>
        <v>17.730487405752712</v>
      </c>
      <c r="AB504" s="64">
        <f t="shared" si="13"/>
        <v>17</v>
      </c>
      <c r="AC504" s="66">
        <f t="shared" si="2"/>
        <v>1</v>
      </c>
      <c r="AD504" s="62">
        <f>AC504*Variables!$E$41</f>
        <v>537600</v>
      </c>
      <c r="AE504" s="71">
        <f>ROUND((H504/(3.14*Variables!$C$35^2)),0)</f>
        <v>6</v>
      </c>
      <c r="AF504" s="57">
        <f t="shared" si="14"/>
        <v>6</v>
      </c>
      <c r="AG504" s="57">
        <f t="shared" si="3"/>
        <v>0</v>
      </c>
      <c r="AH504" s="58">
        <f>AG504*Variables!$E$42*Variables!$C$18</f>
        <v>0</v>
      </c>
      <c r="AI504" s="73">
        <f t="shared" si="4"/>
        <v>0</v>
      </c>
      <c r="AJ504" s="66">
        <f t="shared" si="15"/>
        <v>0</v>
      </c>
      <c r="AK504" s="66">
        <f t="shared" si="5"/>
        <v>0</v>
      </c>
      <c r="AL504" s="62">
        <f>IF(AK504*Variables!$E$43*Variables!$C$18&lt;0,0,AK504*Variables!$E$43*Variables!$C$18)</f>
        <v>0</v>
      </c>
      <c r="AM504" s="58">
        <f>AA504*Variables!$E$39*Variables!$C$18</f>
        <v>5125038.4236883363</v>
      </c>
      <c r="AN504" s="1"/>
      <c r="AO504" s="76">
        <f t="shared" si="16"/>
        <v>0.67714285714285716</v>
      </c>
      <c r="AP504" s="76">
        <f t="shared" si="6"/>
        <v>138.42154285714284</v>
      </c>
      <c r="AQ504" s="75">
        <f>VLOOKUP(B504,'Household Information'!$B$2:$E$48,4,FALSE)</f>
        <v>65.935833333333335</v>
      </c>
      <c r="AR504" s="79">
        <f>IF(12*(AP504-Variables!$C$45*AQ504*F504)*(G504/5)&lt;0,0,12*(AP504-Variables!$C$45*AQ504*F504)*(G504/5))</f>
        <v>2616015.3823312251</v>
      </c>
      <c r="AS504" s="1"/>
      <c r="AT504" s="62">
        <v>0</v>
      </c>
      <c r="AU504" s="1"/>
    </row>
    <row r="505" spans="1:47" ht="14.25" customHeight="1">
      <c r="A505" s="1">
        <v>32</v>
      </c>
      <c r="B505" s="3" t="s">
        <v>225</v>
      </c>
      <c r="C505" s="1">
        <v>2029</v>
      </c>
      <c r="D505" s="13">
        <f>VLOOKUP(B505,Population!$B$1:$O$48,13,FALSE)</f>
        <v>32639.787106431166</v>
      </c>
      <c r="E505" s="13" t="str">
        <f t="shared" si="23"/>
        <v>Small</v>
      </c>
      <c r="F505" s="54">
        <f>VLOOKUP(B505,'Household Information'!$B$1:$E$48,2,FALSE)</f>
        <v>4.9791554357592096</v>
      </c>
      <c r="G505" s="54">
        <f t="shared" si="0"/>
        <v>6555.2858366339251</v>
      </c>
      <c r="H505" s="55">
        <f>IF(D505&gt;Variables!$C$6,H458,H458*(1+Variables!$C$9))</f>
        <v>4.2890875279373528</v>
      </c>
      <c r="I505" s="1"/>
      <c r="J505" s="13">
        <f>H505*Variables!$C$21</f>
        <v>77.203575502872354</v>
      </c>
      <c r="K505" s="13">
        <f t="shared" si="12"/>
        <v>74.737246372577303</v>
      </c>
      <c r="L505" s="54">
        <f t="shared" si="1"/>
        <v>2.4663291302950512</v>
      </c>
      <c r="M505" s="56"/>
      <c r="N505" s="57"/>
      <c r="O505" s="57"/>
      <c r="P505" s="57"/>
      <c r="Q505" s="57"/>
      <c r="R505" s="57"/>
      <c r="S505" s="58">
        <v>0</v>
      </c>
      <c r="T505" s="59">
        <f>$L505*Variables!$C$22/100</f>
        <v>0.13391832381692584</v>
      </c>
      <c r="U505" s="59">
        <f>$L505*Variables!$C$23/100</f>
        <v>0.23435706667962022</v>
      </c>
      <c r="V505" s="59">
        <f>$L505*Variables!$C$24/100</f>
        <v>0.24551692699769742</v>
      </c>
      <c r="W505" s="59">
        <f>$L505*Variables!$C$25/100</f>
        <v>1.7855776508923447</v>
      </c>
      <c r="X505" s="62">
        <f>T505*Variables!$E$26*Variables!$C$18+'Cost Calculations'!U505*Variables!$E$27*Variables!$C$18+'Cost Calculations'!V505*Variables!$E$28*Variables!$C$18+W505*Variables!$E$29*Variables!$C$18</f>
        <v>2803545.3238227312</v>
      </c>
      <c r="Y505" s="58">
        <f>J505*Variables!$E$30</f>
        <v>50568.341954381394</v>
      </c>
      <c r="Z505" s="1"/>
      <c r="AA505" s="245">
        <f>D505*(IF(D505&lt;Variables!$C$7,Variables!$C$38,IF(D505&gt;Variables!$C$6,Variables!$C$36,Variables!$C$37)))</f>
        <v>16.319893553215582</v>
      </c>
      <c r="AB505" s="64">
        <f t="shared" si="13"/>
        <v>16</v>
      </c>
      <c r="AC505" s="66">
        <f t="shared" si="2"/>
        <v>0</v>
      </c>
      <c r="AD505" s="62">
        <f>AC505*Variables!$E$41</f>
        <v>0</v>
      </c>
      <c r="AE505" s="71">
        <f>ROUND((H505/(3.14*Variables!$C$35^2)),0)</f>
        <v>5</v>
      </c>
      <c r="AF505" s="57">
        <f t="shared" si="14"/>
        <v>5</v>
      </c>
      <c r="AG505" s="57">
        <f t="shared" si="3"/>
        <v>0</v>
      </c>
      <c r="AH505" s="58">
        <f>AG505*Variables!$E$42*Variables!$C$18</f>
        <v>0</v>
      </c>
      <c r="AI505" s="73">
        <f t="shared" si="4"/>
        <v>0</v>
      </c>
      <c r="AJ505" s="66">
        <f t="shared" si="15"/>
        <v>1</v>
      </c>
      <c r="AK505" s="66">
        <f t="shared" si="5"/>
        <v>0</v>
      </c>
      <c r="AL505" s="62">
        <f>IF(AK505*Variables!$E$43*Variables!$C$18&lt;0,0,AK505*Variables!$E$43*Variables!$C$18)</f>
        <v>0</v>
      </c>
      <c r="AM505" s="58">
        <f>AA505*Variables!$E$39*Variables!$C$18</f>
        <v>4717303.00564643</v>
      </c>
      <c r="AN505" s="1"/>
      <c r="AO505" s="76">
        <f t="shared" si="16"/>
        <v>0.67714285714285716</v>
      </c>
      <c r="AP505" s="76">
        <f t="shared" si="6"/>
        <v>202.29597227570272</v>
      </c>
      <c r="AQ505" s="75">
        <f>VLOOKUP(B505,'Household Information'!$B$2:$E$48,4,FALSE)</f>
        <v>65.935833333333335</v>
      </c>
      <c r="AR505" s="79">
        <f>IF(12*(AP505-Variables!$C$45*AQ505*F505)*(G505/5)&lt;0,0,12*(AP505-Variables!$C$45*AQ505*F505)*(G505/5))</f>
        <v>2407891.6499141618</v>
      </c>
      <c r="AS505" s="1"/>
      <c r="AT505" s="62">
        <v>0</v>
      </c>
      <c r="AU505" s="1"/>
    </row>
    <row r="506" spans="1:47" ht="14.25" customHeight="1">
      <c r="A506" s="1">
        <v>33</v>
      </c>
      <c r="B506" s="3" t="s">
        <v>226</v>
      </c>
      <c r="C506" s="1">
        <v>2029</v>
      </c>
      <c r="D506" s="13">
        <f>VLOOKUP(B506,Population!$B$1:$O$48,13,FALSE)</f>
        <v>139943.86760999466</v>
      </c>
      <c r="E506" s="13" t="str">
        <f t="shared" si="23"/>
        <v>Medium</v>
      </c>
      <c r="F506" s="54">
        <f>VLOOKUP(B506,'Household Information'!$B$1:$E$48,2,FALSE)</f>
        <v>2.6362587373793409</v>
      </c>
      <c r="G506" s="54">
        <f t="shared" si="0"/>
        <v>53084.26886395469</v>
      </c>
      <c r="H506" s="55">
        <f>IF(D506&gt;Variables!$C$6,H459,H459*(1+Variables!$C$9))</f>
        <v>12.015102013299996</v>
      </c>
      <c r="I506" s="1"/>
      <c r="J506" s="13">
        <f>H506*Variables!$C$21</f>
        <v>216.27183623939993</v>
      </c>
      <c r="K506" s="13">
        <f t="shared" si="12"/>
        <v>216.27183623939993</v>
      </c>
      <c r="L506" s="54">
        <f t="shared" si="1"/>
        <v>0</v>
      </c>
      <c r="M506" s="56"/>
      <c r="N506" s="57"/>
      <c r="O506" s="57"/>
      <c r="P506" s="57"/>
      <c r="Q506" s="57"/>
      <c r="R506" s="57"/>
      <c r="S506" s="58">
        <v>0</v>
      </c>
      <c r="T506" s="59">
        <f>$L506*Variables!$C$22/100</f>
        <v>0</v>
      </c>
      <c r="U506" s="59">
        <f>$L506*Variables!$C$23/100</f>
        <v>0</v>
      </c>
      <c r="V506" s="59">
        <f>$L506*Variables!$C$24/100</f>
        <v>0</v>
      </c>
      <c r="W506" s="59">
        <f>$L506*Variables!$C$25/100</f>
        <v>0</v>
      </c>
      <c r="X506" s="62">
        <f>T506*Variables!$E$26*Variables!$C$18+'Cost Calculations'!U506*Variables!$E$27*Variables!$C$18+'Cost Calculations'!V506*Variables!$E$28*Variables!$C$18+W506*Variables!$E$29*Variables!$C$18</f>
        <v>0</v>
      </c>
      <c r="Y506" s="58">
        <f>J506*Variables!$E$30</f>
        <v>141658.05273680695</v>
      </c>
      <c r="Z506" s="1"/>
      <c r="AA506" s="245">
        <f>D506*(IF(D506&lt;Variables!$C$7,Variables!$C$38,IF(D506&gt;Variables!$C$6,Variables!$C$36,Variables!$C$37)))</f>
        <v>167.93264113199359</v>
      </c>
      <c r="AB506" s="64">
        <f t="shared" si="13"/>
        <v>165</v>
      </c>
      <c r="AC506" s="66">
        <f t="shared" si="2"/>
        <v>3</v>
      </c>
      <c r="AD506" s="62">
        <f>AC506*Variables!$E$41</f>
        <v>1612800</v>
      </c>
      <c r="AE506" s="71">
        <f>ROUND((H506/(3.14*Variables!$C$35^2)),0)</f>
        <v>15</v>
      </c>
      <c r="AF506" s="57">
        <f t="shared" si="14"/>
        <v>15</v>
      </c>
      <c r="AG506" s="57">
        <f t="shared" si="3"/>
        <v>0</v>
      </c>
      <c r="AH506" s="58">
        <f>AG506*Variables!$E$42*Variables!$C$18</f>
        <v>0</v>
      </c>
      <c r="AI506" s="73">
        <f t="shared" si="4"/>
        <v>1</v>
      </c>
      <c r="AJ506" s="66">
        <f t="shared" si="15"/>
        <v>1</v>
      </c>
      <c r="AK506" s="66">
        <f t="shared" si="5"/>
        <v>0</v>
      </c>
      <c r="AL506" s="62">
        <f>IF(AK506*Variables!$E$43*Variables!$C$18&lt;0,0,AK506*Variables!$E$43*Variables!$C$18)</f>
        <v>0</v>
      </c>
      <c r="AM506" s="58">
        <f>AA506*Variables!$E$39*Variables!$C$18</f>
        <v>48541318.616750903</v>
      </c>
      <c r="AN506" s="1"/>
      <c r="AO506" s="76">
        <f t="shared" si="16"/>
        <v>0.67714285714285716</v>
      </c>
      <c r="AP506" s="76">
        <f t="shared" si="6"/>
        <v>107.10742641581207</v>
      </c>
      <c r="AQ506" s="75">
        <f>VLOOKUP(B506,'Household Information'!$B$2:$E$48,4,FALSE)</f>
        <v>40.760000000000005</v>
      </c>
      <c r="AR506" s="79">
        <f>IF(12*(AP506-Variables!$C$45*AQ506*F506)*(G506/5)&lt;0,0,12*(AP506-Variables!$C$45*AQ506*F506)*(G506/5))</f>
        <v>11592246.275077689</v>
      </c>
      <c r="AS506" s="1"/>
      <c r="AT506" s="62">
        <v>0</v>
      </c>
      <c r="AU506" s="1"/>
    </row>
    <row r="507" spans="1:47" ht="14.25" customHeight="1">
      <c r="A507" s="1">
        <v>34</v>
      </c>
      <c r="B507" s="3" t="s">
        <v>227</v>
      </c>
      <c r="C507" s="1">
        <v>2029</v>
      </c>
      <c r="D507" s="13">
        <f>VLOOKUP(B507,Population!$B$1:$O$48,13,FALSE)</f>
        <v>124293.63802769127</v>
      </c>
      <c r="E507" s="13" t="str">
        <f t="shared" si="23"/>
        <v>Medium</v>
      </c>
      <c r="F507" s="54">
        <f>VLOOKUP(B507,'Household Information'!$B$1:$E$48,2,FALSE)</f>
        <v>2.8808529227072923</v>
      </c>
      <c r="G507" s="54">
        <f t="shared" si="0"/>
        <v>43144.735730169057</v>
      </c>
      <c r="H507" s="55">
        <f>IF(D507&gt;Variables!$C$6,H460,H460*(1+Variables!$C$9))</f>
        <v>8.2342029393899967</v>
      </c>
      <c r="I507" s="1"/>
      <c r="J507" s="13">
        <f>H507*Variables!$C$21</f>
        <v>148.21565290901995</v>
      </c>
      <c r="K507" s="13">
        <f t="shared" si="12"/>
        <v>148.21565290901995</v>
      </c>
      <c r="L507" s="54">
        <f t="shared" si="1"/>
        <v>0</v>
      </c>
      <c r="M507" s="56"/>
      <c r="N507" s="57"/>
      <c r="O507" s="57"/>
      <c r="P507" s="57"/>
      <c r="Q507" s="57"/>
      <c r="R507" s="57"/>
      <c r="S507" s="58">
        <v>0</v>
      </c>
      <c r="T507" s="59">
        <f>$L507*Variables!$C$22/100</f>
        <v>0</v>
      </c>
      <c r="U507" s="59">
        <f>$L507*Variables!$C$23/100</f>
        <v>0</v>
      </c>
      <c r="V507" s="59">
        <f>$L507*Variables!$C$24/100</f>
        <v>0</v>
      </c>
      <c r="W507" s="59">
        <f>$L507*Variables!$C$25/100</f>
        <v>0</v>
      </c>
      <c r="X507" s="62">
        <f>T507*Variables!$E$26*Variables!$C$18+'Cost Calculations'!U507*Variables!$E$27*Variables!$C$18+'Cost Calculations'!V507*Variables!$E$28*Variables!$C$18+W507*Variables!$E$29*Variables!$C$18</f>
        <v>0</v>
      </c>
      <c r="Y507" s="58">
        <f>J507*Variables!$E$30</f>
        <v>97081.252655408069</v>
      </c>
      <c r="Z507" s="1"/>
      <c r="AA507" s="245">
        <f>D507*(IF(D507&lt;Variables!$C$7,Variables!$C$38,IF(D507&gt;Variables!$C$6,Variables!$C$36,Variables!$C$37)))</f>
        <v>149.15236563322952</v>
      </c>
      <c r="AB507" s="64">
        <f t="shared" si="13"/>
        <v>147</v>
      </c>
      <c r="AC507" s="66">
        <f t="shared" si="2"/>
        <v>2</v>
      </c>
      <c r="AD507" s="62">
        <f>AC507*Variables!$E$41</f>
        <v>1075200</v>
      </c>
      <c r="AE507" s="71">
        <f>ROUND((H507/(3.14*Variables!$C$35^2)),0)</f>
        <v>10</v>
      </c>
      <c r="AF507" s="57">
        <f t="shared" si="14"/>
        <v>10</v>
      </c>
      <c r="AG507" s="57">
        <f t="shared" si="3"/>
        <v>0</v>
      </c>
      <c r="AH507" s="58">
        <f>AG507*Variables!$E$42*Variables!$C$18</f>
        <v>0</v>
      </c>
      <c r="AI507" s="73">
        <f t="shared" si="4"/>
        <v>1</v>
      </c>
      <c r="AJ507" s="66">
        <f t="shared" si="15"/>
        <v>1</v>
      </c>
      <c r="AK507" s="66">
        <f t="shared" si="5"/>
        <v>0</v>
      </c>
      <c r="AL507" s="62">
        <f>IF(AK507*Variables!$E$43*Variables!$C$18&lt;0,0,AK507*Variables!$E$43*Variables!$C$18)</f>
        <v>0</v>
      </c>
      <c r="AM507" s="58">
        <f>AA507*Variables!$E$39*Variables!$C$18</f>
        <v>43112836.514934011</v>
      </c>
      <c r="AN507" s="1"/>
      <c r="AO507" s="76">
        <f t="shared" si="16"/>
        <v>0.67714285714285716</v>
      </c>
      <c r="AP507" s="76">
        <f t="shared" si="6"/>
        <v>117.04493874542199</v>
      </c>
      <c r="AQ507" s="75">
        <f>VLOOKUP(B507,'Household Information'!$B$2:$E$48,4,FALSE)</f>
        <v>40.760000000000005</v>
      </c>
      <c r="AR507" s="79">
        <f>IF(12*(AP507-Variables!$C$45*AQ507*F507)*(G507/5)&lt;0,0,12*(AP507-Variables!$C$45*AQ507*F507)*(G507/5))</f>
        <v>10295859.954777004</v>
      </c>
      <c r="AS507" s="1"/>
      <c r="AT507" s="62">
        <v>0</v>
      </c>
      <c r="AU507" s="1"/>
    </row>
    <row r="508" spans="1:47" ht="14.25" customHeight="1">
      <c r="A508" s="1">
        <v>35</v>
      </c>
      <c r="B508" s="3" t="s">
        <v>228</v>
      </c>
      <c r="C508" s="1">
        <v>2029</v>
      </c>
      <c r="D508" s="13">
        <f>VLOOKUP(B508,Population!$B$1:$O$48,13,FALSE)</f>
        <v>567654.77088225074</v>
      </c>
      <c r="E508" s="13" t="str">
        <f t="shared" si="23"/>
        <v>Medium</v>
      </c>
      <c r="F508" s="54">
        <f>VLOOKUP(B508,'Household Information'!$B$1:$E$48,2,FALSE)</f>
        <v>2.7382605632202197</v>
      </c>
      <c r="G508" s="54">
        <f t="shared" si="0"/>
        <v>207304.87759524371</v>
      </c>
      <c r="H508" s="55">
        <f>IF(D508&gt;Variables!$C$6,H461,H461*(1+Variables!$C$9))</f>
        <v>24.726831923274581</v>
      </c>
      <c r="I508" s="1"/>
      <c r="J508" s="13">
        <f>H508*Variables!$C$21</f>
        <v>445.08297461894244</v>
      </c>
      <c r="K508" s="13">
        <f t="shared" si="12"/>
        <v>445.08297461894244</v>
      </c>
      <c r="L508" s="54">
        <f t="shared" si="1"/>
        <v>0</v>
      </c>
      <c r="M508" s="56"/>
      <c r="N508" s="57"/>
      <c r="O508" s="57"/>
      <c r="P508" s="57"/>
      <c r="Q508" s="57"/>
      <c r="R508" s="57"/>
      <c r="S508" s="58">
        <v>0</v>
      </c>
      <c r="T508" s="59">
        <f>$L508*Variables!$C$22/100</f>
        <v>0</v>
      </c>
      <c r="U508" s="59">
        <f>$L508*Variables!$C$23/100</f>
        <v>0</v>
      </c>
      <c r="V508" s="59">
        <f>$L508*Variables!$C$24/100</f>
        <v>0</v>
      </c>
      <c r="W508" s="59">
        <f>$L508*Variables!$C$25/100</f>
        <v>0</v>
      </c>
      <c r="X508" s="62">
        <f>T508*Variables!$E$26*Variables!$C$18+'Cost Calculations'!U508*Variables!$E$27*Variables!$C$18+'Cost Calculations'!V508*Variables!$E$28*Variables!$C$18+W508*Variables!$E$29*Variables!$C$18</f>
        <v>0</v>
      </c>
      <c r="Y508" s="58">
        <f>J508*Variables!$E$30</f>
        <v>291529.34837540728</v>
      </c>
      <c r="Z508" s="1"/>
      <c r="AA508" s="245">
        <f>D508*(IF(D508&lt;Variables!$C$7,Variables!$C$38,IF(D508&gt;Variables!$C$6,Variables!$C$36,Variables!$C$37)))</f>
        <v>681.18572505870088</v>
      </c>
      <c r="AB508" s="64">
        <f t="shared" si="13"/>
        <v>671</v>
      </c>
      <c r="AC508" s="66">
        <f t="shared" si="2"/>
        <v>10</v>
      </c>
      <c r="AD508" s="62">
        <f>AC508*Variables!$E$41</f>
        <v>5376000</v>
      </c>
      <c r="AE508" s="71">
        <f>ROUND((H508/(3.14*Variables!$C$35^2)),0)</f>
        <v>31</v>
      </c>
      <c r="AF508" s="57">
        <f t="shared" si="14"/>
        <v>31</v>
      </c>
      <c r="AG508" s="57">
        <f t="shared" si="3"/>
        <v>0</v>
      </c>
      <c r="AH508" s="58">
        <f>AG508*Variables!$E$42*Variables!$C$18</f>
        <v>0</v>
      </c>
      <c r="AI508" s="73">
        <f t="shared" si="4"/>
        <v>6</v>
      </c>
      <c r="AJ508" s="66">
        <f t="shared" si="15"/>
        <v>6</v>
      </c>
      <c r="AK508" s="66">
        <f t="shared" si="5"/>
        <v>0</v>
      </c>
      <c r="AL508" s="62">
        <f>IF(AK508*Variables!$E$43*Variables!$C$18&lt;0,0,AK508*Variables!$E$43*Variables!$C$18)</f>
        <v>0</v>
      </c>
      <c r="AM508" s="58">
        <f>AA508*Variables!$E$39*Variables!$C$18</f>
        <v>196898310.5033617</v>
      </c>
      <c r="AN508" s="1"/>
      <c r="AO508" s="76">
        <f t="shared" si="16"/>
        <v>0.67714285714285716</v>
      </c>
      <c r="AP508" s="76">
        <f t="shared" si="6"/>
        <v>111.25161488283292</v>
      </c>
      <c r="AQ508" s="75">
        <f>VLOOKUP(B508,'Household Information'!$B$2:$E$48,4,FALSE)</f>
        <v>40.760000000000005</v>
      </c>
      <c r="AR508" s="79">
        <f>IF(12*(AP508-Variables!$C$45*AQ508*F508)*(G508/5)&lt;0,0,12*(AP508-Variables!$C$45*AQ508*F508)*(G508/5))</f>
        <v>47021666.727323495</v>
      </c>
      <c r="AS508" s="1"/>
      <c r="AT508" s="62">
        <v>0</v>
      </c>
      <c r="AU508" s="1"/>
    </row>
    <row r="509" spans="1:47" ht="14.25" customHeight="1">
      <c r="A509" s="1">
        <v>36</v>
      </c>
      <c r="B509" s="3" t="s">
        <v>229</v>
      </c>
      <c r="C509" s="1">
        <v>2029</v>
      </c>
      <c r="D509" s="13">
        <f>VLOOKUP(B509,Population!$B$1:$O$48,13,FALSE)</f>
        <v>304435.01312647882</v>
      </c>
      <c r="E509" s="13" t="str">
        <f t="shared" si="23"/>
        <v>Medium</v>
      </c>
      <c r="F509" s="54">
        <f>VLOOKUP(B509,'Household Information'!$B$1:$E$48,2,FALSE)</f>
        <v>2.7303604631507774</v>
      </c>
      <c r="G509" s="54">
        <f t="shared" si="0"/>
        <v>111499.93461858416</v>
      </c>
      <c r="H509" s="55">
        <f>IF(D509&gt;Variables!$C$6,H462,H462*(1+Variables!$C$9))</f>
        <v>25.407115316792478</v>
      </c>
      <c r="I509" s="1"/>
      <c r="J509" s="13">
        <f>H509*Variables!$C$21</f>
        <v>457.32807570226458</v>
      </c>
      <c r="K509" s="13">
        <f t="shared" si="12"/>
        <v>457.32807570226458</v>
      </c>
      <c r="L509" s="54">
        <f t="shared" si="1"/>
        <v>0</v>
      </c>
      <c r="M509" s="56"/>
      <c r="N509" s="57"/>
      <c r="O509" s="57"/>
      <c r="P509" s="57"/>
      <c r="Q509" s="57"/>
      <c r="R509" s="57"/>
      <c r="S509" s="58">
        <v>0</v>
      </c>
      <c r="T509" s="59">
        <f>$L509*Variables!$C$22/100</f>
        <v>0</v>
      </c>
      <c r="U509" s="59">
        <f>$L509*Variables!$C$23/100</f>
        <v>0</v>
      </c>
      <c r="V509" s="59">
        <f>$L509*Variables!$C$24/100</f>
        <v>0</v>
      </c>
      <c r="W509" s="59">
        <f>$L509*Variables!$C$25/100</f>
        <v>0</v>
      </c>
      <c r="X509" s="62">
        <f>T509*Variables!$E$26*Variables!$C$18+'Cost Calculations'!U509*Variables!$E$27*Variables!$C$18+'Cost Calculations'!V509*Variables!$E$28*Variables!$C$18+W509*Variables!$E$29*Variables!$C$18</f>
        <v>0</v>
      </c>
      <c r="Y509" s="58">
        <f>J509*Variables!$E$30</f>
        <v>299549.88958498329</v>
      </c>
      <c r="Z509" s="1"/>
      <c r="AA509" s="245">
        <f>D509*(IF(D509&lt;Variables!$C$7,Variables!$C$38,IF(D509&gt;Variables!$C$6,Variables!$C$36,Variables!$C$37)))</f>
        <v>365.32201575177453</v>
      </c>
      <c r="AB509" s="64">
        <f t="shared" si="13"/>
        <v>360</v>
      </c>
      <c r="AC509" s="66">
        <f t="shared" si="2"/>
        <v>5</v>
      </c>
      <c r="AD509" s="62">
        <f>AC509*Variables!$E$41</f>
        <v>2688000</v>
      </c>
      <c r="AE509" s="71">
        <f>ROUND((H509/(3.14*Variables!$C$35^2)),0)</f>
        <v>32</v>
      </c>
      <c r="AF509" s="57">
        <f t="shared" si="14"/>
        <v>32</v>
      </c>
      <c r="AG509" s="57">
        <f t="shared" si="3"/>
        <v>0</v>
      </c>
      <c r="AH509" s="58">
        <f>AG509*Variables!$E$42*Variables!$C$18</f>
        <v>0</v>
      </c>
      <c r="AI509" s="73">
        <f t="shared" si="4"/>
        <v>3</v>
      </c>
      <c r="AJ509" s="66">
        <f t="shared" si="15"/>
        <v>3</v>
      </c>
      <c r="AK509" s="66">
        <f t="shared" si="5"/>
        <v>0</v>
      </c>
      <c r="AL509" s="62">
        <f>IF(AK509*Variables!$E$43*Variables!$C$18&lt;0,0,AK509*Variables!$E$43*Variables!$C$18)</f>
        <v>0</v>
      </c>
      <c r="AM509" s="58">
        <f>AA509*Variables!$E$39*Variables!$C$18</f>
        <v>105597174.22881731</v>
      </c>
      <c r="AN509" s="1"/>
      <c r="AO509" s="76">
        <f t="shared" si="16"/>
        <v>0.67714285714285716</v>
      </c>
      <c r="AP509" s="76">
        <f t="shared" si="6"/>
        <v>110.93064510286872</v>
      </c>
      <c r="AQ509" s="75">
        <f>VLOOKUP(B509,'Household Information'!$B$2:$E$48,4,FALSE)</f>
        <v>27.28</v>
      </c>
      <c r="AR509" s="79">
        <f>IF(12*(AP509-Variables!$C$45*AQ509*F509)*(G509/5)&lt;0,0,12*(AP509-Variables!$C$45*AQ509*F509)*(G509/5))</f>
        <v>26695227.84588882</v>
      </c>
      <c r="AS509" s="1"/>
      <c r="AT509" s="62">
        <v>0</v>
      </c>
      <c r="AU509" s="1"/>
    </row>
    <row r="510" spans="1:47" ht="14.25" customHeight="1">
      <c r="A510" s="1">
        <v>37</v>
      </c>
      <c r="B510" s="3" t="s">
        <v>230</v>
      </c>
      <c r="C510" s="1">
        <v>2029</v>
      </c>
      <c r="D510" s="13">
        <f>VLOOKUP(B510,Population!$B$1:$O$48,13,FALSE)</f>
        <v>141898.08489714211</v>
      </c>
      <c r="E510" s="13" t="str">
        <f t="shared" si="23"/>
        <v>Medium</v>
      </c>
      <c r="F510" s="54">
        <f>VLOOKUP(B510,'Household Information'!$B$1:$E$48,2,FALSE)</f>
        <v>2.4882673717260184</v>
      </c>
      <c r="G510" s="54">
        <f t="shared" si="0"/>
        <v>57026.863957434238</v>
      </c>
      <c r="H510" s="55">
        <f>IF(D510&gt;Variables!$C$6,H463,H463*(1+Variables!$C$9))</f>
        <v>33.664331695979989</v>
      </c>
      <c r="I510" s="1"/>
      <c r="J510" s="13">
        <f>H510*Variables!$C$21</f>
        <v>605.95797052763976</v>
      </c>
      <c r="K510" s="13">
        <f t="shared" si="12"/>
        <v>605.95797052763976</v>
      </c>
      <c r="L510" s="54">
        <f t="shared" si="1"/>
        <v>0</v>
      </c>
      <c r="M510" s="56"/>
      <c r="N510" s="57"/>
      <c r="O510" s="57"/>
      <c r="P510" s="57"/>
      <c r="Q510" s="57"/>
      <c r="R510" s="57"/>
      <c r="S510" s="58">
        <v>0</v>
      </c>
      <c r="T510" s="59">
        <f>$L510*Variables!$C$22/100</f>
        <v>0</v>
      </c>
      <c r="U510" s="59">
        <f>$L510*Variables!$C$23/100</f>
        <v>0</v>
      </c>
      <c r="V510" s="59">
        <f>$L510*Variables!$C$24/100</f>
        <v>0</v>
      </c>
      <c r="W510" s="59">
        <f>$L510*Variables!$C$25/100</f>
        <v>0</v>
      </c>
      <c r="X510" s="62">
        <f>T510*Variables!$E$26*Variables!$C$18+'Cost Calculations'!U510*Variables!$E$27*Variables!$C$18+'Cost Calculations'!V510*Variables!$E$28*Variables!$C$18+W510*Variables!$E$29*Variables!$C$18</f>
        <v>0</v>
      </c>
      <c r="Y510" s="58">
        <f>J510*Variables!$E$30</f>
        <v>396902.47069560405</v>
      </c>
      <c r="Z510" s="1"/>
      <c r="AA510" s="245">
        <f>D510*(IF(D510&lt;Variables!$C$7,Variables!$C$38,IF(D510&gt;Variables!$C$6,Variables!$C$36,Variables!$C$37)))</f>
        <v>170.27770187657052</v>
      </c>
      <c r="AB510" s="64">
        <f t="shared" si="13"/>
        <v>168</v>
      </c>
      <c r="AC510" s="66">
        <f t="shared" si="2"/>
        <v>2</v>
      </c>
      <c r="AD510" s="62">
        <f>AC510*Variables!$E$41</f>
        <v>1075200</v>
      </c>
      <c r="AE510" s="71">
        <f>ROUND((H510/(3.14*Variables!$C$35^2)),0)</f>
        <v>43</v>
      </c>
      <c r="AF510" s="57">
        <f t="shared" si="14"/>
        <v>43</v>
      </c>
      <c r="AG510" s="57">
        <f t="shared" si="3"/>
        <v>0</v>
      </c>
      <c r="AH510" s="58">
        <f>AG510*Variables!$E$42*Variables!$C$18</f>
        <v>0</v>
      </c>
      <c r="AI510" s="73">
        <f t="shared" si="4"/>
        <v>1</v>
      </c>
      <c r="AJ510" s="66">
        <f t="shared" si="15"/>
        <v>1</v>
      </c>
      <c r="AK510" s="66">
        <f t="shared" si="5"/>
        <v>0</v>
      </c>
      <c r="AL510" s="62">
        <f>IF(AK510*Variables!$E$43*Variables!$C$18&lt;0,0,AK510*Variables!$E$43*Variables!$C$18)</f>
        <v>0</v>
      </c>
      <c r="AM510" s="58">
        <f>AA510*Variables!$E$39*Variables!$C$18</f>
        <v>49219163.852857642</v>
      </c>
      <c r="AN510" s="1"/>
      <c r="AO510" s="76">
        <f t="shared" si="16"/>
        <v>0.67714285714285716</v>
      </c>
      <c r="AP510" s="76">
        <f t="shared" si="6"/>
        <v>101.09474864555423</v>
      </c>
      <c r="AQ510" s="75">
        <f>VLOOKUP(B510,'Household Information'!$B$2:$E$48,4,FALSE)</f>
        <v>40.760000000000005</v>
      </c>
      <c r="AR510" s="79">
        <f>IF(12*(AP510-Variables!$C$45*AQ510*F510)*(G510/5)&lt;0,0,12*(AP510-Variables!$C$45*AQ510*F510)*(G510/5))</f>
        <v>11754123.808223767</v>
      </c>
      <c r="AS510" s="1"/>
      <c r="AT510" s="62">
        <v>0</v>
      </c>
      <c r="AU510" s="1"/>
    </row>
    <row r="511" spans="1:47" ht="14.25" customHeight="1">
      <c r="A511" s="1">
        <v>38</v>
      </c>
      <c r="B511" s="3" t="s">
        <v>231</v>
      </c>
      <c r="C511" s="1">
        <v>2029</v>
      </c>
      <c r="D511" s="13">
        <f>VLOOKUP(B511,Population!$B$1:$O$48,13,FALSE)</f>
        <v>41883.152418213089</v>
      </c>
      <c r="E511" s="13" t="str">
        <f t="shared" si="23"/>
        <v>Small</v>
      </c>
      <c r="F511" s="54">
        <f>VLOOKUP(B511,'Household Information'!$B$1:$E$48,2,FALSE)</f>
        <v>3.5815854318168161</v>
      </c>
      <c r="G511" s="54">
        <f t="shared" si="0"/>
        <v>11694.025792640996</v>
      </c>
      <c r="H511" s="55">
        <f>IF(D511&gt;Variables!$C$6,H464,H464*(1+Variables!$C$9))</f>
        <v>4.9808758388949927</v>
      </c>
      <c r="I511" s="1"/>
      <c r="J511" s="13">
        <f>H511*Variables!$C$21</f>
        <v>89.655765100109875</v>
      </c>
      <c r="K511" s="13">
        <f t="shared" si="12"/>
        <v>86.791640948799497</v>
      </c>
      <c r="L511" s="54">
        <f t="shared" si="1"/>
        <v>2.8641241513103779</v>
      </c>
      <c r="M511" s="56"/>
      <c r="N511" s="57"/>
      <c r="O511" s="57"/>
      <c r="P511" s="57"/>
      <c r="Q511" s="57"/>
      <c r="R511" s="57"/>
      <c r="S511" s="58">
        <v>0</v>
      </c>
      <c r="T511" s="59">
        <f>$L511*Variables!$C$22/100</f>
        <v>0.15551805346481687</v>
      </c>
      <c r="U511" s="59">
        <f>$L511*Variables!$C$23/100</f>
        <v>0.27215659356342958</v>
      </c>
      <c r="V511" s="59">
        <f>$L511*Variables!$C$24/100</f>
        <v>0.2851164313521643</v>
      </c>
      <c r="W511" s="59">
        <f>$L511*Variables!$C$25/100</f>
        <v>2.0735740461975585</v>
      </c>
      <c r="X511" s="62">
        <f>T511*Variables!$E$26*Variables!$C$18+'Cost Calculations'!U511*Variables!$E$27*Variables!$C$18+'Cost Calculations'!V511*Variables!$E$28*Variables!$C$18+W511*Variables!$E$29*Variables!$C$18</f>
        <v>3255730.0534715541</v>
      </c>
      <c r="Y511" s="58">
        <f>J511*Variables!$E$30</f>
        <v>58724.526140571965</v>
      </c>
      <c r="Z511" s="1"/>
      <c r="AA511" s="245">
        <f>D511*(IF(D511&lt;Variables!$C$7,Variables!$C$38,IF(D511&gt;Variables!$C$6,Variables!$C$36,Variables!$C$37)))</f>
        <v>20.941576209106543</v>
      </c>
      <c r="AB511" s="64">
        <f t="shared" si="13"/>
        <v>21</v>
      </c>
      <c r="AC511" s="66">
        <f t="shared" si="2"/>
        <v>0</v>
      </c>
      <c r="AD511" s="62">
        <f>AC511*Variables!$E$41</f>
        <v>0</v>
      </c>
      <c r="AE511" s="71">
        <f>ROUND((H511/(3.14*Variables!$C$35^2)),0)</f>
        <v>6</v>
      </c>
      <c r="AF511" s="57">
        <f t="shared" si="14"/>
        <v>6</v>
      </c>
      <c r="AG511" s="57">
        <f t="shared" si="3"/>
        <v>0</v>
      </c>
      <c r="AH511" s="58">
        <f>AG511*Variables!$E$42*Variables!$C$18</f>
        <v>0</v>
      </c>
      <c r="AI511" s="73">
        <f t="shared" si="4"/>
        <v>0</v>
      </c>
      <c r="AJ511" s="66">
        <f t="shared" si="15"/>
        <v>0</v>
      </c>
      <c r="AK511" s="66">
        <f t="shared" si="5"/>
        <v>0</v>
      </c>
      <c r="AL511" s="62">
        <f>IF(AK511*Variables!$E$43*Variables!$C$18&lt;0,0,AK511*Variables!$E$43*Variables!$C$18)</f>
        <v>0</v>
      </c>
      <c r="AM511" s="58">
        <f>AA511*Variables!$E$39*Variables!$C$18</f>
        <v>6053211.0746964682</v>
      </c>
      <c r="AN511" s="1"/>
      <c r="AO511" s="76">
        <f t="shared" si="16"/>
        <v>0.67714285714285716</v>
      </c>
      <c r="AP511" s="76">
        <f t="shared" si="6"/>
        <v>145.51469954410035</v>
      </c>
      <c r="AQ511" s="75">
        <f>VLOOKUP(B511,'Household Information'!$B$2:$E$48,4,FALSE)</f>
        <v>40.760000000000005</v>
      </c>
      <c r="AR511" s="79">
        <f>IF(12*(AP511-Variables!$C$45*AQ511*F511)*(G511/5)&lt;0,0,12*(AP511-Variables!$C$45*AQ511*F511)*(G511/5))</f>
        <v>3469389.7339011831</v>
      </c>
      <c r="AS511" s="1"/>
      <c r="AT511" s="62">
        <v>0</v>
      </c>
      <c r="AU511" s="1"/>
    </row>
    <row r="512" spans="1:47" ht="14.25" customHeight="1">
      <c r="A512" s="1">
        <v>39</v>
      </c>
      <c r="B512" s="3" t="s">
        <v>232</v>
      </c>
      <c r="C512" s="1">
        <v>2029</v>
      </c>
      <c r="D512" s="13">
        <f>VLOOKUP(B512,Population!$B$1:$O$48,13,FALSE)</f>
        <v>79061.576780448479</v>
      </c>
      <c r="E512" s="13" t="str">
        <f t="shared" si="23"/>
        <v>Small</v>
      </c>
      <c r="F512" s="54">
        <f>VLOOKUP(B512,'Household Information'!$B$1:$E$48,2,FALSE)</f>
        <v>3.4614749871067563</v>
      </c>
      <c r="G512" s="54">
        <f t="shared" si="0"/>
        <v>22840.42989619619</v>
      </c>
      <c r="H512" s="55">
        <f>IF(D512&gt;Variables!$C$6,H465,H465*(1+Variables!$C$9))</f>
        <v>8.1215947706426679</v>
      </c>
      <c r="I512" s="1"/>
      <c r="J512" s="13">
        <f>H512*Variables!$C$21</f>
        <v>146.18870587156803</v>
      </c>
      <c r="K512" s="13">
        <f t="shared" si="12"/>
        <v>141.51859232484804</v>
      </c>
      <c r="L512" s="54">
        <f t="shared" si="1"/>
        <v>4.670113546719989</v>
      </c>
      <c r="M512" s="56"/>
      <c r="N512" s="57"/>
      <c r="O512" s="57"/>
      <c r="P512" s="57"/>
      <c r="Q512" s="57"/>
      <c r="R512" s="57"/>
      <c r="S512" s="58">
        <v>0</v>
      </c>
      <c r="T512" s="59">
        <f>$L512*Variables!$C$22/100</f>
        <v>0.25358082606624371</v>
      </c>
      <c r="U512" s="59">
        <f>$L512*Variables!$C$23/100</f>
        <v>0.44376644561592654</v>
      </c>
      <c r="V512" s="59">
        <f>$L512*Variables!$C$24/100</f>
        <v>0.46489818112144687</v>
      </c>
      <c r="W512" s="59">
        <f>$L512*Variables!$C$25/100</f>
        <v>3.3810776808832497</v>
      </c>
      <c r="X512" s="62">
        <f>T512*Variables!$E$26*Variables!$C$18+'Cost Calculations'!U512*Variables!$E$27*Variables!$C$18+'Cost Calculations'!V512*Variables!$E$28*Variables!$C$18+W512*Variables!$E$29*Variables!$C$18</f>
        <v>5308648.7260772418</v>
      </c>
      <c r="Y512" s="58">
        <f>J512*Variables!$E$30</f>
        <v>95753.602345877065</v>
      </c>
      <c r="Z512" s="1"/>
      <c r="AA512" s="245">
        <f>D512*(IF(D512&lt;Variables!$C$7,Variables!$C$38,IF(D512&gt;Variables!$C$6,Variables!$C$36,Variables!$C$37)))</f>
        <v>63.249261424358785</v>
      </c>
      <c r="AB512" s="64">
        <f t="shared" si="13"/>
        <v>62</v>
      </c>
      <c r="AC512" s="66">
        <f t="shared" si="2"/>
        <v>1</v>
      </c>
      <c r="AD512" s="62">
        <f>AC512*Variables!$E$41</f>
        <v>537600</v>
      </c>
      <c r="AE512" s="71">
        <f>ROUND((H512/(3.14*Variables!$C$35^2)),0)</f>
        <v>10</v>
      </c>
      <c r="AF512" s="57">
        <f t="shared" si="14"/>
        <v>10</v>
      </c>
      <c r="AG512" s="57">
        <f t="shared" si="3"/>
        <v>0</v>
      </c>
      <c r="AH512" s="58">
        <f>AG512*Variables!$E$42*Variables!$C$18</f>
        <v>0</v>
      </c>
      <c r="AI512" s="73">
        <f t="shared" si="4"/>
        <v>1</v>
      </c>
      <c r="AJ512" s="66">
        <f t="shared" si="15"/>
        <v>3</v>
      </c>
      <c r="AK512" s="66">
        <f t="shared" si="5"/>
        <v>0</v>
      </c>
      <c r="AL512" s="62">
        <f>IF(AK512*Variables!$E$43*Variables!$C$18&lt;0,0,AK512*Variables!$E$43*Variables!$C$18)</f>
        <v>0</v>
      </c>
      <c r="AM512" s="58">
        <f>AA512*Variables!$E$39*Variables!$C$18</f>
        <v>18282345.411698844</v>
      </c>
      <c r="AN512" s="1"/>
      <c r="AO512" s="76">
        <f t="shared" si="16"/>
        <v>0.67714285714285716</v>
      </c>
      <c r="AP512" s="76">
        <f t="shared" si="6"/>
        <v>140.63478376188021</v>
      </c>
      <c r="AQ512" s="75">
        <f>VLOOKUP(B512,'Household Information'!$B$2:$E$48,4,FALSE)</f>
        <v>40.760000000000005</v>
      </c>
      <c r="AR512" s="79">
        <f>IF(12*(AP512-Variables!$C$45*AQ512*F512)*(G512/5)&lt;0,0,12*(AP512-Variables!$C$45*AQ512*F512)*(G512/5))</f>
        <v>6549063.453706257</v>
      </c>
      <c r="AS512" s="1"/>
      <c r="AT512" s="62">
        <v>0</v>
      </c>
      <c r="AU512" s="1"/>
    </row>
    <row r="513" spans="1:47" ht="14.25" customHeight="1">
      <c r="A513" s="1">
        <v>40</v>
      </c>
      <c r="B513" s="3" t="s">
        <v>233</v>
      </c>
      <c r="C513" s="1">
        <v>2029</v>
      </c>
      <c r="D513" s="13">
        <f>VLOOKUP(B513,Population!$B$1:$O$48,13,FALSE)</f>
        <v>3576.252973947996</v>
      </c>
      <c r="E513" s="13" t="str">
        <f t="shared" si="23"/>
        <v>Small</v>
      </c>
      <c r="F513" s="54">
        <f>VLOOKUP(B513,'Household Information'!$B$1:$E$48,2,FALSE)</f>
        <v>3.9153259949195598</v>
      </c>
      <c r="G513" s="54">
        <f t="shared" si="0"/>
        <v>913.39852124407071</v>
      </c>
      <c r="H513" s="55">
        <f>IF(D513&gt;Variables!$C$6,H466,H466*(1+Variables!$C$9))</f>
        <v>0.27671532438305518</v>
      </c>
      <c r="I513" s="1"/>
      <c r="J513" s="13">
        <f>H513*Variables!$C$21</f>
        <v>4.9808758388949936</v>
      </c>
      <c r="K513" s="13">
        <f t="shared" si="12"/>
        <v>21.97</v>
      </c>
      <c r="L513" s="54">
        <f t="shared" si="1"/>
        <v>0</v>
      </c>
      <c r="M513" s="56"/>
      <c r="N513" s="57"/>
      <c r="O513" s="57"/>
      <c r="P513" s="57"/>
      <c r="Q513" s="57"/>
      <c r="R513" s="57"/>
      <c r="S513" s="58">
        <v>0</v>
      </c>
      <c r="T513" s="59">
        <f>$L513*Variables!$C$22/100</f>
        <v>0</v>
      </c>
      <c r="U513" s="59">
        <f>$L513*Variables!$C$23/100</f>
        <v>0</v>
      </c>
      <c r="V513" s="59">
        <f>$L513*Variables!$C$24/100</f>
        <v>0</v>
      </c>
      <c r="W513" s="59">
        <f>$L513*Variables!$C$25/100</f>
        <v>0</v>
      </c>
      <c r="X513" s="62">
        <f>T513*Variables!$E$26*Variables!$C$18+'Cost Calculations'!U513*Variables!$E$27*Variables!$C$18+'Cost Calculations'!V513*Variables!$E$28*Variables!$C$18+W513*Variables!$E$29*Variables!$C$18</f>
        <v>0</v>
      </c>
      <c r="Y513" s="58">
        <f>J513*Variables!$E$30</f>
        <v>3262.4736744762208</v>
      </c>
      <c r="Z513" s="1"/>
      <c r="AA513" s="245">
        <f>D513*(IF(D513&lt;Variables!$C$7,Variables!$C$38,IF(D513&gt;Variables!$C$6,Variables!$C$36,Variables!$C$37)))</f>
        <v>1.7881264869739981</v>
      </c>
      <c r="AB513" s="64">
        <f t="shared" si="13"/>
        <v>2</v>
      </c>
      <c r="AC513" s="66">
        <f t="shared" si="2"/>
        <v>0</v>
      </c>
      <c r="AD513" s="62">
        <f>AC513*Variables!$E$41</f>
        <v>0</v>
      </c>
      <c r="AE513" s="71">
        <f>ROUND((H513/(3.14*Variables!$C$35^2)),0)</f>
        <v>0</v>
      </c>
      <c r="AF513" s="57">
        <f t="shared" si="14"/>
        <v>0</v>
      </c>
      <c r="AG513" s="57">
        <f t="shared" si="3"/>
        <v>0</v>
      </c>
      <c r="AH513" s="58">
        <f>AG513*Variables!$E$42*Variables!$C$18</f>
        <v>0</v>
      </c>
      <c r="AI513" s="73">
        <f t="shared" si="4"/>
        <v>0</v>
      </c>
      <c r="AJ513" s="66">
        <f t="shared" si="15"/>
        <v>0</v>
      </c>
      <c r="AK513" s="66">
        <f t="shared" si="5"/>
        <v>0</v>
      </c>
      <c r="AL513" s="62">
        <f>IF(AK513*Variables!$E$43*Variables!$C$18&lt;0,0,AK513*Variables!$E$43*Variables!$C$18)</f>
        <v>0</v>
      </c>
      <c r="AM513" s="58">
        <f>AA513*Variables!$E$39*Variables!$C$18</f>
        <v>516862.09986439644</v>
      </c>
      <c r="AN513" s="1"/>
      <c r="AO513" s="76">
        <f t="shared" si="16"/>
        <v>0.67714285714285716</v>
      </c>
      <c r="AP513" s="76">
        <f t="shared" si="6"/>
        <v>159.07410185073181</v>
      </c>
      <c r="AQ513" s="75">
        <f>VLOOKUP(B513,'Household Information'!$B$2:$E$48,4,FALSE)</f>
        <v>40.760000000000005</v>
      </c>
      <c r="AR513" s="79">
        <f>IF(12*(AP513-Variables!$C$45*AQ513*F513)*(G513/5)&lt;0,0,12*(AP513-Variables!$C$45*AQ513*F513)*(G513/5))</f>
        <v>296238.81291832583</v>
      </c>
      <c r="AS513" s="1"/>
      <c r="AT513" s="62">
        <v>0</v>
      </c>
      <c r="AU513" s="1"/>
    </row>
    <row r="514" spans="1:47" ht="14.25" customHeight="1">
      <c r="A514" s="1">
        <v>41</v>
      </c>
      <c r="B514" s="3" t="s">
        <v>234</v>
      </c>
      <c r="C514" s="1">
        <v>2029</v>
      </c>
      <c r="D514" s="13">
        <f>VLOOKUP(B514,Population!$B$1:$O$48,13,FALSE)</f>
        <v>61631.466353732903</v>
      </c>
      <c r="E514" s="13" t="str">
        <f t="shared" si="23"/>
        <v>Small</v>
      </c>
      <c r="F514" s="54">
        <f>VLOOKUP(B514,'Household Information'!$B$1:$E$48,2,FALSE)</f>
        <v>2.524</v>
      </c>
      <c r="G514" s="54">
        <f t="shared" si="0"/>
        <v>24418.172089434589</v>
      </c>
      <c r="H514" s="55">
        <f>IF(D514&gt;Variables!$C$6,H467,H467*(1+Variables!$C$9))</f>
        <v>5.5343064876611026</v>
      </c>
      <c r="I514" s="1"/>
      <c r="J514" s="13">
        <f>H514*Variables!$C$21</f>
        <v>99.617516777899851</v>
      </c>
      <c r="K514" s="13">
        <f t="shared" si="12"/>
        <v>105</v>
      </c>
      <c r="L514" s="54">
        <f t="shared" si="1"/>
        <v>0</v>
      </c>
      <c r="M514" s="56"/>
      <c r="N514" s="57"/>
      <c r="O514" s="57"/>
      <c r="P514" s="57"/>
      <c r="Q514" s="57"/>
      <c r="R514" s="57"/>
      <c r="S514" s="58">
        <v>0</v>
      </c>
      <c r="T514" s="59">
        <f>$L514*Variables!$C$22/100</f>
        <v>0</v>
      </c>
      <c r="U514" s="59">
        <f>$L514*Variables!$C$23/100</f>
        <v>0</v>
      </c>
      <c r="V514" s="59">
        <f>$L514*Variables!$C$24/100</f>
        <v>0</v>
      </c>
      <c r="W514" s="59">
        <f>$L514*Variables!$C$25/100</f>
        <v>0</v>
      </c>
      <c r="X514" s="62">
        <f>T514*Variables!$E$26*Variables!$C$18+'Cost Calculations'!U514*Variables!$E$27*Variables!$C$18+'Cost Calculations'!V514*Variables!$E$28*Variables!$C$18+W514*Variables!$E$29*Variables!$C$18</f>
        <v>0</v>
      </c>
      <c r="Y514" s="58">
        <f>J514*Variables!$E$30</f>
        <v>65249.473489524404</v>
      </c>
      <c r="Z514" s="1"/>
      <c r="AA514" s="245">
        <f>D514*(IF(D514&lt;Variables!$C$7,Variables!$C$38,IF(D514&gt;Variables!$C$6,Variables!$C$36,Variables!$C$37)))</f>
        <v>49.305173082986322</v>
      </c>
      <c r="AB514" s="64">
        <f t="shared" si="13"/>
        <v>49</v>
      </c>
      <c r="AC514" s="66">
        <f t="shared" si="2"/>
        <v>0</v>
      </c>
      <c r="AD514" s="62">
        <f>AC514*Variables!$E$41</f>
        <v>0</v>
      </c>
      <c r="AE514" s="71">
        <f>ROUND((H514/(3.14*Variables!$C$35^2)),0)</f>
        <v>7</v>
      </c>
      <c r="AF514" s="57">
        <f t="shared" si="14"/>
        <v>7</v>
      </c>
      <c r="AG514" s="57">
        <f t="shared" si="3"/>
        <v>0</v>
      </c>
      <c r="AH514" s="58">
        <f>AG514*Variables!$E$42*Variables!$C$18</f>
        <v>0</v>
      </c>
      <c r="AI514" s="73">
        <f t="shared" si="4"/>
        <v>0</v>
      </c>
      <c r="AJ514" s="66">
        <f t="shared" si="15"/>
        <v>2</v>
      </c>
      <c r="AK514" s="66">
        <f t="shared" si="5"/>
        <v>0</v>
      </c>
      <c r="AL514" s="62">
        <f>IF(AK514*Variables!$E$43*Variables!$C$18&lt;0,0,AK514*Variables!$E$43*Variables!$C$18)</f>
        <v>0</v>
      </c>
      <c r="AM514" s="58">
        <f>AA514*Variables!$E$39*Variables!$C$18</f>
        <v>14251774.401583709</v>
      </c>
      <c r="AN514" s="1"/>
      <c r="AO514" s="76">
        <f t="shared" si="16"/>
        <v>0.67714285714285716</v>
      </c>
      <c r="AP514" s="76">
        <f t="shared" si="6"/>
        <v>102.54651428571428</v>
      </c>
      <c r="AQ514" s="75">
        <f>VLOOKUP(B514,'Household Information'!$B$2:$E$48,4,FALSE)</f>
        <v>40.760000000000005</v>
      </c>
      <c r="AR514" s="79">
        <f>IF(12*(AP514-Variables!$C$45*AQ514*F514)*(G514/5)&lt;0,0,12*(AP514-Variables!$C$45*AQ514*F514)*(G514/5))</f>
        <v>5105240.7545124255</v>
      </c>
      <c r="AS514" s="1"/>
      <c r="AT514" s="62">
        <v>0</v>
      </c>
      <c r="AU514" s="1"/>
    </row>
    <row r="515" spans="1:47" ht="14.25" customHeight="1">
      <c r="A515" s="1">
        <v>42</v>
      </c>
      <c r="B515" s="3" t="s">
        <v>235</v>
      </c>
      <c r="C515" s="1">
        <v>2029</v>
      </c>
      <c r="D515" s="13">
        <f>VLOOKUP(B515,Population!$B$1:$O$48,13,FALSE)</f>
        <v>53621.413579409331</v>
      </c>
      <c r="E515" s="13" t="str">
        <f t="shared" si="23"/>
        <v>Small</v>
      </c>
      <c r="F515" s="54">
        <f>VLOOKUP(B515,'Household Information'!$B$1:$E$48,2,FALSE)</f>
        <v>2.7236881469514751</v>
      </c>
      <c r="G515" s="54">
        <f t="shared" si="0"/>
        <v>19687.060590774985</v>
      </c>
      <c r="H515" s="55">
        <f>IF(D515&gt;Variables!$C$6,H468,H468*(1+Variables!$C$9))</f>
        <v>7.0562407717679045</v>
      </c>
      <c r="I515" s="1"/>
      <c r="J515" s="13">
        <f>H515*Variables!$C$21</f>
        <v>127.01233389182228</v>
      </c>
      <c r="K515" s="13">
        <f t="shared" si="12"/>
        <v>122.95482467746591</v>
      </c>
      <c r="L515" s="54">
        <f t="shared" si="1"/>
        <v>4.0575092143563722</v>
      </c>
      <c r="M515" s="56"/>
      <c r="N515" s="57"/>
      <c r="O515" s="57"/>
      <c r="P515" s="57"/>
      <c r="Q515" s="57"/>
      <c r="R515" s="57"/>
      <c r="S515" s="58">
        <v>0</v>
      </c>
      <c r="T515" s="59">
        <f>$L515*Variables!$C$22/100</f>
        <v>0.22031724240849077</v>
      </c>
      <c r="U515" s="59">
        <f>$L515*Variables!$C$23/100</f>
        <v>0.38555517421485885</v>
      </c>
      <c r="V515" s="59">
        <f>$L515*Variables!$C$24/100</f>
        <v>0.40391494441556647</v>
      </c>
      <c r="W515" s="59">
        <f>$L515*Variables!$C$25/100</f>
        <v>2.9375632321132104</v>
      </c>
      <c r="X515" s="62">
        <f>T515*Variables!$E$26*Variables!$C$18+'Cost Calculations'!U515*Variables!$E$27*Variables!$C$18+'Cost Calculations'!V515*Variables!$E$28*Variables!$C$18+W515*Variables!$E$29*Variables!$C$18</f>
        <v>4612284.2424180396</v>
      </c>
      <c r="Y515" s="58">
        <f>J515*Variables!$E$30</f>
        <v>83193.078699143589</v>
      </c>
      <c r="Z515" s="1"/>
      <c r="AA515" s="245">
        <f>D515*(IF(D515&lt;Variables!$C$7,Variables!$C$38,IF(D515&gt;Variables!$C$6,Variables!$C$36,Variables!$C$37)))</f>
        <v>42.897130863527465</v>
      </c>
      <c r="AB515" s="64">
        <f t="shared" si="13"/>
        <v>42</v>
      </c>
      <c r="AC515" s="66">
        <f t="shared" si="2"/>
        <v>1</v>
      </c>
      <c r="AD515" s="62">
        <f>AC515*Variables!$E$41</f>
        <v>537600</v>
      </c>
      <c r="AE515" s="71">
        <f>ROUND((H515/(3.14*Variables!$C$35^2)),0)</f>
        <v>9</v>
      </c>
      <c r="AF515" s="57">
        <f t="shared" si="14"/>
        <v>9</v>
      </c>
      <c r="AG515" s="57">
        <f t="shared" si="3"/>
        <v>0</v>
      </c>
      <c r="AH515" s="58">
        <f>AG515*Variables!$E$42*Variables!$C$18</f>
        <v>0</v>
      </c>
      <c r="AI515" s="73">
        <f t="shared" si="4"/>
        <v>0</v>
      </c>
      <c r="AJ515" s="66">
        <f t="shared" si="15"/>
        <v>0</v>
      </c>
      <c r="AK515" s="66">
        <f t="shared" si="5"/>
        <v>0</v>
      </c>
      <c r="AL515" s="62">
        <f>IF(AK515*Variables!$E$43*Variables!$C$18&lt;0,0,AK515*Variables!$E$43*Variables!$C$18)</f>
        <v>0</v>
      </c>
      <c r="AM515" s="58">
        <f>AA515*Variables!$E$39*Variables!$C$18</f>
        <v>12399514.965969535</v>
      </c>
      <c r="AN515" s="1"/>
      <c r="AO515" s="76">
        <f t="shared" si="16"/>
        <v>0.67714285714285716</v>
      </c>
      <c r="AP515" s="76">
        <f t="shared" si="6"/>
        <v>110.65955842757135</v>
      </c>
      <c r="AQ515" s="75">
        <f>VLOOKUP(B515,'Household Information'!$B$2:$E$48,4,FALSE)</f>
        <v>40.760000000000005</v>
      </c>
      <c r="AR515" s="79">
        <f>IF(12*(AP515-Variables!$C$45*AQ515*F515)*(G515/5)&lt;0,0,12*(AP515-Variables!$C$45*AQ515*F515)*(G515/5))</f>
        <v>4441728.2618099833</v>
      </c>
      <c r="AS515" s="1"/>
      <c r="AT515" s="62">
        <v>0</v>
      </c>
      <c r="AU515" s="1"/>
    </row>
    <row r="516" spans="1:47" ht="14.25" customHeight="1">
      <c r="A516" s="1">
        <v>43</v>
      </c>
      <c r="B516" s="3" t="s">
        <v>236</v>
      </c>
      <c r="C516" s="1">
        <v>2029</v>
      </c>
      <c r="D516" s="13">
        <f>VLOOKUP(B516,Population!$B$1:$O$48,13,FALSE)</f>
        <v>28314.358608296436</v>
      </c>
      <c r="E516" s="13" t="str">
        <f t="shared" si="23"/>
        <v>Small</v>
      </c>
      <c r="F516" s="54">
        <f>VLOOKUP(B516,'Household Information'!$B$1:$E$48,2,FALSE)</f>
        <v>3.4114391143911438</v>
      </c>
      <c r="G516" s="54">
        <f t="shared" si="0"/>
        <v>8299.8282129241034</v>
      </c>
      <c r="H516" s="55">
        <f>IF(D516&gt;Variables!$C$6,H469,H469*(1+Variables!$C$9))</f>
        <v>6.0345214037123815</v>
      </c>
      <c r="I516" s="1"/>
      <c r="J516" s="13">
        <f>H516*Variables!$C$21</f>
        <v>108.62138526682287</v>
      </c>
      <c r="K516" s="13">
        <f t="shared" si="12"/>
        <v>105.15138941609185</v>
      </c>
      <c r="L516" s="54">
        <f t="shared" si="1"/>
        <v>3.4699958507310242</v>
      </c>
      <c r="M516" s="56"/>
      <c r="N516" s="57"/>
      <c r="O516" s="57"/>
      <c r="P516" s="57"/>
      <c r="Q516" s="57"/>
      <c r="R516" s="57"/>
      <c r="S516" s="58">
        <v>0</v>
      </c>
      <c r="T516" s="59">
        <f>$L516*Variables!$C$22/100</f>
        <v>0.18841606429308727</v>
      </c>
      <c r="U516" s="59">
        <f>$L516*Variables!$C$23/100</f>
        <v>0.32972811251290274</v>
      </c>
      <c r="V516" s="59">
        <f>$L516*Variables!$C$24/100</f>
        <v>0.34542945120399338</v>
      </c>
      <c r="W516" s="59">
        <f>$L516*Variables!$C$25/100</f>
        <v>2.5122141905744972</v>
      </c>
      <c r="X516" s="62">
        <f>T516*Variables!$E$26*Variables!$C$18+'Cost Calculations'!U516*Variables!$E$27*Variables!$C$18+'Cost Calculations'!V516*Variables!$E$28*Variables!$C$18+W516*Variables!$E$29*Variables!$C$18</f>
        <v>3944441.3649030821</v>
      </c>
      <c r="Y516" s="58">
        <f>J516*Variables!$E$30</f>
        <v>71147.007349768974</v>
      </c>
      <c r="Z516" s="1"/>
      <c r="AA516" s="245">
        <f>D516*(IF(D516&lt;Variables!$C$7,Variables!$C$38,IF(D516&gt;Variables!$C$6,Variables!$C$36,Variables!$C$37)))</f>
        <v>14.157179304148219</v>
      </c>
      <c r="AB516" s="64">
        <f t="shared" si="13"/>
        <v>14</v>
      </c>
      <c r="AC516" s="66">
        <f t="shared" si="2"/>
        <v>0</v>
      </c>
      <c r="AD516" s="62">
        <f>AC516*Variables!$E$41</f>
        <v>0</v>
      </c>
      <c r="AE516" s="71">
        <f>ROUND((H516/(3.14*Variables!$C$35^2)),0)</f>
        <v>8</v>
      </c>
      <c r="AF516" s="57">
        <f t="shared" si="14"/>
        <v>7</v>
      </c>
      <c r="AG516" s="57">
        <f t="shared" si="3"/>
        <v>1</v>
      </c>
      <c r="AH516" s="58">
        <f>AG516*Variables!$E$42*Variables!$C$18</f>
        <v>1148.2560000000001</v>
      </c>
      <c r="AI516" s="73">
        <f t="shared" si="4"/>
        <v>0</v>
      </c>
      <c r="AJ516" s="66">
        <f t="shared" si="15"/>
        <v>0</v>
      </c>
      <c r="AK516" s="66">
        <f t="shared" si="5"/>
        <v>0</v>
      </c>
      <c r="AL516" s="62">
        <f>IF(AK516*Variables!$E$43*Variables!$C$18&lt;0,0,AK516*Variables!$E$43*Variables!$C$18)</f>
        <v>0</v>
      </c>
      <c r="AM516" s="58">
        <f>AA516*Variables!$E$39*Variables!$C$18</f>
        <v>4092165.4461266464</v>
      </c>
      <c r="AN516" s="1"/>
      <c r="AO516" s="76">
        <f t="shared" si="16"/>
        <v>0.67714285714285716</v>
      </c>
      <c r="AP516" s="76">
        <f t="shared" si="6"/>
        <v>138.60189773326303</v>
      </c>
      <c r="AQ516" s="75">
        <f>VLOOKUP(B516,'Household Information'!$B$2:$E$48,4,FALSE)</f>
        <v>40.760000000000005</v>
      </c>
      <c r="AR516" s="79">
        <f>IF(12*(AP516-Variables!$C$45*AQ516*F516)*(G516/5)&lt;0,0,12*(AP516-Variables!$C$45*AQ516*F516)*(G516/5))</f>
        <v>2345419.0863365601</v>
      </c>
      <c r="AS516" s="1"/>
      <c r="AT516" s="62">
        <v>0</v>
      </c>
      <c r="AU516" s="1"/>
    </row>
    <row r="517" spans="1:47" ht="14.25" customHeight="1">
      <c r="A517" s="1">
        <v>44</v>
      </c>
      <c r="B517" s="3" t="s">
        <v>241</v>
      </c>
      <c r="C517" s="1">
        <v>2029</v>
      </c>
      <c r="D517" s="13">
        <f>VLOOKUP(B517,Population!$B$1:$O$48,13,FALSE)</f>
        <v>109512.9385045384</v>
      </c>
      <c r="E517" s="13" t="str">
        <f t="shared" ref="E517:E567" si="24">IF(D517&lt;100000,"Small",IF(D517&lt;1000000,"Medium","Large"))</f>
        <v>Medium</v>
      </c>
      <c r="F517" s="54">
        <f>VLOOKUP(B517,'Household Information'!$B$1:$E$48,2,FALSE)</f>
        <v>2.919</v>
      </c>
      <c r="G517" s="54">
        <f t="shared" si="0"/>
        <v>37517.279378053579</v>
      </c>
      <c r="H517" s="55">
        <f>IF(D517&gt;Variables!$C$6,H470,H470*(1+Variables!$C$9))</f>
        <v>11.723279703725108</v>
      </c>
      <c r="I517" s="1"/>
      <c r="J517" s="13">
        <f>H517*Variables!$C$21</f>
        <v>211.01903466705195</v>
      </c>
      <c r="K517" s="13">
        <f t="shared" si="12"/>
        <v>211.01903466705195</v>
      </c>
      <c r="L517" s="54">
        <f t="shared" si="1"/>
        <v>0</v>
      </c>
      <c r="M517" s="56"/>
      <c r="N517" s="57"/>
      <c r="O517" s="57"/>
      <c r="P517" s="57"/>
      <c r="Q517" s="57"/>
      <c r="R517" s="57"/>
      <c r="S517" s="58">
        <v>0</v>
      </c>
      <c r="T517" s="59">
        <f>$L517*Variables!$C$22/100</f>
        <v>0</v>
      </c>
      <c r="U517" s="59">
        <f>$L517*Variables!$C$23/100</f>
        <v>0</v>
      </c>
      <c r="V517" s="59">
        <f>$L517*Variables!$C$24/100</f>
        <v>0</v>
      </c>
      <c r="W517" s="59">
        <f>$L517*Variables!$C$25/100</f>
        <v>0</v>
      </c>
      <c r="X517" s="62">
        <f>T517*Variables!$E$26*Variables!$C$18+'Cost Calculations'!U517*Variables!$E$27*Variables!$C$18+'Cost Calculations'!V517*Variables!$E$28*Variables!$C$18+W517*Variables!$E$29*Variables!$C$18</f>
        <v>0</v>
      </c>
      <c r="Y517" s="58">
        <f>J517*Variables!$E$30</f>
        <v>138217.46770691904</v>
      </c>
      <c r="Z517" s="1"/>
      <c r="AA517" s="245">
        <f>D517*(IF(D517&lt;Variables!$C$7,Variables!$C$38,IF(D517&gt;Variables!$C$6,Variables!$C$36,Variables!$C$37)))</f>
        <v>131.41552620544607</v>
      </c>
      <c r="AB517" s="64">
        <f t="shared" si="13"/>
        <v>129</v>
      </c>
      <c r="AC517" s="66">
        <f t="shared" si="2"/>
        <v>2</v>
      </c>
      <c r="AD517" s="62">
        <f>AC517*Variables!$E$41</f>
        <v>1075200</v>
      </c>
      <c r="AE517" s="71">
        <f>ROUND((H517/(3.14*Variables!$C$35^2)),0)</f>
        <v>15</v>
      </c>
      <c r="AF517" s="57">
        <f t="shared" si="14"/>
        <v>15</v>
      </c>
      <c r="AG517" s="57">
        <f t="shared" si="3"/>
        <v>0</v>
      </c>
      <c r="AH517" s="58">
        <f>AG517*Variables!$E$42*Variables!$C$18</f>
        <v>0</v>
      </c>
      <c r="AI517" s="73">
        <f t="shared" si="4"/>
        <v>1</v>
      </c>
      <c r="AJ517" s="66">
        <f t="shared" si="15"/>
        <v>1</v>
      </c>
      <c r="AK517" s="66">
        <f t="shared" si="5"/>
        <v>0</v>
      </c>
      <c r="AL517" s="62">
        <f>IF(AK517*Variables!$E$43*Variables!$C$18&lt;0,0,AK517*Variables!$E$43*Variables!$C$18)</f>
        <v>0</v>
      </c>
      <c r="AM517" s="58">
        <f>AA517*Variables!$E$39*Variables!$C$18</f>
        <v>37985962.024575271</v>
      </c>
      <c r="AN517" s="1"/>
      <c r="AO517" s="76">
        <f t="shared" si="16"/>
        <v>0.67714285714285716</v>
      </c>
      <c r="AP517" s="76">
        <f t="shared" si="6"/>
        <v>118.59479999999999</v>
      </c>
      <c r="AQ517" s="75">
        <f>VLOOKUP(B517,'Household Information'!$B$2:$E$48,4,FALSE)</f>
        <v>40.760000000000005</v>
      </c>
      <c r="AR517" s="79">
        <f>IF(12*(AP517-Variables!$C$45*AQ517*F517)*(G517/5)&lt;0,0,12*(AP517-Variables!$C$45*AQ517*F517)*(G517/5))</f>
        <v>9071501.1320823394</v>
      </c>
      <c r="AS517" s="1"/>
      <c r="AT517" s="62">
        <v>0</v>
      </c>
      <c r="AU517" s="1"/>
    </row>
    <row r="518" spans="1:47" ht="14.25" customHeight="1">
      <c r="A518" s="1">
        <v>45</v>
      </c>
      <c r="B518" s="3" t="s">
        <v>242</v>
      </c>
      <c r="C518" s="1">
        <v>2029</v>
      </c>
      <c r="D518" s="13">
        <f>VLOOKUP(B518,Population!$B$1:$O$48,13,FALSE)</f>
        <v>27818.442105650814</v>
      </c>
      <c r="E518" s="13" t="str">
        <f t="shared" si="24"/>
        <v>Small</v>
      </c>
      <c r="F518" s="54">
        <f>VLOOKUP(B518,'Household Information'!$B$1:$E$48,2,FALSE)</f>
        <v>2.377290114757399</v>
      </c>
      <c r="G518" s="54">
        <f t="shared" si="0"/>
        <v>11701.74474413682</v>
      </c>
      <c r="H518" s="55">
        <f>IF(D518&gt;Variables!$C$6,H471,H471*(1+Variables!$C$9))</f>
        <v>5.2575911632780459</v>
      </c>
      <c r="I518" s="1"/>
      <c r="J518" s="13">
        <f>H518*Variables!$C$21</f>
        <v>94.63664093900482</v>
      </c>
      <c r="K518" s="13">
        <f t="shared" si="12"/>
        <v>91.613398779288332</v>
      </c>
      <c r="L518" s="54">
        <f t="shared" si="1"/>
        <v>3.0232421597164887</v>
      </c>
      <c r="M518" s="56"/>
      <c r="N518" s="57"/>
      <c r="O518" s="57"/>
      <c r="P518" s="57"/>
      <c r="Q518" s="57"/>
      <c r="R518" s="57"/>
      <c r="S518" s="58">
        <v>0</v>
      </c>
      <c r="T518" s="59">
        <f>$L518*Variables!$C$22/100</f>
        <v>0.16415794532397221</v>
      </c>
      <c r="U518" s="59">
        <f>$L518*Variables!$C$23/100</f>
        <v>0.28727640431695145</v>
      </c>
      <c r="V518" s="59">
        <f>$L518*Variables!$C$24/100</f>
        <v>0.30095623309394909</v>
      </c>
      <c r="W518" s="59">
        <f>$L518*Variables!$C$25/100</f>
        <v>2.1887726043196296</v>
      </c>
      <c r="X518" s="62">
        <f>T518*Variables!$E$26*Variables!$C$18+'Cost Calculations'!U518*Variables!$E$27*Variables!$C$18+'Cost Calculations'!V518*Variables!$E$28*Variables!$C$18+W518*Variables!$E$29*Variables!$C$18</f>
        <v>3436603.9453310608</v>
      </c>
      <c r="Y518" s="58">
        <f>J518*Variables!$E$30</f>
        <v>61986.999815048155</v>
      </c>
      <c r="Z518" s="1"/>
      <c r="AA518" s="245">
        <f>D518*(IF(D518&lt;Variables!$C$7,Variables!$C$38,IF(D518&gt;Variables!$C$6,Variables!$C$36,Variables!$C$37)))</f>
        <v>13.909221052825407</v>
      </c>
      <c r="AB518" s="64">
        <f t="shared" si="13"/>
        <v>14</v>
      </c>
      <c r="AC518" s="66">
        <f t="shared" si="2"/>
        <v>0</v>
      </c>
      <c r="AD518" s="62">
        <f>AC518*Variables!$E$41</f>
        <v>0</v>
      </c>
      <c r="AE518" s="71">
        <f>ROUND((H518/(3.14*Variables!$C$35^2)),0)</f>
        <v>7</v>
      </c>
      <c r="AF518" s="57">
        <f t="shared" si="14"/>
        <v>6</v>
      </c>
      <c r="AG518" s="57">
        <f t="shared" si="3"/>
        <v>1</v>
      </c>
      <c r="AH518" s="58">
        <f>AG518*Variables!$E$42*Variables!$C$18</f>
        <v>1148.2560000000001</v>
      </c>
      <c r="AI518" s="73">
        <f t="shared" si="4"/>
        <v>0</v>
      </c>
      <c r="AJ518" s="66">
        <f t="shared" si="15"/>
        <v>0</v>
      </c>
      <c r="AK518" s="66">
        <f t="shared" si="5"/>
        <v>0</v>
      </c>
      <c r="AL518" s="62">
        <f>IF(AK518*Variables!$E$43*Variables!$C$18&lt;0,0,AK518*Variables!$E$43*Variables!$C$18)</f>
        <v>0</v>
      </c>
      <c r="AM518" s="58">
        <f>AA518*Variables!$E$39*Variables!$C$18</f>
        <v>4020492.5396566489</v>
      </c>
      <c r="AN518" s="1"/>
      <c r="AO518" s="76">
        <f t="shared" si="16"/>
        <v>0.67714285714285716</v>
      </c>
      <c r="AP518" s="76">
        <f t="shared" si="6"/>
        <v>96.585901233857754</v>
      </c>
      <c r="AQ518" s="75">
        <f>VLOOKUP(B518,'Household Information'!$B$2:$E$48,4,FALSE)</f>
        <v>40.760000000000005</v>
      </c>
      <c r="AR518" s="79">
        <f>IF(12*(AP518-Variables!$C$45*AQ518*F518)*(G518/5)&lt;0,0,12*(AP518-Variables!$C$45*AQ518*F518)*(G518/5))</f>
        <v>2304339.8570089531</v>
      </c>
      <c r="AS518" s="1"/>
      <c r="AT518" s="62">
        <v>0</v>
      </c>
      <c r="AU518" s="1"/>
    </row>
    <row r="519" spans="1:47" ht="14.25" customHeight="1">
      <c r="A519" s="1">
        <v>46</v>
      </c>
      <c r="B519" s="3" t="s">
        <v>243</v>
      </c>
      <c r="C519" s="1">
        <v>2029</v>
      </c>
      <c r="D519" s="13">
        <f>VLOOKUP(B519,Population!$B$1:$O$48,13,FALSE)</f>
        <v>35554.032777560067</v>
      </c>
      <c r="E519" s="13" t="str">
        <f t="shared" si="24"/>
        <v>Small</v>
      </c>
      <c r="F519" s="54">
        <f>VLOOKUP(B519,'Household Information'!$B$1:$E$48,2,FALSE)</f>
        <v>2.6682284299858559</v>
      </c>
      <c r="G519" s="54">
        <f t="shared" si="0"/>
        <v>13324.958379874746</v>
      </c>
      <c r="H519" s="55">
        <f>IF(D519&gt;Variables!$C$6,H472,H472*(1+Variables!$C$9))</f>
        <v>5.1244051283098671</v>
      </c>
      <c r="I519" s="1"/>
      <c r="J519" s="13">
        <f>H519*Variables!$C$21</f>
        <v>92.239292309577607</v>
      </c>
      <c r="K519" s="13">
        <f t="shared" si="12"/>
        <v>89.292635343250367</v>
      </c>
      <c r="L519" s="54">
        <f t="shared" si="1"/>
        <v>2.9466569663272395</v>
      </c>
      <c r="M519" s="56"/>
      <c r="N519" s="57"/>
      <c r="O519" s="57"/>
      <c r="P519" s="57"/>
      <c r="Q519" s="57"/>
      <c r="R519" s="57"/>
      <c r="S519" s="58">
        <v>0</v>
      </c>
      <c r="T519" s="59">
        <f>$L519*Variables!$C$22/100</f>
        <v>0.15999947328473696</v>
      </c>
      <c r="U519" s="59">
        <f>$L519*Variables!$C$23/100</f>
        <v>0.27999907824828973</v>
      </c>
      <c r="V519" s="59">
        <f>$L519*Variables!$C$24/100</f>
        <v>0.29333236768868448</v>
      </c>
      <c r="W519" s="59">
        <f>$L519*Variables!$C$25/100</f>
        <v>2.1333263104631599</v>
      </c>
      <c r="X519" s="62">
        <f>T519*Variables!$E$26*Variables!$C$18+'Cost Calculations'!U519*Variables!$E$27*Variables!$C$18+'Cost Calculations'!V519*Variables!$E$28*Variables!$C$18+W519*Variables!$E$29*Variables!$C$18</f>
        <v>3349547.4133527828</v>
      </c>
      <c r="Y519" s="58">
        <f>J519*Variables!$E$30</f>
        <v>60416.736462773333</v>
      </c>
      <c r="Z519" s="1"/>
      <c r="AA519" s="245">
        <f>D519*(IF(D519&lt;Variables!$C$7,Variables!$C$38,IF(D519&gt;Variables!$C$6,Variables!$C$36,Variables!$C$37)))</f>
        <v>17.777016388780034</v>
      </c>
      <c r="AB519" s="64">
        <f t="shared" si="13"/>
        <v>18</v>
      </c>
      <c r="AC519" s="66">
        <f t="shared" si="2"/>
        <v>0</v>
      </c>
      <c r="AD519" s="62">
        <f>AC519*Variables!$E$41</f>
        <v>0</v>
      </c>
      <c r="AE519" s="71">
        <f>ROUND((H519/(3.14*Variables!$C$35^2)),0)</f>
        <v>7</v>
      </c>
      <c r="AF519" s="57">
        <f t="shared" si="14"/>
        <v>6</v>
      </c>
      <c r="AG519" s="57">
        <f t="shared" si="3"/>
        <v>1</v>
      </c>
      <c r="AH519" s="58">
        <f>AG519*Variables!$E$42*Variables!$C$18</f>
        <v>1148.2560000000001</v>
      </c>
      <c r="AI519" s="73">
        <f t="shared" si="4"/>
        <v>0</v>
      </c>
      <c r="AJ519" s="66">
        <f t="shared" si="15"/>
        <v>0</v>
      </c>
      <c r="AK519" s="66">
        <f t="shared" si="5"/>
        <v>0</v>
      </c>
      <c r="AL519" s="62">
        <f>IF(AK519*Variables!$E$43*Variables!$C$18&lt;0,0,AK519*Variables!$E$43*Variables!$C$18)</f>
        <v>0</v>
      </c>
      <c r="AM519" s="58">
        <f>AA519*Variables!$E$39*Variables!$C$18</f>
        <v>5138487.73392855</v>
      </c>
      <c r="AN519" s="1"/>
      <c r="AO519" s="76">
        <f t="shared" si="16"/>
        <v>0.67714285714285716</v>
      </c>
      <c r="AP519" s="76">
        <f t="shared" si="6"/>
        <v>108.40630935542534</v>
      </c>
      <c r="AQ519" s="75">
        <f>VLOOKUP(B519,'Household Information'!$B$2:$E$48,4,FALSE)</f>
        <v>40.760000000000005</v>
      </c>
      <c r="AR519" s="79">
        <f>IF(12*(AP519-Variables!$C$45*AQ519*F519)*(G519/5)&lt;0,0,12*(AP519-Variables!$C$45*AQ519*F519)*(G519/5))</f>
        <v>2945117.2892996804</v>
      </c>
      <c r="AS519" s="1"/>
      <c r="AT519" s="62">
        <v>0</v>
      </c>
      <c r="AU519" s="1"/>
    </row>
    <row r="520" spans="1:47" ht="14.25" customHeight="1">
      <c r="A520" s="1">
        <v>47</v>
      </c>
      <c r="B520" s="3" t="s">
        <v>244</v>
      </c>
      <c r="C520" s="1">
        <v>2029</v>
      </c>
      <c r="D520" s="13">
        <f>VLOOKUP(B520,Population!$B$1:$O$48,13,FALSE)</f>
        <v>75346.325831887225</v>
      </c>
      <c r="E520" s="13" t="str">
        <f t="shared" si="24"/>
        <v>Small</v>
      </c>
      <c r="F520" s="54">
        <f>VLOOKUP(B520,'Household Information'!$B$1:$E$48,2,FALSE)</f>
        <v>3.4580000000000002</v>
      </c>
      <c r="G520" s="54">
        <f t="shared" si="0"/>
        <v>21788.989540742401</v>
      </c>
      <c r="H520" s="55">
        <f>IF(D520&gt;Variables!$C$6,H473,H473*(1+Variables!$C$9))</f>
        <v>5.8110218120441584</v>
      </c>
      <c r="I520" s="1"/>
      <c r="J520" s="13">
        <f>H520*Variables!$C$21</f>
        <v>104.59839261679485</v>
      </c>
      <c r="K520" s="13">
        <f t="shared" si="12"/>
        <v>101.25691444026607</v>
      </c>
      <c r="L520" s="54">
        <f t="shared" si="1"/>
        <v>3.3414781765287813</v>
      </c>
      <c r="M520" s="56"/>
      <c r="N520" s="57"/>
      <c r="O520" s="57"/>
      <c r="P520" s="57"/>
      <c r="Q520" s="57"/>
      <c r="R520" s="57"/>
      <c r="S520" s="58">
        <v>0</v>
      </c>
      <c r="T520" s="59">
        <f>$L520*Variables!$C$22/100</f>
        <v>0.18143772904228675</v>
      </c>
      <c r="U520" s="59">
        <f>$L520*Variables!$C$23/100</f>
        <v>0.31751602582400185</v>
      </c>
      <c r="V520" s="59">
        <f>$L520*Variables!$C$24/100</f>
        <v>0.33263583657752577</v>
      </c>
      <c r="W520" s="59">
        <f>$L520*Variables!$C$25/100</f>
        <v>2.4191697205638234</v>
      </c>
      <c r="X520" s="62">
        <f>T520*Variables!$E$26*Variables!$C$18+'Cost Calculations'!U520*Variables!$E$27*Variables!$C$18+'Cost Calculations'!V520*Variables!$E$28*Variables!$C$18+W520*Variables!$E$29*Variables!$C$18</f>
        <v>3798351.7290501543</v>
      </c>
      <c r="Y520" s="58">
        <f>J520*Variables!$E$30</f>
        <v>68511.947164000623</v>
      </c>
      <c r="Z520" s="1"/>
      <c r="AA520" s="245">
        <f>D520*(IF(D520&lt;Variables!$C$7,Variables!$C$38,IF(D520&gt;Variables!$C$6,Variables!$C$36,Variables!$C$37)))</f>
        <v>60.277060665509779</v>
      </c>
      <c r="AB520" s="64">
        <f t="shared" si="13"/>
        <v>59</v>
      </c>
      <c r="AC520" s="66">
        <f t="shared" si="2"/>
        <v>1</v>
      </c>
      <c r="AD520" s="62">
        <f>AC520*Variables!$E$41</f>
        <v>537600</v>
      </c>
      <c r="AE520" s="71">
        <f>ROUND((H520/(3.14*Variables!$C$35^2)),0)</f>
        <v>7</v>
      </c>
      <c r="AF520" s="57">
        <f t="shared" si="14"/>
        <v>7</v>
      </c>
      <c r="AG520" s="57">
        <f t="shared" si="3"/>
        <v>0</v>
      </c>
      <c r="AH520" s="58">
        <f>AG520*Variables!$E$42*Variables!$C$18</f>
        <v>0</v>
      </c>
      <c r="AI520" s="73">
        <f t="shared" si="4"/>
        <v>1</v>
      </c>
      <c r="AJ520" s="66">
        <f t="shared" si="15"/>
        <v>0</v>
      </c>
      <c r="AK520" s="66">
        <f t="shared" si="5"/>
        <v>1</v>
      </c>
      <c r="AL520" s="62">
        <f>IF(AK520*Variables!$E$43*Variables!$C$18&lt;0,0,AK520*Variables!$E$43*Variables!$C$18)</f>
        <v>945381.49199999997</v>
      </c>
      <c r="AM520" s="58">
        <f>AA520*Variables!$E$39*Variables!$C$18</f>
        <v>17423223.902886037</v>
      </c>
      <c r="AN520" s="1"/>
      <c r="AO520" s="76">
        <f t="shared" si="16"/>
        <v>0.67714285714285716</v>
      </c>
      <c r="AP520" s="76">
        <f t="shared" si="6"/>
        <v>140.49359999999999</v>
      </c>
      <c r="AQ520" s="75">
        <f>VLOOKUP(B520,'Household Information'!$B$2:$E$48,4,FALSE)</f>
        <v>40.760000000000005</v>
      </c>
      <c r="AR520" s="79">
        <f>IF(12*(AP520-Variables!$C$45*AQ520*F520)*(G520/5)&lt;0,0,12*(AP520-Variables!$C$45*AQ520*F520)*(G520/5))</f>
        <v>6241310.7475322103</v>
      </c>
      <c r="AS520" s="1"/>
      <c r="AT520" s="62">
        <v>0</v>
      </c>
      <c r="AU520" s="1"/>
    </row>
    <row r="521" spans="1:47" ht="14.25" customHeight="1">
      <c r="A521" s="1">
        <v>1</v>
      </c>
      <c r="B521" s="3" t="s">
        <v>76</v>
      </c>
      <c r="C521" s="1">
        <v>2030</v>
      </c>
      <c r="D521" s="13">
        <f>VLOOKUP(B521,Population!$B$1:$O$48,14,FALSE)</f>
        <v>8586294.8341876864</v>
      </c>
      <c r="E521" s="13" t="str">
        <f t="shared" si="24"/>
        <v>Large</v>
      </c>
      <c r="F521" s="54">
        <f>VLOOKUP(B521,'Household Information'!$B$1:$E$48,2,FALSE)</f>
        <v>2.8458153079093123</v>
      </c>
      <c r="G521" s="54">
        <f t="shared" si="0"/>
        <v>3017165.1724284375</v>
      </c>
      <c r="H521" s="55">
        <f>IF(D521&gt;Variables!$C$6,H474,H474*(1+Variables!$C$9))</f>
        <v>418.2688494446499</v>
      </c>
      <c r="I521" s="1"/>
      <c r="J521" s="13">
        <f>H521*Variables!$C$21</f>
        <v>7528.8392900036979</v>
      </c>
      <c r="K521" s="13">
        <f t="shared" si="12"/>
        <v>13984</v>
      </c>
      <c r="L521" s="54">
        <f t="shared" si="1"/>
        <v>0</v>
      </c>
      <c r="M521" s="56"/>
      <c r="N521" s="57"/>
      <c r="O521" s="57"/>
      <c r="P521" s="57"/>
      <c r="Q521" s="57"/>
      <c r="R521" s="57"/>
      <c r="S521" s="58">
        <v>0</v>
      </c>
      <c r="T521" s="59">
        <f>$L521*Variables!$C$22/100</f>
        <v>0</v>
      </c>
      <c r="U521" s="59">
        <f>$L521*Variables!$C$23/100</f>
        <v>0</v>
      </c>
      <c r="V521" s="59">
        <f>$L521*Variables!$C$24/100</f>
        <v>0</v>
      </c>
      <c r="W521" s="59">
        <f>$L521*Variables!$C$25/100</f>
        <v>0</v>
      </c>
      <c r="X521" s="62">
        <f>T521*Variables!$E$26*Variables!$C$18+'Cost Calculations'!U521*Variables!$E$27*Variables!$C$18+'Cost Calculations'!V521*Variables!$E$28*Variables!$C$18+W521*Variables!$E$29*Variables!$C$18</f>
        <v>0</v>
      </c>
      <c r="Y521" s="58">
        <f>J521*Variables!$E$30</f>
        <v>4931389.7349524219</v>
      </c>
      <c r="Z521" s="1"/>
      <c r="AA521" s="245">
        <f>D521*(IF(D521&lt;Variables!$C$7,Variables!$C$38,IF(D521&gt;Variables!$C$6,Variables!$C$36,Variables!$C$37)))</f>
        <v>10303.553801025222</v>
      </c>
      <c r="AB521" s="64">
        <f t="shared" si="13"/>
        <v>10151</v>
      </c>
      <c r="AC521" s="66">
        <f t="shared" si="2"/>
        <v>153</v>
      </c>
      <c r="AD521" s="62">
        <f>AC521*Variables!$E$41</f>
        <v>82252800</v>
      </c>
      <c r="AE521" s="71">
        <f>ROUND((H521/(3.14*Variables!$C$35^2)),0)</f>
        <v>533</v>
      </c>
      <c r="AF521" s="57">
        <f t="shared" si="14"/>
        <v>853</v>
      </c>
      <c r="AG521" s="57">
        <f t="shared" si="3"/>
        <v>0</v>
      </c>
      <c r="AH521" s="58">
        <f>AG521*Variables!$E$42*Variables!$C$18</f>
        <v>0</v>
      </c>
      <c r="AI521" s="73">
        <f t="shared" si="4"/>
        <v>86</v>
      </c>
      <c r="AJ521" s="66">
        <f t="shared" si="15"/>
        <v>85</v>
      </c>
      <c r="AK521" s="66">
        <f t="shared" si="5"/>
        <v>1</v>
      </c>
      <c r="AL521" s="62">
        <f>IF(AK521*Variables!$E$43*Variables!$C$18&lt;0,0,AK521*Variables!$E$43*Variables!$C$18)</f>
        <v>945381.49199999997</v>
      </c>
      <c r="AM521" s="58">
        <f>AA521*Variables!$E$39*Variables!$C$18</f>
        <v>2978266074.8322783</v>
      </c>
      <c r="AN521" s="1"/>
      <c r="AO521" s="76">
        <f t="shared" si="16"/>
        <v>0.68340000000000001</v>
      </c>
      <c r="AP521" s="76">
        <f t="shared" si="6"/>
        <v>116.68981088551344</v>
      </c>
      <c r="AQ521" s="75">
        <f>VLOOKUP(B521,'Household Information'!$B$2:$E$48,4,FALSE)</f>
        <v>91.36</v>
      </c>
      <c r="AR521" s="79">
        <f>IF(12*(AP521-Variables!$C$45*AQ521*F521)*(G521/5)&lt;0,0,12*(AP521-Variables!$C$45*AQ521*F521)*(G521/5))</f>
        <v>562574037.53597736</v>
      </c>
      <c r="AS521" s="1"/>
      <c r="AT521" s="62">
        <v>0</v>
      </c>
      <c r="AU521" s="1"/>
    </row>
    <row r="522" spans="1:47" ht="14.25" customHeight="1">
      <c r="A522" s="1">
        <v>2</v>
      </c>
      <c r="B522" s="3" t="s">
        <v>87</v>
      </c>
      <c r="C522" s="1">
        <v>2030</v>
      </c>
      <c r="D522" s="13">
        <f>VLOOKUP(B522,Population!$B$1:$O$48,14,FALSE)</f>
        <v>2836400.8567033391</v>
      </c>
      <c r="E522" s="13" t="str">
        <f t="shared" si="24"/>
        <v>Large</v>
      </c>
      <c r="F522" s="54">
        <f>VLOOKUP(B522,'Household Information'!$B$1:$E$48,2,FALSE)</f>
        <v>2.6591126390039355</v>
      </c>
      <c r="G522" s="54">
        <f t="shared" si="0"/>
        <v>1066671.9472875784</v>
      </c>
      <c r="H522" s="55">
        <f>IF(D522&gt;Variables!$C$6,H475,H475*(1+Variables!$C$9))</f>
        <v>119.58406164038337</v>
      </c>
      <c r="I522" s="1"/>
      <c r="J522" s="13">
        <f>H522*Variables!$C$21</f>
        <v>2152.5131095269007</v>
      </c>
      <c r="K522" s="13">
        <f t="shared" si="12"/>
        <v>2152.5131095269007</v>
      </c>
      <c r="L522" s="54">
        <f t="shared" si="1"/>
        <v>0</v>
      </c>
      <c r="M522" s="56"/>
      <c r="N522" s="57"/>
      <c r="O522" s="57"/>
      <c r="P522" s="57"/>
      <c r="Q522" s="57"/>
      <c r="R522" s="57"/>
      <c r="S522" s="58">
        <v>0</v>
      </c>
      <c r="T522" s="59">
        <f>$L522*Variables!$C$22/100</f>
        <v>0</v>
      </c>
      <c r="U522" s="59">
        <f>$L522*Variables!$C$23/100</f>
        <v>0</v>
      </c>
      <c r="V522" s="59">
        <f>$L522*Variables!$C$24/100</f>
        <v>0</v>
      </c>
      <c r="W522" s="59">
        <f>$L522*Variables!$C$25/100</f>
        <v>0</v>
      </c>
      <c r="X522" s="62">
        <f>T522*Variables!$E$26*Variables!$C$18+'Cost Calculations'!U522*Variables!$E$27*Variables!$C$18+'Cost Calculations'!V522*Variables!$E$28*Variables!$C$18+W522*Variables!$E$29*Variables!$C$18</f>
        <v>0</v>
      </c>
      <c r="Y522" s="58">
        <f>J522*Variables!$E$30</f>
        <v>1409896.0867401201</v>
      </c>
      <c r="Z522" s="1"/>
      <c r="AA522" s="245">
        <f>D522*(IF(D522&lt;Variables!$C$7,Variables!$C$38,IF(D522&gt;Variables!$C$6,Variables!$C$36,Variables!$C$37)))</f>
        <v>3403.6810280440068</v>
      </c>
      <c r="AB522" s="64">
        <f t="shared" si="13"/>
        <v>4664</v>
      </c>
      <c r="AC522" s="66">
        <f t="shared" si="2"/>
        <v>0</v>
      </c>
      <c r="AD522" s="62">
        <f>AC522*Variables!$E$41</f>
        <v>0</v>
      </c>
      <c r="AE522" s="71">
        <f>ROUND((H522/(3.14*Variables!$C$35^2)),0)</f>
        <v>152</v>
      </c>
      <c r="AF522" s="57">
        <f t="shared" si="14"/>
        <v>152</v>
      </c>
      <c r="AG522" s="57">
        <f t="shared" si="3"/>
        <v>0</v>
      </c>
      <c r="AH522" s="58">
        <f>AG522*Variables!$E$42*Variables!$C$18</f>
        <v>0</v>
      </c>
      <c r="AI522" s="73">
        <f t="shared" si="4"/>
        <v>28</v>
      </c>
      <c r="AJ522" s="66">
        <f t="shared" si="15"/>
        <v>28</v>
      </c>
      <c r="AK522" s="66">
        <f t="shared" si="5"/>
        <v>0</v>
      </c>
      <c r="AL522" s="62">
        <f>IF(AK522*Variables!$E$43*Variables!$C$18&lt;0,0,AK522*Variables!$E$43*Variables!$C$18)</f>
        <v>0</v>
      </c>
      <c r="AM522" s="58">
        <f>AA522*Variables!$E$39*Variables!$C$18</f>
        <v>983841879.32954371</v>
      </c>
      <c r="AN522" s="1"/>
      <c r="AO522" s="76">
        <f t="shared" si="16"/>
        <v>0.75480000000000003</v>
      </c>
      <c r="AP522" s="76">
        <f t="shared" si="6"/>
        <v>120.42589319521024</v>
      </c>
      <c r="AQ522" s="75">
        <f>VLOOKUP(B522,'Household Information'!$B$2:$E$48,4,FALSE)</f>
        <v>73.64</v>
      </c>
      <c r="AR522" s="79">
        <f>IF(12*(AP522-Variables!$C$45*AQ522*F522)*(G522/5)&lt;0,0,12*(AP522-Variables!$C$45*AQ522*F522)*(G522/5))</f>
        <v>233097691.52456582</v>
      </c>
      <c r="AS522" s="1"/>
      <c r="AT522" s="62">
        <v>0</v>
      </c>
      <c r="AU522" s="1"/>
    </row>
    <row r="523" spans="1:47" ht="14.25" customHeight="1">
      <c r="A523" s="1">
        <v>3</v>
      </c>
      <c r="B523" s="3" t="s">
        <v>103</v>
      </c>
      <c r="C523" s="1">
        <v>2030</v>
      </c>
      <c r="D523" s="13">
        <f>VLOOKUP(B523,Population!$B$1:$O$48,14,FALSE)</f>
        <v>2179455.3005939135</v>
      </c>
      <c r="E523" s="13" t="str">
        <f t="shared" si="24"/>
        <v>Large</v>
      </c>
      <c r="F523" s="54">
        <f>VLOOKUP(B523,'Household Information'!$B$1:$E$48,2,FALSE)</f>
        <v>2.6407866430045996</v>
      </c>
      <c r="G523" s="54">
        <f t="shared" si="0"/>
        <v>825305.33330560976</v>
      </c>
      <c r="H523" s="55">
        <f>IF(D523&gt;Variables!$C$6,H476,H476*(1+Variables!$C$9))</f>
        <v>224.70642399999997</v>
      </c>
      <c r="I523" s="1"/>
      <c r="J523" s="13">
        <f>H523*Variables!$C$21</f>
        <v>4044.7156319999995</v>
      </c>
      <c r="K523" s="13">
        <f t="shared" si="12"/>
        <v>4044.7156319999995</v>
      </c>
      <c r="L523" s="54">
        <f t="shared" si="1"/>
        <v>0</v>
      </c>
      <c r="M523" s="56"/>
      <c r="N523" s="57"/>
      <c r="O523" s="57"/>
      <c r="P523" s="57"/>
      <c r="Q523" s="57"/>
      <c r="R523" s="57"/>
      <c r="S523" s="58">
        <v>0</v>
      </c>
      <c r="T523" s="59">
        <f>$L523*Variables!$C$22/100</f>
        <v>0</v>
      </c>
      <c r="U523" s="59">
        <f>$L523*Variables!$C$23/100</f>
        <v>0</v>
      </c>
      <c r="V523" s="59">
        <f>$L523*Variables!$C$24/100</f>
        <v>0</v>
      </c>
      <c r="W523" s="59">
        <f>$L523*Variables!$C$25/100</f>
        <v>0</v>
      </c>
      <c r="X523" s="62">
        <f>T523*Variables!$E$26*Variables!$C$18+'Cost Calculations'!U523*Variables!$E$27*Variables!$C$18+'Cost Calculations'!V523*Variables!$E$28*Variables!$C$18+W523*Variables!$E$29*Variables!$C$18</f>
        <v>0</v>
      </c>
      <c r="Y523" s="58">
        <f>J523*Variables!$E$30</f>
        <v>2649288.7389599998</v>
      </c>
      <c r="Z523" s="1"/>
      <c r="AA523" s="245">
        <f>D523*(IF(D523&lt;Variables!$C$7,Variables!$C$38,IF(D523&gt;Variables!$C$6,Variables!$C$36,Variables!$C$37)))</f>
        <v>2615.346360712696</v>
      </c>
      <c r="AB523" s="64">
        <f t="shared" si="13"/>
        <v>2577</v>
      </c>
      <c r="AC523" s="66">
        <f t="shared" si="2"/>
        <v>38</v>
      </c>
      <c r="AD523" s="62">
        <f>AC523*Variables!$E$41</f>
        <v>20428800</v>
      </c>
      <c r="AE523" s="71">
        <f>ROUND((H523/(3.14*Variables!$C$35^2)),0)</f>
        <v>286</v>
      </c>
      <c r="AF523" s="57">
        <f t="shared" si="14"/>
        <v>286</v>
      </c>
      <c r="AG523" s="57">
        <f t="shared" si="3"/>
        <v>0</v>
      </c>
      <c r="AH523" s="58">
        <f>AG523*Variables!$E$42*Variables!$C$18</f>
        <v>0</v>
      </c>
      <c r="AI523" s="73">
        <f t="shared" si="4"/>
        <v>22</v>
      </c>
      <c r="AJ523" s="66">
        <f t="shared" si="15"/>
        <v>21</v>
      </c>
      <c r="AK523" s="66">
        <f t="shared" si="5"/>
        <v>1</v>
      </c>
      <c r="AL523" s="62">
        <f>IF(AK523*Variables!$E$43*Variables!$C$18&lt;0,0,AK523*Variables!$E$43*Variables!$C$18)</f>
        <v>945381.49199999997</v>
      </c>
      <c r="AM523" s="58">
        <f>AA523*Variables!$E$39*Variables!$C$18</f>
        <v>755971919.05492318</v>
      </c>
      <c r="AN523" s="1"/>
      <c r="AO523" s="76">
        <f t="shared" si="16"/>
        <v>0.61199999999999999</v>
      </c>
      <c r="AP523" s="76">
        <f t="shared" si="6"/>
        <v>96.969685531128903</v>
      </c>
      <c r="AQ523" s="75">
        <f>VLOOKUP(B523,'Household Information'!$B$2:$E$48,4,FALSE)</f>
        <v>61.12</v>
      </c>
      <c r="AR523" s="79">
        <f>IF(12*(AP523-Variables!$C$45*AQ523*F523)*(G523/5)&lt;0,0,12*(AP523-Variables!$C$45*AQ523*F523)*(G523/5))</f>
        <v>144116045.86071241</v>
      </c>
      <c r="AS523" s="1"/>
      <c r="AT523" s="62">
        <v>0</v>
      </c>
      <c r="AU523" s="1"/>
    </row>
    <row r="524" spans="1:47" ht="14.25" customHeight="1">
      <c r="A524" s="1">
        <v>4</v>
      </c>
      <c r="B524" s="3" t="s">
        <v>104</v>
      </c>
      <c r="C524" s="1">
        <v>2030</v>
      </c>
      <c r="D524" s="13">
        <f>VLOOKUP(B524,Population!$B$1:$O$48,14,FALSE)</f>
        <v>1339215.5007085777</v>
      </c>
      <c r="E524" s="13" t="str">
        <f t="shared" si="24"/>
        <v>Large</v>
      </c>
      <c r="F524" s="54">
        <f>VLOOKUP(B524,'Household Information'!$B$1:$E$48,2,FALSE)</f>
        <v>3.2280741697119208</v>
      </c>
      <c r="G524" s="54">
        <f t="shared" si="0"/>
        <v>414865.15807909449</v>
      </c>
      <c r="H524" s="55">
        <f>IF(D524&gt;Variables!$C$6,H477,H477*(1+Variables!$C$9))</f>
        <v>154</v>
      </c>
      <c r="I524" s="1"/>
      <c r="J524" s="13">
        <f>H524*Variables!$C$21</f>
        <v>2772</v>
      </c>
      <c r="K524" s="13">
        <f t="shared" si="12"/>
        <v>3916</v>
      </c>
      <c r="L524" s="54">
        <f t="shared" si="1"/>
        <v>0</v>
      </c>
      <c r="M524" s="56"/>
      <c r="N524" s="57"/>
      <c r="O524" s="57"/>
      <c r="P524" s="57"/>
      <c r="Q524" s="57"/>
      <c r="R524" s="57"/>
      <c r="S524" s="58">
        <v>0</v>
      </c>
      <c r="T524" s="59">
        <f>$L524*Variables!$C$22/100</f>
        <v>0</v>
      </c>
      <c r="U524" s="59">
        <f>$L524*Variables!$C$23/100</f>
        <v>0</v>
      </c>
      <c r="V524" s="59">
        <f>$L524*Variables!$C$24/100</f>
        <v>0</v>
      </c>
      <c r="W524" s="59">
        <f>$L524*Variables!$C$25/100</f>
        <v>0</v>
      </c>
      <c r="X524" s="62">
        <f>T524*Variables!$E$26*Variables!$C$18+'Cost Calculations'!U524*Variables!$E$27*Variables!$C$18+'Cost Calculations'!V524*Variables!$E$28*Variables!$C$18+W524*Variables!$E$29*Variables!$C$18</f>
        <v>0</v>
      </c>
      <c r="Y524" s="58">
        <f>J524*Variables!$E$30</f>
        <v>1815660</v>
      </c>
      <c r="Z524" s="1"/>
      <c r="AA524" s="245">
        <f>D524*(IF(D524&lt;Variables!$C$7,Variables!$C$38,IF(D524&gt;Variables!$C$6,Variables!$C$36,Variables!$C$37)))</f>
        <v>1607.058600850293</v>
      </c>
      <c r="AB524" s="64">
        <f t="shared" si="13"/>
        <v>2043</v>
      </c>
      <c r="AC524" s="66">
        <f t="shared" si="2"/>
        <v>0</v>
      </c>
      <c r="AD524" s="62">
        <f>AC524*Variables!$E$41</f>
        <v>0</v>
      </c>
      <c r="AE524" s="71">
        <f>ROUND((H524/(3.14*Variables!$C$35^2)),0)</f>
        <v>196</v>
      </c>
      <c r="AF524" s="57">
        <f t="shared" si="14"/>
        <v>196</v>
      </c>
      <c r="AG524" s="57">
        <f t="shared" si="3"/>
        <v>0</v>
      </c>
      <c r="AH524" s="58">
        <f>AG524*Variables!$E$42*Variables!$C$18</f>
        <v>0</v>
      </c>
      <c r="AI524" s="73">
        <f t="shared" si="4"/>
        <v>13</v>
      </c>
      <c r="AJ524" s="66">
        <f t="shared" si="15"/>
        <v>13</v>
      </c>
      <c r="AK524" s="66">
        <f t="shared" si="5"/>
        <v>0</v>
      </c>
      <c r="AL524" s="62">
        <f>IF(AK524*Variables!$E$43*Variables!$C$18&lt;0,0,AK524*Variables!$E$43*Variables!$C$18)</f>
        <v>0</v>
      </c>
      <c r="AM524" s="58">
        <f>AA524*Variables!$E$39*Variables!$C$18</f>
        <v>464524008.27990198</v>
      </c>
      <c r="AN524" s="1"/>
      <c r="AO524" s="76">
        <f t="shared" si="16"/>
        <v>0.6804</v>
      </c>
      <c r="AP524" s="76">
        <f t="shared" si="6"/>
        <v>131.78289990431946</v>
      </c>
      <c r="AQ524" s="75">
        <f>VLOOKUP(B524,'Household Information'!$B$2:$E$48,4,FALSE)</f>
        <v>42.71</v>
      </c>
      <c r="AR524" s="79">
        <f>IF(12*(AP524-Variables!$C$45*AQ524*F524)*(G524/5)&lt;0,0,12*(AP524-Variables!$C$45*AQ524*F524)*(G524/5))</f>
        <v>110621878.78952995</v>
      </c>
      <c r="AS524" s="1"/>
      <c r="AT524" s="62">
        <v>0</v>
      </c>
      <c r="AU524" s="1"/>
    </row>
    <row r="525" spans="1:47" ht="14.25" customHeight="1">
      <c r="A525" s="1">
        <v>5</v>
      </c>
      <c r="B525" s="3" t="s">
        <v>105</v>
      </c>
      <c r="C525" s="1">
        <v>2030</v>
      </c>
      <c r="D525" s="13">
        <f>VLOOKUP(B525,Population!$B$1:$O$48,14,FALSE)</f>
        <v>632308.64806828916</v>
      </c>
      <c r="E525" s="13" t="str">
        <f t="shared" si="24"/>
        <v>Medium</v>
      </c>
      <c r="F525" s="54">
        <f>VLOOKUP(B525,'Household Information'!$B$1:$E$48,2,FALSE)</f>
        <v>2.791645991913092</v>
      </c>
      <c r="G525" s="54">
        <f t="shared" si="0"/>
        <v>226500.29763801579</v>
      </c>
      <c r="H525" s="55">
        <f>IF(D525&gt;Variables!$C$6,H478,H478*(1+Variables!$C$9))</f>
        <v>76.806648999999993</v>
      </c>
      <c r="I525" s="1"/>
      <c r="J525" s="13">
        <f>H525*Variables!$C$21</f>
        <v>1382.5196819999999</v>
      </c>
      <c r="K525" s="13">
        <f t="shared" si="12"/>
        <v>1382.5196819999999</v>
      </c>
      <c r="L525" s="54">
        <f t="shared" si="1"/>
        <v>0</v>
      </c>
      <c r="M525" s="56"/>
      <c r="N525" s="57"/>
      <c r="O525" s="57"/>
      <c r="P525" s="57"/>
      <c r="Q525" s="57"/>
      <c r="R525" s="57"/>
      <c r="S525" s="58">
        <v>0</v>
      </c>
      <c r="T525" s="59">
        <f>$L525*Variables!$C$22/100</f>
        <v>0</v>
      </c>
      <c r="U525" s="59">
        <f>$L525*Variables!$C$23/100</f>
        <v>0</v>
      </c>
      <c r="V525" s="59">
        <f>$L525*Variables!$C$24/100</f>
        <v>0</v>
      </c>
      <c r="W525" s="59">
        <f>$L525*Variables!$C$25/100</f>
        <v>0</v>
      </c>
      <c r="X525" s="62">
        <f>T525*Variables!$E$26*Variables!$C$18+'Cost Calculations'!U525*Variables!$E$27*Variables!$C$18+'Cost Calculations'!V525*Variables!$E$28*Variables!$C$18+W525*Variables!$E$29*Variables!$C$18</f>
        <v>0</v>
      </c>
      <c r="Y525" s="58">
        <f>J525*Variables!$E$30</f>
        <v>905550.39170999988</v>
      </c>
      <c r="Z525" s="1"/>
      <c r="AA525" s="245">
        <f>D525*(IF(D525&lt;Variables!$C$7,Variables!$C$38,IF(D525&gt;Variables!$C$6,Variables!$C$36,Variables!$C$37)))</f>
        <v>758.77037768194691</v>
      </c>
      <c r="AB525" s="64">
        <f t="shared" si="13"/>
        <v>748</v>
      </c>
      <c r="AC525" s="66">
        <f t="shared" si="2"/>
        <v>11</v>
      </c>
      <c r="AD525" s="62">
        <f>AC525*Variables!$E$41</f>
        <v>5913600</v>
      </c>
      <c r="AE525" s="71">
        <f>ROUND((H525/(3.14*Variables!$C$35^2)),0)</f>
        <v>98</v>
      </c>
      <c r="AF525" s="57">
        <f t="shared" si="14"/>
        <v>98</v>
      </c>
      <c r="AG525" s="57">
        <f t="shared" si="3"/>
        <v>0</v>
      </c>
      <c r="AH525" s="58">
        <f>AG525*Variables!$E$42*Variables!$C$18</f>
        <v>0</v>
      </c>
      <c r="AI525" s="73">
        <f t="shared" si="4"/>
        <v>6</v>
      </c>
      <c r="AJ525" s="66">
        <f t="shared" si="15"/>
        <v>6</v>
      </c>
      <c r="AK525" s="66">
        <f t="shared" si="5"/>
        <v>0</v>
      </c>
      <c r="AL525" s="62">
        <f>IF(AK525*Variables!$E$43*Variables!$C$18&lt;0,0,AK525*Variables!$E$43*Variables!$C$18)</f>
        <v>0</v>
      </c>
      <c r="AM525" s="58">
        <f>AA525*Variables!$E$39*Variables!$C$18</f>
        <v>219324333.92185143</v>
      </c>
      <c r="AN525" s="1"/>
      <c r="AO525" s="76">
        <f t="shared" si="16"/>
        <v>0.71399999999999997</v>
      </c>
      <c r="AP525" s="76">
        <f t="shared" si="6"/>
        <v>119.59411429355686</v>
      </c>
      <c r="AQ525" s="75">
        <f>VLOOKUP(B525,'Household Information'!$B$2:$E$48,4,FALSE)</f>
        <v>61.2</v>
      </c>
      <c r="AR525" s="79">
        <f>IF(12*(AP525-Variables!$C$45*AQ525*F525)*(G525/5)&lt;0,0,12*(AP525-Variables!$C$45*AQ525*F525)*(G525/5))</f>
        <v>51080421.825548671</v>
      </c>
      <c r="AS525" s="1"/>
      <c r="AT525" s="62">
        <v>0</v>
      </c>
      <c r="AU525" s="1"/>
    </row>
    <row r="526" spans="1:47" ht="14.25" customHeight="1">
      <c r="A526" s="1">
        <v>6</v>
      </c>
      <c r="B526" s="3" t="s">
        <v>106</v>
      </c>
      <c r="C526" s="1">
        <v>2030</v>
      </c>
      <c r="D526" s="13">
        <f>VLOOKUP(B526,Population!$B$1:$O$48,14,FALSE)</f>
        <v>1061644.3728765827</v>
      </c>
      <c r="E526" s="13" t="str">
        <f t="shared" si="24"/>
        <v>Large</v>
      </c>
      <c r="F526" s="54">
        <f>VLOOKUP(B526,'Household Information'!$B$1:$E$48,2,FALSE)</f>
        <v>3.0151582035627214</v>
      </c>
      <c r="G526" s="54">
        <f t="shared" si="0"/>
        <v>352102.37778639275</v>
      </c>
      <c r="H526" s="55">
        <f>IF(D526&gt;Variables!$C$6,H479,H479*(1+Variables!$C$9))</f>
        <v>116.91803899999999</v>
      </c>
      <c r="I526" s="1"/>
      <c r="J526" s="13">
        <f>H526*Variables!$C$21</f>
        <v>2104.5247019999997</v>
      </c>
      <c r="K526" s="13">
        <f t="shared" si="12"/>
        <v>2104.5247019999997</v>
      </c>
      <c r="L526" s="54">
        <f t="shared" si="1"/>
        <v>0</v>
      </c>
      <c r="M526" s="56"/>
      <c r="N526" s="57"/>
      <c r="O526" s="57"/>
      <c r="P526" s="57"/>
      <c r="Q526" s="57"/>
      <c r="R526" s="57"/>
      <c r="S526" s="58">
        <v>0</v>
      </c>
      <c r="T526" s="59">
        <f>$L526*Variables!$C$22/100</f>
        <v>0</v>
      </c>
      <c r="U526" s="59">
        <f>$L526*Variables!$C$23/100</f>
        <v>0</v>
      </c>
      <c r="V526" s="59">
        <f>$L526*Variables!$C$24/100</f>
        <v>0</v>
      </c>
      <c r="W526" s="59">
        <f>$L526*Variables!$C$25/100</f>
        <v>0</v>
      </c>
      <c r="X526" s="62">
        <f>T526*Variables!$E$26*Variables!$C$18+'Cost Calculations'!U526*Variables!$E$27*Variables!$C$18+'Cost Calculations'!V526*Variables!$E$28*Variables!$C$18+W526*Variables!$E$29*Variables!$C$18</f>
        <v>0</v>
      </c>
      <c r="Y526" s="58">
        <f>J526*Variables!$E$30</f>
        <v>1378463.6798099999</v>
      </c>
      <c r="Z526" s="1"/>
      <c r="AA526" s="245">
        <f>D526*(IF(D526&lt;Variables!$C$7,Variables!$C$38,IF(D526&gt;Variables!$C$6,Variables!$C$36,Variables!$C$37)))</f>
        <v>1273.9732474518992</v>
      </c>
      <c r="AB526" s="64">
        <f t="shared" si="13"/>
        <v>1255</v>
      </c>
      <c r="AC526" s="66">
        <f t="shared" si="2"/>
        <v>19</v>
      </c>
      <c r="AD526" s="62">
        <f>AC526*Variables!$E$41</f>
        <v>10214400</v>
      </c>
      <c r="AE526" s="71">
        <f>ROUND((H526/(3.14*Variables!$C$35^2)),0)</f>
        <v>149</v>
      </c>
      <c r="AF526" s="57">
        <f t="shared" si="14"/>
        <v>149</v>
      </c>
      <c r="AG526" s="57">
        <f t="shared" si="3"/>
        <v>0</v>
      </c>
      <c r="AH526" s="58">
        <f>AG526*Variables!$E$42*Variables!$C$18</f>
        <v>0</v>
      </c>
      <c r="AI526" s="73">
        <f t="shared" si="4"/>
        <v>11</v>
      </c>
      <c r="AJ526" s="66">
        <f t="shared" si="15"/>
        <v>10</v>
      </c>
      <c r="AK526" s="66">
        <f t="shared" si="5"/>
        <v>1</v>
      </c>
      <c r="AL526" s="62">
        <f>IF(AK526*Variables!$E$43*Variables!$C$18&lt;0,0,AK526*Variables!$E$43*Variables!$C$18)</f>
        <v>945381.49199999997</v>
      </c>
      <c r="AM526" s="58">
        <f>AA526*Variables!$E$39*Variables!$C$18</f>
        <v>368244915.91943407</v>
      </c>
      <c r="AN526" s="1"/>
      <c r="AO526" s="76">
        <f t="shared" si="16"/>
        <v>0.68340000000000001</v>
      </c>
      <c r="AP526" s="76">
        <f t="shared" si="6"/>
        <v>123.63354697888582</v>
      </c>
      <c r="AQ526" s="75">
        <f>VLOOKUP(B526,'Household Information'!$B$2:$E$48,4,FALSE)</f>
        <v>55.55</v>
      </c>
      <c r="AR526" s="79">
        <f>IF(12*(AP526-Variables!$C$45*AQ526*F526)*(G526/5)&lt;0,0,12*(AP526-Variables!$C$45*AQ526*F526)*(G526/5))</f>
        <v>83245233.908249438</v>
      </c>
      <c r="AS526" s="1"/>
      <c r="AT526" s="62">
        <v>0</v>
      </c>
      <c r="AU526" s="1"/>
    </row>
    <row r="527" spans="1:47" ht="14.25" customHeight="1">
      <c r="A527" s="1">
        <v>7</v>
      </c>
      <c r="B527" s="3" t="s">
        <v>107</v>
      </c>
      <c r="C527" s="1">
        <v>2030</v>
      </c>
      <c r="D527" s="13">
        <f>VLOOKUP(B527,Population!$B$1:$O$48,14,FALSE)</f>
        <v>752538.81577228953</v>
      </c>
      <c r="E527" s="13" t="str">
        <f t="shared" si="24"/>
        <v>Medium</v>
      </c>
      <c r="F527" s="54">
        <f>VLOOKUP(B527,'Household Information'!$B$1:$E$48,2,FALSE)</f>
        <v>2.7144187891908675</v>
      </c>
      <c r="G527" s="54">
        <f t="shared" si="0"/>
        <v>277237.5503621574</v>
      </c>
      <c r="H527" s="55">
        <f>IF(D527&gt;Variables!$C$6,H480,H480*(1+Variables!$C$9))</f>
        <v>92.766498999999996</v>
      </c>
      <c r="I527" s="1"/>
      <c r="J527" s="13">
        <f>H527*Variables!$C$21</f>
        <v>1669.7969819999998</v>
      </c>
      <c r="K527" s="13">
        <f t="shared" si="12"/>
        <v>1669.7969819999998</v>
      </c>
      <c r="L527" s="54">
        <f t="shared" si="1"/>
        <v>0</v>
      </c>
      <c r="M527" s="56"/>
      <c r="N527" s="57"/>
      <c r="O527" s="57"/>
      <c r="P527" s="57"/>
      <c r="Q527" s="57"/>
      <c r="R527" s="57"/>
      <c r="S527" s="58">
        <v>0</v>
      </c>
      <c r="T527" s="59">
        <f>$L527*Variables!$C$22/100</f>
        <v>0</v>
      </c>
      <c r="U527" s="59">
        <f>$L527*Variables!$C$23/100</f>
        <v>0</v>
      </c>
      <c r="V527" s="59">
        <f>$L527*Variables!$C$24/100</f>
        <v>0</v>
      </c>
      <c r="W527" s="59">
        <f>$L527*Variables!$C$25/100</f>
        <v>0</v>
      </c>
      <c r="X527" s="62">
        <f>T527*Variables!$E$26*Variables!$C$18+'Cost Calculations'!U527*Variables!$E$27*Variables!$C$18+'Cost Calculations'!V527*Variables!$E$28*Variables!$C$18+W527*Variables!$E$29*Variables!$C$18</f>
        <v>0</v>
      </c>
      <c r="Y527" s="58">
        <f>J527*Variables!$E$30</f>
        <v>1093717.0232099998</v>
      </c>
      <c r="Z527" s="1"/>
      <c r="AA527" s="245">
        <f>D527*(IF(D527&lt;Variables!$C$7,Variables!$C$38,IF(D527&gt;Variables!$C$6,Variables!$C$36,Variables!$C$37)))</f>
        <v>903.04657892674732</v>
      </c>
      <c r="AB527" s="64">
        <f t="shared" si="13"/>
        <v>890</v>
      </c>
      <c r="AC527" s="66">
        <f t="shared" si="2"/>
        <v>13</v>
      </c>
      <c r="AD527" s="62">
        <f>AC527*Variables!$E$41</f>
        <v>6988800</v>
      </c>
      <c r="AE527" s="71">
        <f>ROUND((H527/(3.14*Variables!$C$35^2)),0)</f>
        <v>118</v>
      </c>
      <c r="AF527" s="57">
        <f t="shared" si="14"/>
        <v>118</v>
      </c>
      <c r="AG527" s="57">
        <f t="shared" si="3"/>
        <v>0</v>
      </c>
      <c r="AH527" s="58">
        <f>AG527*Variables!$E$42*Variables!$C$18</f>
        <v>0</v>
      </c>
      <c r="AI527" s="73">
        <f t="shared" si="4"/>
        <v>8</v>
      </c>
      <c r="AJ527" s="66">
        <f t="shared" si="15"/>
        <v>7</v>
      </c>
      <c r="AK527" s="66">
        <f t="shared" si="5"/>
        <v>1</v>
      </c>
      <c r="AL527" s="62">
        <f>IF(AK527*Variables!$E$43*Variables!$C$18&lt;0,0,AK527*Variables!$E$43*Variables!$C$18)</f>
        <v>945381.49199999997</v>
      </c>
      <c r="AM527" s="58">
        <f>AA527*Variables!$E$39*Variables!$C$18</f>
        <v>261027703.83392084</v>
      </c>
      <c r="AN527" s="1"/>
      <c r="AO527" s="76">
        <f t="shared" si="16"/>
        <v>0.67714285714285716</v>
      </c>
      <c r="AP527" s="76">
        <f t="shared" si="6"/>
        <v>110.28295766369753</v>
      </c>
      <c r="AQ527" s="75">
        <f>VLOOKUP(B527,'Household Information'!$B$2:$E$48,4,FALSE)</f>
        <v>59.47</v>
      </c>
      <c r="AR527" s="79">
        <f>IF(12*(AP527-Variables!$C$45*AQ527*F527)*(G527/5)&lt;0,0,12*(AP527-Variables!$C$45*AQ527*F527)*(G527/5))</f>
        <v>57267730.85587275</v>
      </c>
      <c r="AS527" s="1"/>
      <c r="AT527" s="62">
        <v>0</v>
      </c>
      <c r="AU527" s="1"/>
    </row>
    <row r="528" spans="1:47" ht="14.25" customHeight="1">
      <c r="A528" s="1">
        <v>8</v>
      </c>
      <c r="B528" s="3" t="s">
        <v>108</v>
      </c>
      <c r="C528" s="1">
        <v>2030</v>
      </c>
      <c r="D528" s="13">
        <f>VLOOKUP(B528,Population!$B$1:$O$48,14,FALSE)</f>
        <v>489808.89630264632</v>
      </c>
      <c r="E528" s="13" t="str">
        <f t="shared" si="24"/>
        <v>Medium</v>
      </c>
      <c r="F528" s="54">
        <f>VLOOKUP(B528,'Household Information'!$B$1:$E$48,2,FALSE)</f>
        <v>2.3617684870776379</v>
      </c>
      <c r="G528" s="54">
        <f t="shared" si="0"/>
        <v>207390.73240354611</v>
      </c>
      <c r="H528" s="55">
        <f>IF(D528&gt;Variables!$C$6,H481,H481*(1+Variables!$C$9))</f>
        <v>39.199250999999997</v>
      </c>
      <c r="I528" s="1"/>
      <c r="J528" s="13">
        <f>H528*Variables!$C$21</f>
        <v>705.58651799999996</v>
      </c>
      <c r="K528" s="13">
        <f t="shared" si="12"/>
        <v>705.58651799999996</v>
      </c>
      <c r="L528" s="54">
        <f t="shared" si="1"/>
        <v>0</v>
      </c>
      <c r="M528" s="56"/>
      <c r="N528" s="57"/>
      <c r="O528" s="57"/>
      <c r="P528" s="57"/>
      <c r="Q528" s="57"/>
      <c r="R528" s="57"/>
      <c r="S528" s="58">
        <v>0</v>
      </c>
      <c r="T528" s="59">
        <f>$L528*Variables!$C$22/100</f>
        <v>0</v>
      </c>
      <c r="U528" s="59">
        <f>$L528*Variables!$C$23/100</f>
        <v>0</v>
      </c>
      <c r="V528" s="59">
        <f>$L528*Variables!$C$24/100</f>
        <v>0</v>
      </c>
      <c r="W528" s="59">
        <f>$L528*Variables!$C$25/100</f>
        <v>0</v>
      </c>
      <c r="X528" s="62">
        <f>T528*Variables!$E$26*Variables!$C$18+'Cost Calculations'!U528*Variables!$E$27*Variables!$C$18+'Cost Calculations'!V528*Variables!$E$28*Variables!$C$18+W528*Variables!$E$29*Variables!$C$18</f>
        <v>0</v>
      </c>
      <c r="Y528" s="58">
        <f>J528*Variables!$E$30</f>
        <v>462159.16928999999</v>
      </c>
      <c r="Z528" s="1"/>
      <c r="AA528" s="245">
        <f>D528*(IF(D528&lt;Variables!$C$7,Variables!$C$38,IF(D528&gt;Variables!$C$6,Variables!$C$36,Variables!$C$37)))</f>
        <v>587.77067556317547</v>
      </c>
      <c r="AB528" s="64">
        <f t="shared" si="13"/>
        <v>978</v>
      </c>
      <c r="AC528" s="66">
        <f t="shared" si="2"/>
        <v>0</v>
      </c>
      <c r="AD528" s="62">
        <f>AC528*Variables!$E$41</f>
        <v>0</v>
      </c>
      <c r="AE528" s="71">
        <f>ROUND((H528/(3.14*Variables!$C$35^2)),0)</f>
        <v>50</v>
      </c>
      <c r="AF528" s="57">
        <f t="shared" si="14"/>
        <v>50</v>
      </c>
      <c r="AG528" s="57">
        <f t="shared" si="3"/>
        <v>0</v>
      </c>
      <c r="AH528" s="58">
        <f>AG528*Variables!$E$42*Variables!$C$18</f>
        <v>0</v>
      </c>
      <c r="AI528" s="73">
        <f t="shared" si="4"/>
        <v>5</v>
      </c>
      <c r="AJ528" s="66">
        <f t="shared" si="15"/>
        <v>5</v>
      </c>
      <c r="AK528" s="66">
        <f t="shared" si="5"/>
        <v>0</v>
      </c>
      <c r="AL528" s="62">
        <f>IF(AK528*Variables!$E$43*Variables!$C$18&lt;0,0,AK528*Variables!$E$43*Variables!$C$18)</f>
        <v>0</v>
      </c>
      <c r="AM528" s="58">
        <f>AA528*Variables!$E$39*Variables!$C$18</f>
        <v>169896474.22784102</v>
      </c>
      <c r="AN528" s="1"/>
      <c r="AO528" s="76">
        <f t="shared" si="16"/>
        <v>0.61199999999999999</v>
      </c>
      <c r="AP528" s="76">
        <f t="shared" si="6"/>
        <v>86.724138845490856</v>
      </c>
      <c r="AQ528" s="75">
        <f>VLOOKUP(B528,'Household Information'!$B$2:$E$48,4,FALSE)</f>
        <v>75.66</v>
      </c>
      <c r="AR528" s="79">
        <f>IF(12*(AP528-Variables!$C$45*AQ528*F528)*(G528/5)&lt;0,0,12*(AP528-Variables!$C$45*AQ528*F528)*(G528/5))</f>
        <v>29824659.619426657</v>
      </c>
      <c r="AS528" s="1"/>
      <c r="AT528" s="62">
        <v>0</v>
      </c>
      <c r="AU528" s="1"/>
    </row>
    <row r="529" spans="1:47" ht="14.25" customHeight="1">
      <c r="A529" s="1">
        <v>9</v>
      </c>
      <c r="B529" s="3" t="s">
        <v>109</v>
      </c>
      <c r="C529" s="1">
        <v>2030</v>
      </c>
      <c r="D529" s="13">
        <f>VLOOKUP(B529,Population!$B$1:$O$48,14,FALSE)</f>
        <v>573720.96643033111</v>
      </c>
      <c r="E529" s="13" t="str">
        <f t="shared" si="24"/>
        <v>Medium</v>
      </c>
      <c r="F529" s="54">
        <f>VLOOKUP(B529,'Household Information'!$B$1:$E$48,2,FALSE)</f>
        <v>2.7429262269780841</v>
      </c>
      <c r="G529" s="54">
        <f t="shared" si="0"/>
        <v>209163.83415182357</v>
      </c>
      <c r="H529" s="55">
        <f>IF(D529&gt;Variables!$C$6,H482,H482*(1+Variables!$C$9))</f>
        <v>47.234957999999992</v>
      </c>
      <c r="I529" s="1"/>
      <c r="J529" s="13">
        <f>H529*Variables!$C$21</f>
        <v>850.22924399999988</v>
      </c>
      <c r="K529" s="13">
        <f t="shared" si="12"/>
        <v>850.22924399999988</v>
      </c>
      <c r="L529" s="54">
        <f t="shared" si="1"/>
        <v>0</v>
      </c>
      <c r="M529" s="56"/>
      <c r="N529" s="57"/>
      <c r="O529" s="57"/>
      <c r="P529" s="57"/>
      <c r="Q529" s="57"/>
      <c r="R529" s="57"/>
      <c r="S529" s="58">
        <v>0</v>
      </c>
      <c r="T529" s="59">
        <f>$L529*Variables!$C$22/100</f>
        <v>0</v>
      </c>
      <c r="U529" s="59">
        <f>$L529*Variables!$C$23/100</f>
        <v>0</v>
      </c>
      <c r="V529" s="59">
        <f>$L529*Variables!$C$24/100</f>
        <v>0</v>
      </c>
      <c r="W529" s="59">
        <f>$L529*Variables!$C$25/100</f>
        <v>0</v>
      </c>
      <c r="X529" s="62">
        <f>T529*Variables!$E$26*Variables!$C$18+'Cost Calculations'!U529*Variables!$E$27*Variables!$C$18+'Cost Calculations'!V529*Variables!$E$28*Variables!$C$18+W529*Variables!$E$29*Variables!$C$18</f>
        <v>0</v>
      </c>
      <c r="Y529" s="58">
        <f>J529*Variables!$E$30</f>
        <v>556900.15481999994</v>
      </c>
      <c r="Z529" s="1"/>
      <c r="AA529" s="245">
        <f>D529*(IF(D529&lt;Variables!$C$7,Variables!$C$38,IF(D529&gt;Variables!$C$6,Variables!$C$36,Variables!$C$37)))</f>
        <v>688.46515971639724</v>
      </c>
      <c r="AB529" s="64">
        <f t="shared" si="13"/>
        <v>678</v>
      </c>
      <c r="AC529" s="66">
        <f t="shared" si="2"/>
        <v>10</v>
      </c>
      <c r="AD529" s="62">
        <f>AC529*Variables!$E$41</f>
        <v>5376000</v>
      </c>
      <c r="AE529" s="71">
        <f>ROUND((H529/(3.14*Variables!$C$35^2)),0)</f>
        <v>60</v>
      </c>
      <c r="AF529" s="57">
        <f t="shared" si="14"/>
        <v>60</v>
      </c>
      <c r="AG529" s="57">
        <f t="shared" si="3"/>
        <v>0</v>
      </c>
      <c r="AH529" s="58">
        <f>AG529*Variables!$E$42*Variables!$C$18</f>
        <v>0</v>
      </c>
      <c r="AI529" s="73">
        <f t="shared" si="4"/>
        <v>6</v>
      </c>
      <c r="AJ529" s="66">
        <f t="shared" si="15"/>
        <v>6</v>
      </c>
      <c r="AK529" s="66">
        <f t="shared" si="5"/>
        <v>0</v>
      </c>
      <c r="AL529" s="62">
        <f>IF(AK529*Variables!$E$43*Variables!$C$18&lt;0,0,AK529*Variables!$E$43*Variables!$C$18)</f>
        <v>0</v>
      </c>
      <c r="AM529" s="58">
        <f>AA529*Variables!$E$39*Variables!$C$18</f>
        <v>199002447.94017673</v>
      </c>
      <c r="AN529" s="1"/>
      <c r="AO529" s="76">
        <f t="shared" si="16"/>
        <v>0.67714285714285716</v>
      </c>
      <c r="AP529" s="76">
        <f t="shared" si="6"/>
        <v>111.44117413608102</v>
      </c>
      <c r="AQ529" s="75">
        <f>VLOOKUP(B529,'Household Information'!$B$2:$E$48,4,FALSE)</f>
        <v>65.935833333333335</v>
      </c>
      <c r="AR529" s="79">
        <f>IF(12*(AP529-Variables!$C$45*AQ529*F529)*(G529/5)&lt;0,0,12*(AP529-Variables!$C$45*AQ529*F529)*(G529/5))</f>
        <v>42324354.627180852</v>
      </c>
      <c r="AS529" s="1"/>
      <c r="AT529" s="62">
        <v>0</v>
      </c>
      <c r="AU529" s="1"/>
    </row>
    <row r="530" spans="1:47" ht="14.25" customHeight="1">
      <c r="A530" s="1">
        <v>10</v>
      </c>
      <c r="B530" s="3" t="s">
        <v>110</v>
      </c>
      <c r="C530" s="1">
        <v>2030</v>
      </c>
      <c r="D530" s="13">
        <f>VLOOKUP(B530,Population!$B$1:$O$48,14,FALSE)</f>
        <v>598629.27979638928</v>
      </c>
      <c r="E530" s="13" t="str">
        <f t="shared" si="24"/>
        <v>Medium</v>
      </c>
      <c r="F530" s="54">
        <f>VLOOKUP(B530,'Household Information'!$B$1:$E$48,2,FALSE)</f>
        <v>2.5116430728482135</v>
      </c>
      <c r="G530" s="54">
        <f t="shared" si="0"/>
        <v>238341.70000817082</v>
      </c>
      <c r="H530" s="55">
        <f>IF(D530&gt;Variables!$C$6,H483,H483*(1+Variables!$C$9))</f>
        <v>27.319750999999997</v>
      </c>
      <c r="I530" s="1"/>
      <c r="J530" s="13">
        <f>H530*Variables!$C$21</f>
        <v>491.75551799999994</v>
      </c>
      <c r="K530" s="13">
        <f t="shared" si="12"/>
        <v>491.75551799999994</v>
      </c>
      <c r="L530" s="54">
        <f t="shared" si="1"/>
        <v>0</v>
      </c>
      <c r="M530" s="56"/>
      <c r="N530" s="57"/>
      <c r="O530" s="57"/>
      <c r="P530" s="57"/>
      <c r="Q530" s="57"/>
      <c r="R530" s="57"/>
      <c r="S530" s="58">
        <v>0</v>
      </c>
      <c r="T530" s="59">
        <f>$L530*Variables!$C$22/100</f>
        <v>0</v>
      </c>
      <c r="U530" s="59">
        <f>$L530*Variables!$C$23/100</f>
        <v>0</v>
      </c>
      <c r="V530" s="59">
        <f>$L530*Variables!$C$24/100</f>
        <v>0</v>
      </c>
      <c r="W530" s="59">
        <f>$L530*Variables!$C$25/100</f>
        <v>0</v>
      </c>
      <c r="X530" s="62">
        <f>T530*Variables!$E$26*Variables!$C$18+'Cost Calculations'!U530*Variables!$E$27*Variables!$C$18+'Cost Calculations'!V530*Variables!$E$28*Variables!$C$18+W530*Variables!$E$29*Variables!$C$18</f>
        <v>0</v>
      </c>
      <c r="Y530" s="58">
        <f>J530*Variables!$E$30</f>
        <v>322099.86428999994</v>
      </c>
      <c r="Z530" s="1"/>
      <c r="AA530" s="245">
        <f>D530*(IF(D530&lt;Variables!$C$7,Variables!$C$38,IF(D530&gt;Variables!$C$6,Variables!$C$36,Variables!$C$37)))</f>
        <v>718.35513575566711</v>
      </c>
      <c r="AB530" s="64">
        <f t="shared" si="13"/>
        <v>708</v>
      </c>
      <c r="AC530" s="66">
        <f t="shared" si="2"/>
        <v>10</v>
      </c>
      <c r="AD530" s="62">
        <f>AC530*Variables!$E$41</f>
        <v>5376000</v>
      </c>
      <c r="AE530" s="71">
        <f>ROUND((H530/(3.14*Variables!$C$35^2)),0)</f>
        <v>35</v>
      </c>
      <c r="AF530" s="57">
        <f t="shared" si="14"/>
        <v>35</v>
      </c>
      <c r="AG530" s="57">
        <f t="shared" si="3"/>
        <v>0</v>
      </c>
      <c r="AH530" s="58">
        <f>AG530*Variables!$E$42*Variables!$C$18</f>
        <v>0</v>
      </c>
      <c r="AI530" s="73">
        <f t="shared" si="4"/>
        <v>6</v>
      </c>
      <c r="AJ530" s="66">
        <f t="shared" si="15"/>
        <v>6</v>
      </c>
      <c r="AK530" s="66">
        <f t="shared" si="5"/>
        <v>0</v>
      </c>
      <c r="AL530" s="62">
        <f>IF(AK530*Variables!$E$43*Variables!$C$18&lt;0,0,AK530*Variables!$E$43*Variables!$C$18)</f>
        <v>0</v>
      </c>
      <c r="AM530" s="58">
        <f>AA530*Variables!$E$39*Variables!$C$18</f>
        <v>207642214.69778317</v>
      </c>
      <c r="AN530" s="1"/>
      <c r="AO530" s="76">
        <f t="shared" si="16"/>
        <v>0.67714285714285716</v>
      </c>
      <c r="AP530" s="76">
        <f t="shared" si="6"/>
        <v>102.04446998829027</v>
      </c>
      <c r="AQ530" s="75">
        <f>VLOOKUP(B530,'Household Information'!$B$2:$E$48,4,FALSE)</f>
        <v>62.81</v>
      </c>
      <c r="AR530" s="79">
        <f>IF(12*(AP530-Variables!$C$45*AQ530*F530)*(G530/5)&lt;0,0,12*(AP530-Variables!$C$45*AQ530*F530)*(G530/5))</f>
        <v>44835520.065216459</v>
      </c>
      <c r="AS530" s="1"/>
      <c r="AT530" s="62">
        <v>0</v>
      </c>
      <c r="AU530" s="1"/>
    </row>
    <row r="531" spans="1:47" ht="14.25" customHeight="1">
      <c r="A531" s="1">
        <v>11</v>
      </c>
      <c r="B531" s="3" t="s">
        <v>125</v>
      </c>
      <c r="C531" s="1">
        <v>2030</v>
      </c>
      <c r="D531" s="13">
        <f>VLOOKUP(B531,Population!$B$1:$O$48,14,FALSE)</f>
        <v>421247.36787835619</v>
      </c>
      <c r="E531" s="13" t="str">
        <f t="shared" si="24"/>
        <v>Medium</v>
      </c>
      <c r="F531" s="54">
        <f>VLOOKUP(B531,'Household Information'!$B$1:$E$48,2,FALSE)</f>
        <v>2.693850400263019</v>
      </c>
      <c r="G531" s="54">
        <f t="shared" si="0"/>
        <v>156373.70502728247</v>
      </c>
      <c r="H531" s="55">
        <f>IF(D531&gt;Variables!$C$6,H484,H484*(1+Variables!$C$9))</f>
        <v>28.674206300180991</v>
      </c>
      <c r="I531" s="1"/>
      <c r="J531" s="13">
        <f>H531*Variables!$C$21</f>
        <v>516.1357134032578</v>
      </c>
      <c r="K531" s="13">
        <f t="shared" si="12"/>
        <v>516.1357134032578</v>
      </c>
      <c r="L531" s="54">
        <f t="shared" si="1"/>
        <v>0</v>
      </c>
      <c r="M531" s="56"/>
      <c r="N531" s="57"/>
      <c r="O531" s="57"/>
      <c r="P531" s="57"/>
      <c r="Q531" s="57"/>
      <c r="R531" s="57"/>
      <c r="S531" s="58">
        <v>0</v>
      </c>
      <c r="T531" s="59">
        <f>$L531*Variables!$C$22/100</f>
        <v>0</v>
      </c>
      <c r="U531" s="59">
        <f>$L531*Variables!$C$23/100</f>
        <v>0</v>
      </c>
      <c r="V531" s="59">
        <f>$L531*Variables!$C$24/100</f>
        <v>0</v>
      </c>
      <c r="W531" s="59">
        <f>$L531*Variables!$C$25/100</f>
        <v>0</v>
      </c>
      <c r="X531" s="62">
        <f>T531*Variables!$E$26*Variables!$C$18+'Cost Calculations'!U531*Variables!$E$27*Variables!$C$18+'Cost Calculations'!V531*Variables!$E$28*Variables!$C$18+W531*Variables!$E$29*Variables!$C$18</f>
        <v>0</v>
      </c>
      <c r="Y531" s="58">
        <f>J531*Variables!$E$30</f>
        <v>338068.89227913384</v>
      </c>
      <c r="Z531" s="1"/>
      <c r="AA531" s="245">
        <f>D531*(IF(D531&lt;Variables!$C$7,Variables!$C$38,IF(D531&gt;Variables!$C$6,Variables!$C$36,Variables!$C$37)))</f>
        <v>505.49684145402739</v>
      </c>
      <c r="AB531" s="64">
        <f t="shared" si="13"/>
        <v>498</v>
      </c>
      <c r="AC531" s="66">
        <f t="shared" si="2"/>
        <v>7</v>
      </c>
      <c r="AD531" s="62">
        <f>AC531*Variables!$E$41</f>
        <v>3763200</v>
      </c>
      <c r="AE531" s="71">
        <f>ROUND((H531/(3.14*Variables!$C$35^2)),0)</f>
        <v>37</v>
      </c>
      <c r="AF531" s="57">
        <f t="shared" si="14"/>
        <v>37</v>
      </c>
      <c r="AG531" s="57">
        <f t="shared" si="3"/>
        <v>0</v>
      </c>
      <c r="AH531" s="58">
        <f>AG531*Variables!$E$42*Variables!$C$18</f>
        <v>0</v>
      </c>
      <c r="AI531" s="73">
        <f t="shared" si="4"/>
        <v>4</v>
      </c>
      <c r="AJ531" s="66">
        <f t="shared" si="15"/>
        <v>4</v>
      </c>
      <c r="AK531" s="66">
        <f t="shared" si="5"/>
        <v>0</v>
      </c>
      <c r="AL531" s="62">
        <f>IF(AK531*Variables!$E$43*Variables!$C$18&lt;0,0,AK531*Variables!$E$43*Variables!$C$18)</f>
        <v>0</v>
      </c>
      <c r="AM531" s="58">
        <f>AA531*Variables!$E$39*Variables!$C$18</f>
        <v>146115032.04725346</v>
      </c>
      <c r="AN531" s="1"/>
      <c r="AO531" s="76">
        <f t="shared" si="16"/>
        <v>0.67714285714285716</v>
      </c>
      <c r="AP531" s="76">
        <f t="shared" si="6"/>
        <v>109.4472934049718</v>
      </c>
      <c r="AQ531" s="75">
        <f>VLOOKUP(B531,'Household Information'!$B$2:$E$48,4,FALSE)</f>
        <v>65.935833333333335</v>
      </c>
      <c r="AR531" s="79">
        <f>IF(12*(AP531-Variables!$C$45*AQ531*F531)*(G531/5)&lt;0,0,12*(AP531-Variables!$C$45*AQ531*F531)*(G531/5))</f>
        <v>31076122.413272642</v>
      </c>
      <c r="AS531" s="1"/>
      <c r="AT531" s="62">
        <v>0</v>
      </c>
      <c r="AU531" s="1"/>
    </row>
    <row r="532" spans="1:47" ht="14.25" customHeight="1">
      <c r="A532" s="1">
        <v>12</v>
      </c>
      <c r="B532" s="3" t="s">
        <v>152</v>
      </c>
      <c r="C532" s="1">
        <v>2030</v>
      </c>
      <c r="D532" s="13">
        <f>VLOOKUP(B532,Population!$B$1:$O$48,14,FALSE)</f>
        <v>478768.55810737051</v>
      </c>
      <c r="E532" s="13" t="str">
        <f t="shared" si="24"/>
        <v>Medium</v>
      </c>
      <c r="F532" s="54">
        <f>VLOOKUP(B532,'Household Information'!$B$1:$E$48,2,FALSE)</f>
        <v>2.5280688906285511</v>
      </c>
      <c r="G532" s="54">
        <f t="shared" si="0"/>
        <v>189381.13588682102</v>
      </c>
      <c r="H532" s="55">
        <f>IF(D532&gt;Variables!$C$6,H485,H485*(1+Variables!$C$9))</f>
        <v>17.374026999999998</v>
      </c>
      <c r="I532" s="1"/>
      <c r="J532" s="13">
        <f>H532*Variables!$C$21</f>
        <v>312.73248599999999</v>
      </c>
      <c r="K532" s="13">
        <f t="shared" si="12"/>
        <v>639</v>
      </c>
      <c r="L532" s="54">
        <f t="shared" si="1"/>
        <v>0</v>
      </c>
      <c r="M532" s="56"/>
      <c r="N532" s="57"/>
      <c r="O532" s="57"/>
      <c r="P532" s="57"/>
      <c r="Q532" s="57"/>
      <c r="R532" s="57"/>
      <c r="S532" s="58">
        <v>0</v>
      </c>
      <c r="T532" s="59">
        <f>$L532*Variables!$C$22/100</f>
        <v>0</v>
      </c>
      <c r="U532" s="59">
        <f>$L532*Variables!$C$23/100</f>
        <v>0</v>
      </c>
      <c r="V532" s="59">
        <f>$L532*Variables!$C$24/100</f>
        <v>0</v>
      </c>
      <c r="W532" s="59">
        <f>$L532*Variables!$C$25/100</f>
        <v>0</v>
      </c>
      <c r="X532" s="62">
        <f>T532*Variables!$E$26*Variables!$C$18+'Cost Calculations'!U532*Variables!$E$27*Variables!$C$18+'Cost Calculations'!V532*Variables!$E$28*Variables!$C$18+W532*Variables!$E$29*Variables!$C$18</f>
        <v>0</v>
      </c>
      <c r="Y532" s="58">
        <f>J532*Variables!$E$30</f>
        <v>204839.77833</v>
      </c>
      <c r="Z532" s="1"/>
      <c r="AA532" s="245">
        <f>D532*(IF(D532&lt;Variables!$C$7,Variables!$C$38,IF(D532&gt;Variables!$C$6,Variables!$C$36,Variables!$C$37)))</f>
        <v>574.52226972884455</v>
      </c>
      <c r="AB532" s="64">
        <f t="shared" si="13"/>
        <v>566</v>
      </c>
      <c r="AC532" s="66">
        <f t="shared" si="2"/>
        <v>9</v>
      </c>
      <c r="AD532" s="62">
        <f>AC532*Variables!$E$41</f>
        <v>4838400</v>
      </c>
      <c r="AE532" s="71">
        <f>ROUND((H532/(3.14*Variables!$C$35^2)),0)</f>
        <v>22</v>
      </c>
      <c r="AF532" s="57">
        <f t="shared" si="14"/>
        <v>22</v>
      </c>
      <c r="AG532" s="57">
        <f t="shared" si="3"/>
        <v>0</v>
      </c>
      <c r="AH532" s="58">
        <f>AG532*Variables!$E$42*Variables!$C$18</f>
        <v>0</v>
      </c>
      <c r="AI532" s="73">
        <f t="shared" si="4"/>
        <v>5</v>
      </c>
      <c r="AJ532" s="66">
        <f t="shared" si="15"/>
        <v>5</v>
      </c>
      <c r="AK532" s="66">
        <f t="shared" si="5"/>
        <v>0</v>
      </c>
      <c r="AL532" s="62">
        <f>IF(AK532*Variables!$E$43*Variables!$C$18&lt;0,0,AK532*Variables!$E$43*Variables!$C$18)</f>
        <v>0</v>
      </c>
      <c r="AM532" s="58">
        <f>AA532*Variables!$E$39*Variables!$C$18</f>
        <v>166066991.85661569</v>
      </c>
      <c r="AN532" s="1"/>
      <c r="AO532" s="76">
        <f t="shared" si="16"/>
        <v>0.67714285714285716</v>
      </c>
      <c r="AP532" s="76">
        <f t="shared" si="6"/>
        <v>102.71182749925141</v>
      </c>
      <c r="AQ532" s="75">
        <f>VLOOKUP(B532,'Household Information'!$B$2:$E$48,4,FALSE)</f>
        <v>89.08</v>
      </c>
      <c r="AR532" s="79">
        <f>IF(12*(AP532-Variables!$C$45*AQ532*F532)*(G532/5)&lt;0,0,12*(AP532-Variables!$C$45*AQ532*F532)*(G532/5))</f>
        <v>31330505.00973304</v>
      </c>
      <c r="AS532" s="1"/>
      <c r="AT532" s="62">
        <v>0</v>
      </c>
      <c r="AU532" s="1"/>
    </row>
    <row r="533" spans="1:47" ht="14.25" customHeight="1">
      <c r="A533" s="1">
        <v>13</v>
      </c>
      <c r="B533" s="3" t="s">
        <v>181</v>
      </c>
      <c r="C533" s="1">
        <v>2030</v>
      </c>
      <c r="D533" s="13">
        <f>VLOOKUP(B533,Population!$B$1:$O$48,14,FALSE)</f>
        <v>539477.26638150134</v>
      </c>
      <c r="E533" s="13" t="str">
        <f t="shared" si="24"/>
        <v>Medium</v>
      </c>
      <c r="F533" s="54">
        <f>VLOOKUP(B533,'Household Information'!$B$1:$E$48,2,FALSE)</f>
        <v>2.4075040417460345</v>
      </c>
      <c r="G533" s="54">
        <f t="shared" si="0"/>
        <v>224081.56207714908</v>
      </c>
      <c r="H533" s="55">
        <f>IF(D533&gt;Variables!$C$6,H486,H486*(1+Variables!$C$9))</f>
        <v>82.9</v>
      </c>
      <c r="I533" s="1"/>
      <c r="J533" s="13">
        <f>H533*Variables!$C$21</f>
        <v>1492.2</v>
      </c>
      <c r="K533" s="13">
        <f t="shared" si="12"/>
        <v>1492.2</v>
      </c>
      <c r="L533" s="54">
        <f t="shared" si="1"/>
        <v>0</v>
      </c>
      <c r="M533" s="56"/>
      <c r="N533" s="57"/>
      <c r="O533" s="57"/>
      <c r="P533" s="57"/>
      <c r="Q533" s="57"/>
      <c r="R533" s="57"/>
      <c r="S533" s="58">
        <v>0</v>
      </c>
      <c r="T533" s="59">
        <f>$L533*Variables!$C$22/100</f>
        <v>0</v>
      </c>
      <c r="U533" s="59">
        <f>$L533*Variables!$C$23/100</f>
        <v>0</v>
      </c>
      <c r="V533" s="59">
        <f>$L533*Variables!$C$24/100</f>
        <v>0</v>
      </c>
      <c r="W533" s="59">
        <f>$L533*Variables!$C$25/100</f>
        <v>0</v>
      </c>
      <c r="X533" s="62">
        <f>T533*Variables!$E$26*Variables!$C$18+'Cost Calculations'!U533*Variables!$E$27*Variables!$C$18+'Cost Calculations'!V533*Variables!$E$28*Variables!$C$18+W533*Variables!$E$29*Variables!$C$18</f>
        <v>0</v>
      </c>
      <c r="Y533" s="58">
        <f>J533*Variables!$E$30</f>
        <v>977391</v>
      </c>
      <c r="Z533" s="1"/>
      <c r="AA533" s="245">
        <f>D533*(IF(D533&lt;Variables!$C$7,Variables!$C$38,IF(D533&gt;Variables!$C$6,Variables!$C$36,Variables!$C$37)))</f>
        <v>647.37271965780155</v>
      </c>
      <c r="AB533" s="64">
        <f t="shared" si="13"/>
        <v>638</v>
      </c>
      <c r="AC533" s="66">
        <f t="shared" si="2"/>
        <v>9</v>
      </c>
      <c r="AD533" s="62">
        <f>AC533*Variables!$E$41</f>
        <v>4838400</v>
      </c>
      <c r="AE533" s="71">
        <f>ROUND((H533/(3.14*Variables!$C$35^2)),0)</f>
        <v>106</v>
      </c>
      <c r="AF533" s="57">
        <f t="shared" si="14"/>
        <v>106</v>
      </c>
      <c r="AG533" s="57">
        <f t="shared" si="3"/>
        <v>0</v>
      </c>
      <c r="AH533" s="58">
        <f>AG533*Variables!$E$42*Variables!$C$18</f>
        <v>0</v>
      </c>
      <c r="AI533" s="73">
        <f t="shared" si="4"/>
        <v>5</v>
      </c>
      <c r="AJ533" s="66">
        <f t="shared" si="15"/>
        <v>5</v>
      </c>
      <c r="AK533" s="66">
        <f t="shared" si="5"/>
        <v>0</v>
      </c>
      <c r="AL533" s="62">
        <f>IF(AK533*Variables!$E$43*Variables!$C$18&lt;0,0,AK533*Variables!$E$43*Variables!$C$18)</f>
        <v>0</v>
      </c>
      <c r="AM533" s="58">
        <f>AA533*Variables!$E$39*Variables!$C$18</f>
        <v>187124583.02851713</v>
      </c>
      <c r="AN533" s="1"/>
      <c r="AO533" s="76">
        <f t="shared" si="16"/>
        <v>0.67714285714285716</v>
      </c>
      <c r="AP533" s="76">
        <f t="shared" si="6"/>
        <v>97.81344992465317</v>
      </c>
      <c r="AQ533" s="75">
        <f>VLOOKUP(B533,'Household Information'!$B$2:$E$48,4,FALSE)</f>
        <v>71.48</v>
      </c>
      <c r="AR533" s="79">
        <f>IF(12*(AP533-Variables!$C$45*AQ533*F533)*(G533/5)&lt;0,0,12*(AP533-Variables!$C$45*AQ533*F533)*(G533/5))</f>
        <v>38721396.962709181</v>
      </c>
      <c r="AS533" s="1"/>
      <c r="AT533" s="62">
        <v>0</v>
      </c>
      <c r="AU533" s="1"/>
    </row>
    <row r="534" spans="1:47" ht="14.25" customHeight="1">
      <c r="A534" s="1">
        <v>14</v>
      </c>
      <c r="B534" s="3" t="s">
        <v>206</v>
      </c>
      <c r="C534" s="1">
        <v>2030</v>
      </c>
      <c r="D534" s="13">
        <f>VLOOKUP(B534,Population!$B$1:$O$48,14,FALSE)</f>
        <v>376053.00099711021</v>
      </c>
      <c r="E534" s="13" t="str">
        <f t="shared" si="24"/>
        <v>Medium</v>
      </c>
      <c r="F534" s="54">
        <f>VLOOKUP(B534,'Household Information'!$B$1:$E$48,2,FALSE)</f>
        <v>2.4590017825311943</v>
      </c>
      <c r="G534" s="54">
        <f t="shared" si="0"/>
        <v>152929.12907530181</v>
      </c>
      <c r="H534" s="55">
        <f>IF(D534&gt;Variables!$C$6,H487,H487*(1+Variables!$C$9))</f>
        <v>25.496505999999997</v>
      </c>
      <c r="I534" s="1"/>
      <c r="J534" s="13">
        <f>H534*Variables!$C$21</f>
        <v>458.93710799999997</v>
      </c>
      <c r="K534" s="13">
        <f t="shared" si="12"/>
        <v>458.93710799999997</v>
      </c>
      <c r="L534" s="54">
        <f t="shared" si="1"/>
        <v>0</v>
      </c>
      <c r="M534" s="56"/>
      <c r="N534" s="57"/>
      <c r="O534" s="57"/>
      <c r="P534" s="57"/>
      <c r="Q534" s="57"/>
      <c r="R534" s="57"/>
      <c r="S534" s="58">
        <v>0</v>
      </c>
      <c r="T534" s="59">
        <f>$L534*Variables!$C$22/100</f>
        <v>0</v>
      </c>
      <c r="U534" s="59">
        <f>$L534*Variables!$C$23/100</f>
        <v>0</v>
      </c>
      <c r="V534" s="59">
        <f>$L534*Variables!$C$24/100</f>
        <v>0</v>
      </c>
      <c r="W534" s="59">
        <f>$L534*Variables!$C$25/100</f>
        <v>0</v>
      </c>
      <c r="X534" s="62">
        <f>T534*Variables!$E$26*Variables!$C$18+'Cost Calculations'!U534*Variables!$E$27*Variables!$C$18+'Cost Calculations'!V534*Variables!$E$28*Variables!$C$18+W534*Variables!$E$29*Variables!$C$18</f>
        <v>0</v>
      </c>
      <c r="Y534" s="58">
        <f>J534*Variables!$E$30</f>
        <v>300603.80573999998</v>
      </c>
      <c r="Z534" s="1"/>
      <c r="AA534" s="245">
        <f>D534*(IF(D534&lt;Variables!$C$7,Variables!$C$38,IF(D534&gt;Variables!$C$6,Variables!$C$36,Variables!$C$37)))</f>
        <v>451.26360119653219</v>
      </c>
      <c r="AB534" s="64">
        <f t="shared" si="13"/>
        <v>445</v>
      </c>
      <c r="AC534" s="66">
        <f t="shared" si="2"/>
        <v>6</v>
      </c>
      <c r="AD534" s="62">
        <f>AC534*Variables!$E$41</f>
        <v>3225600</v>
      </c>
      <c r="AE534" s="71">
        <f>ROUND((H534/(3.14*Variables!$C$35^2)),0)</f>
        <v>32</v>
      </c>
      <c r="AF534" s="57">
        <f t="shared" si="14"/>
        <v>32</v>
      </c>
      <c r="AG534" s="57">
        <f t="shared" si="3"/>
        <v>0</v>
      </c>
      <c r="AH534" s="58">
        <f>AG534*Variables!$E$42*Variables!$C$18</f>
        <v>0</v>
      </c>
      <c r="AI534" s="73">
        <f t="shared" si="4"/>
        <v>4</v>
      </c>
      <c r="AJ534" s="66">
        <f t="shared" si="15"/>
        <v>4</v>
      </c>
      <c r="AK534" s="66">
        <f t="shared" si="5"/>
        <v>0</v>
      </c>
      <c r="AL534" s="62">
        <f>IF(AK534*Variables!$E$43*Variables!$C$18&lt;0,0,AK534*Variables!$E$43*Variables!$C$18)</f>
        <v>0</v>
      </c>
      <c r="AM534" s="58">
        <f>AA534*Variables!$E$39*Variables!$C$18</f>
        <v>130438788.42235442</v>
      </c>
      <c r="AN534" s="1"/>
      <c r="AO534" s="76">
        <f t="shared" si="16"/>
        <v>0.67714285714285716</v>
      </c>
      <c r="AP534" s="76">
        <f t="shared" si="6"/>
        <v>99.905729564553084</v>
      </c>
      <c r="AQ534" s="75">
        <f>VLOOKUP(B534,'Household Information'!$B$2:$E$48,4,FALSE)</f>
        <v>65.935833333333335</v>
      </c>
      <c r="AR534" s="79">
        <f>IF(12*(AP534-Variables!$C$45*AQ534*F534)*(G534/5)&lt;0,0,12*(AP534-Variables!$C$45*AQ534*F534)*(G534/5))</f>
        <v>27742058.429287057</v>
      </c>
      <c r="AS534" s="1"/>
      <c r="AT534" s="62">
        <v>0</v>
      </c>
      <c r="AU534" s="1"/>
    </row>
    <row r="535" spans="1:47" ht="14.25" customHeight="1">
      <c r="A535" s="1">
        <v>15</v>
      </c>
      <c r="B535" s="3" t="s">
        <v>207</v>
      </c>
      <c r="C535" s="1">
        <v>2030</v>
      </c>
      <c r="D535" s="13">
        <f>VLOOKUP(B535,Population!$B$1:$O$48,14,FALSE)</f>
        <v>329561.38839982852</v>
      </c>
      <c r="E535" s="13" t="str">
        <f t="shared" si="24"/>
        <v>Medium</v>
      </c>
      <c r="F535" s="54">
        <f>VLOOKUP(B535,'Household Information'!$B$1:$E$48,2,FALSE)</f>
        <v>2.4536973570595619</v>
      </c>
      <c r="G535" s="54">
        <f t="shared" si="0"/>
        <v>134312.15852747427</v>
      </c>
      <c r="H535" s="55">
        <f>IF(D535&gt;Variables!$C$6,H488,H488*(1+Variables!$C$9))</f>
        <v>19.38</v>
      </c>
      <c r="I535" s="1"/>
      <c r="J535" s="13">
        <f>H535*Variables!$C$21</f>
        <v>348.84</v>
      </c>
      <c r="K535" s="13">
        <f t="shared" si="12"/>
        <v>348.84</v>
      </c>
      <c r="L535" s="54">
        <f t="shared" si="1"/>
        <v>0</v>
      </c>
      <c r="M535" s="56"/>
      <c r="N535" s="57"/>
      <c r="O535" s="57"/>
      <c r="P535" s="57"/>
      <c r="Q535" s="57"/>
      <c r="R535" s="57"/>
      <c r="S535" s="58">
        <v>0</v>
      </c>
      <c r="T535" s="59">
        <f>$L535*Variables!$C$22/100</f>
        <v>0</v>
      </c>
      <c r="U535" s="59">
        <f>$L535*Variables!$C$23/100</f>
        <v>0</v>
      </c>
      <c r="V535" s="59">
        <f>$L535*Variables!$C$24/100</f>
        <v>0</v>
      </c>
      <c r="W535" s="59">
        <f>$L535*Variables!$C$25/100</f>
        <v>0</v>
      </c>
      <c r="X535" s="62">
        <f>T535*Variables!$E$26*Variables!$C$18+'Cost Calculations'!U535*Variables!$E$27*Variables!$C$18+'Cost Calculations'!V535*Variables!$E$28*Variables!$C$18+W535*Variables!$E$29*Variables!$C$18</f>
        <v>0</v>
      </c>
      <c r="Y535" s="58">
        <f>J535*Variables!$E$30</f>
        <v>228490.19999999998</v>
      </c>
      <c r="Z535" s="1"/>
      <c r="AA535" s="245">
        <f>D535*(IF(D535&lt;Variables!$C$7,Variables!$C$38,IF(D535&gt;Variables!$C$6,Variables!$C$36,Variables!$C$37)))</f>
        <v>395.47366607979416</v>
      </c>
      <c r="AB535" s="64">
        <f t="shared" si="13"/>
        <v>390</v>
      </c>
      <c r="AC535" s="66">
        <f t="shared" si="2"/>
        <v>5</v>
      </c>
      <c r="AD535" s="62">
        <f>AC535*Variables!$E$41</f>
        <v>2688000</v>
      </c>
      <c r="AE535" s="71">
        <f>ROUND((H535/(3.14*Variables!$C$35^2)),0)</f>
        <v>25</v>
      </c>
      <c r="AF535" s="57">
        <f t="shared" si="14"/>
        <v>25</v>
      </c>
      <c r="AG535" s="57">
        <f t="shared" si="3"/>
        <v>0</v>
      </c>
      <c r="AH535" s="58">
        <f>AG535*Variables!$E$42*Variables!$C$18</f>
        <v>0</v>
      </c>
      <c r="AI535" s="73">
        <f t="shared" si="4"/>
        <v>3</v>
      </c>
      <c r="AJ535" s="66">
        <f t="shared" si="15"/>
        <v>3</v>
      </c>
      <c r="AK535" s="66">
        <f t="shared" si="5"/>
        <v>0</v>
      </c>
      <c r="AL535" s="62">
        <f>IF(AK535*Variables!$E$43*Variables!$C$18&lt;0,0,AK535*Variables!$E$43*Variables!$C$18)</f>
        <v>0</v>
      </c>
      <c r="AM535" s="58">
        <f>AA535*Variables!$E$39*Variables!$C$18</f>
        <v>114312578.54525921</v>
      </c>
      <c r="AN535" s="1"/>
      <c r="AO535" s="76">
        <f t="shared" si="16"/>
        <v>0.67714285714285716</v>
      </c>
      <c r="AP535" s="76">
        <f t="shared" si="6"/>
        <v>99.690218335391336</v>
      </c>
      <c r="AQ535" s="75">
        <f>VLOOKUP(B535,'Household Information'!$B$2:$E$48,4,FALSE)</f>
        <v>65.935833333333335</v>
      </c>
      <c r="AR535" s="79">
        <f>IF(12*(AP535-Variables!$C$45*AQ535*F535)*(G535/5)&lt;0,0,12*(AP535-Variables!$C$45*AQ535*F535)*(G535/5))</f>
        <v>24312294.460575961</v>
      </c>
      <c r="AS535" s="1"/>
      <c r="AT535" s="62">
        <v>0</v>
      </c>
      <c r="AU535" s="1"/>
    </row>
    <row r="536" spans="1:47" ht="14.25" customHeight="1">
      <c r="A536" s="1">
        <v>16</v>
      </c>
      <c r="B536" s="3" t="s">
        <v>208</v>
      </c>
      <c r="C536" s="1">
        <v>2030</v>
      </c>
      <c r="D536" s="13">
        <f>VLOOKUP(B536,Population!$B$1:$O$48,14,FALSE)</f>
        <v>549206.01144268387</v>
      </c>
      <c r="E536" s="13" t="str">
        <f t="shared" si="24"/>
        <v>Medium</v>
      </c>
      <c r="F536" s="54">
        <f>VLOOKUP(B536,'Household Information'!$B$1:$E$48,2,FALSE)</f>
        <v>3.2379076029492619</v>
      </c>
      <c r="G536" s="54">
        <f t="shared" si="0"/>
        <v>169617.56751256189</v>
      </c>
      <c r="H536" s="55">
        <f>IF(D536&gt;Variables!$C$6,H489,H489*(1+Variables!$C$9))</f>
        <v>31.656284999999997</v>
      </c>
      <c r="I536" s="1"/>
      <c r="J536" s="13">
        <f>H536*Variables!$C$21</f>
        <v>569.81313</v>
      </c>
      <c r="K536" s="13">
        <f t="shared" si="12"/>
        <v>582</v>
      </c>
      <c r="L536" s="54">
        <f t="shared" si="1"/>
        <v>0</v>
      </c>
      <c r="M536" s="56"/>
      <c r="N536" s="57"/>
      <c r="O536" s="57"/>
      <c r="P536" s="57"/>
      <c r="Q536" s="57"/>
      <c r="R536" s="57"/>
      <c r="S536" s="58">
        <v>0</v>
      </c>
      <c r="T536" s="59">
        <f>$L536*Variables!$C$22/100</f>
        <v>0</v>
      </c>
      <c r="U536" s="59">
        <f>$L536*Variables!$C$23/100</f>
        <v>0</v>
      </c>
      <c r="V536" s="59">
        <f>$L536*Variables!$C$24/100</f>
        <v>0</v>
      </c>
      <c r="W536" s="59">
        <f>$L536*Variables!$C$25/100</f>
        <v>0</v>
      </c>
      <c r="X536" s="62">
        <f>T536*Variables!$E$26*Variables!$C$18+'Cost Calculations'!U536*Variables!$E$27*Variables!$C$18+'Cost Calculations'!V536*Variables!$E$28*Variables!$C$18+W536*Variables!$E$29*Variables!$C$18</f>
        <v>0</v>
      </c>
      <c r="Y536" s="58">
        <f>J536*Variables!$E$30</f>
        <v>373227.60015000001</v>
      </c>
      <c r="Z536" s="1"/>
      <c r="AA536" s="245">
        <f>D536*(IF(D536&lt;Variables!$C$7,Variables!$C$38,IF(D536&gt;Variables!$C$6,Variables!$C$36,Variables!$C$37)))</f>
        <v>659.04721373122061</v>
      </c>
      <c r="AB536" s="64">
        <f t="shared" si="13"/>
        <v>649</v>
      </c>
      <c r="AC536" s="66">
        <f t="shared" si="2"/>
        <v>10</v>
      </c>
      <c r="AD536" s="62">
        <f>AC536*Variables!$E$41</f>
        <v>5376000</v>
      </c>
      <c r="AE536" s="71">
        <f>ROUND((H536/(3.14*Variables!$C$35^2)),0)</f>
        <v>40</v>
      </c>
      <c r="AF536" s="57">
        <f t="shared" si="14"/>
        <v>40</v>
      </c>
      <c r="AG536" s="57">
        <f t="shared" si="3"/>
        <v>0</v>
      </c>
      <c r="AH536" s="58">
        <f>AG536*Variables!$E$42*Variables!$C$18</f>
        <v>0</v>
      </c>
      <c r="AI536" s="73">
        <f t="shared" si="4"/>
        <v>5</v>
      </c>
      <c r="AJ536" s="66">
        <f t="shared" si="15"/>
        <v>5</v>
      </c>
      <c r="AK536" s="66">
        <f t="shared" si="5"/>
        <v>0</v>
      </c>
      <c r="AL536" s="62">
        <f>IF(AK536*Variables!$E$43*Variables!$C$18&lt;0,0,AK536*Variables!$E$43*Variables!$C$18)</f>
        <v>0</v>
      </c>
      <c r="AM536" s="58">
        <f>AA536*Variables!$E$39*Variables!$C$18</f>
        <v>190499122.56226858</v>
      </c>
      <c r="AN536" s="1"/>
      <c r="AO536" s="76">
        <f t="shared" si="16"/>
        <v>0.67714285714285716</v>
      </c>
      <c r="AP536" s="76">
        <f t="shared" si="6"/>
        <v>131.55156032553859</v>
      </c>
      <c r="AQ536" s="75">
        <f>VLOOKUP(B536,'Household Information'!$B$2:$E$48,4,FALSE)</f>
        <v>65.935833333333335</v>
      </c>
      <c r="AR536" s="79">
        <f>IF(12*(AP536-Variables!$C$45*AQ536*F536)*(G536/5)&lt;0,0,12*(AP536-Variables!$C$45*AQ536*F536)*(G536/5))</f>
        <v>40515845.422745913</v>
      </c>
      <c r="AS536" s="1"/>
      <c r="AT536" s="62">
        <v>0</v>
      </c>
      <c r="AU536" s="1"/>
    </row>
    <row r="537" spans="1:47" ht="14.25" customHeight="1">
      <c r="A537" s="1">
        <v>17</v>
      </c>
      <c r="B537" s="3" t="s">
        <v>209</v>
      </c>
      <c r="C537" s="1">
        <v>2030</v>
      </c>
      <c r="D537" s="13">
        <f>VLOOKUP(B537,Population!$B$1:$O$48,14,FALSE)</f>
        <v>518567.10018081061</v>
      </c>
      <c r="E537" s="13" t="str">
        <f t="shared" si="24"/>
        <v>Medium</v>
      </c>
      <c r="F537" s="54">
        <f>VLOOKUP(B537,'Household Information'!$B$1:$E$48,2,FALSE)</f>
        <v>3.2463324451363733</v>
      </c>
      <c r="G537" s="54">
        <f t="shared" si="0"/>
        <v>159739.37017994668</v>
      </c>
      <c r="H537" s="55">
        <f>IF(D537&gt;Variables!$C$6,H490,H490*(1+Variables!$C$9))</f>
        <v>25.896000000000001</v>
      </c>
      <c r="I537" s="1"/>
      <c r="J537" s="13">
        <f>H537*Variables!$C$21</f>
        <v>466.12800000000004</v>
      </c>
      <c r="K537" s="13">
        <f t="shared" si="12"/>
        <v>961.78647000000012</v>
      </c>
      <c r="L537" s="54">
        <f t="shared" si="1"/>
        <v>0</v>
      </c>
      <c r="M537" s="56"/>
      <c r="N537" s="57"/>
      <c r="O537" s="57"/>
      <c r="P537" s="57"/>
      <c r="Q537" s="57"/>
      <c r="R537" s="57"/>
      <c r="S537" s="58">
        <v>0</v>
      </c>
      <c r="T537" s="59">
        <f>$L537*Variables!$C$22/100</f>
        <v>0</v>
      </c>
      <c r="U537" s="59">
        <f>$L537*Variables!$C$23/100</f>
        <v>0</v>
      </c>
      <c r="V537" s="59">
        <f>$L537*Variables!$C$24/100</f>
        <v>0</v>
      </c>
      <c r="W537" s="59">
        <f>$L537*Variables!$C$25/100</f>
        <v>0</v>
      </c>
      <c r="X537" s="62">
        <f>T537*Variables!$E$26*Variables!$C$18+'Cost Calculations'!U537*Variables!$E$27*Variables!$C$18+'Cost Calculations'!V537*Variables!$E$28*Variables!$C$18+W537*Variables!$E$29*Variables!$C$18</f>
        <v>0</v>
      </c>
      <c r="Y537" s="58">
        <f>J537*Variables!$E$30</f>
        <v>305313.84000000003</v>
      </c>
      <c r="Z537" s="1"/>
      <c r="AA537" s="245">
        <f>D537*(IF(D537&lt;Variables!$C$7,Variables!$C$38,IF(D537&gt;Variables!$C$6,Variables!$C$36,Variables!$C$37)))</f>
        <v>622.28052021697272</v>
      </c>
      <c r="AB537" s="64">
        <f t="shared" si="13"/>
        <v>613</v>
      </c>
      <c r="AC537" s="66">
        <f t="shared" si="2"/>
        <v>9</v>
      </c>
      <c r="AD537" s="62">
        <f>AC537*Variables!$E$41</f>
        <v>4838400</v>
      </c>
      <c r="AE537" s="71">
        <f>ROUND((H537/(3.14*Variables!$C$35^2)),0)</f>
        <v>33</v>
      </c>
      <c r="AF537" s="57">
        <f t="shared" si="14"/>
        <v>33</v>
      </c>
      <c r="AG537" s="57">
        <f t="shared" si="3"/>
        <v>0</v>
      </c>
      <c r="AH537" s="58">
        <f>AG537*Variables!$E$42*Variables!$C$18</f>
        <v>0</v>
      </c>
      <c r="AI537" s="73">
        <f t="shared" si="4"/>
        <v>5</v>
      </c>
      <c r="AJ537" s="66">
        <f t="shared" si="15"/>
        <v>5</v>
      </c>
      <c r="AK537" s="66">
        <f t="shared" si="5"/>
        <v>0</v>
      </c>
      <c r="AL537" s="62">
        <f>IF(AK537*Variables!$E$43*Variables!$C$18&lt;0,0,AK537*Variables!$E$43*Variables!$C$18)</f>
        <v>0</v>
      </c>
      <c r="AM537" s="58">
        <f>AA537*Variables!$E$39*Variables!$C$18</f>
        <v>179871624.70164257</v>
      </c>
      <c r="AN537" s="1"/>
      <c r="AO537" s="76">
        <f t="shared" si="16"/>
        <v>0.67714285714285716</v>
      </c>
      <c r="AP537" s="76">
        <f t="shared" si="6"/>
        <v>131.89384962811206</v>
      </c>
      <c r="AQ537" s="75">
        <f>VLOOKUP(B537,'Household Information'!$B$2:$E$48,4,FALSE)</f>
        <v>47.15</v>
      </c>
      <c r="AR537" s="79">
        <f>IF(12*(AP537-Variables!$C$45*AQ537*F537)*(G537/5)&lt;0,0,12*(AP537-Variables!$C$45*AQ537*F537)*(G537/5))</f>
        <v>41762579.170018636</v>
      </c>
      <c r="AS537" s="1"/>
      <c r="AT537" s="62">
        <v>0</v>
      </c>
      <c r="AU537" s="1"/>
    </row>
    <row r="538" spans="1:47" ht="14.25" customHeight="1">
      <c r="A538" s="1">
        <v>18</v>
      </c>
      <c r="B538" s="3" t="s">
        <v>210</v>
      </c>
      <c r="C538" s="1">
        <v>2030</v>
      </c>
      <c r="D538" s="13">
        <f>VLOOKUP(B538,Population!$B$1:$O$48,14,FALSE)</f>
        <v>328343.05348310916</v>
      </c>
      <c r="E538" s="13" t="str">
        <f t="shared" si="24"/>
        <v>Medium</v>
      </c>
      <c r="F538" s="54">
        <f>VLOOKUP(B538,'Household Information'!$B$1:$E$48,2,FALSE)</f>
        <v>3.2199371541131225</v>
      </c>
      <c r="G538" s="54">
        <f t="shared" si="0"/>
        <v>101971.88260761125</v>
      </c>
      <c r="H538" s="55">
        <f>IF(D538&gt;Variables!$C$6,H491,H491*(1+Variables!$C$9))</f>
        <v>16.261485999999998</v>
      </c>
      <c r="I538" s="1"/>
      <c r="J538" s="13">
        <f>H538*Variables!$C$21</f>
        <v>292.70674799999995</v>
      </c>
      <c r="K538" s="13">
        <f t="shared" si="12"/>
        <v>512</v>
      </c>
      <c r="L538" s="54">
        <f t="shared" si="1"/>
        <v>0</v>
      </c>
      <c r="M538" s="56"/>
      <c r="N538" s="57"/>
      <c r="O538" s="57"/>
      <c r="P538" s="57"/>
      <c r="Q538" s="57"/>
      <c r="R538" s="57"/>
      <c r="S538" s="58">
        <v>0</v>
      </c>
      <c r="T538" s="59">
        <f>$L538*Variables!$C$22/100</f>
        <v>0</v>
      </c>
      <c r="U538" s="59">
        <f>$L538*Variables!$C$23/100</f>
        <v>0</v>
      </c>
      <c r="V538" s="59">
        <f>$L538*Variables!$C$24/100</f>
        <v>0</v>
      </c>
      <c r="W538" s="59">
        <f>$L538*Variables!$C$25/100</f>
        <v>0</v>
      </c>
      <c r="X538" s="62">
        <f>T538*Variables!$E$26*Variables!$C$18+'Cost Calculations'!U538*Variables!$E$27*Variables!$C$18+'Cost Calculations'!V538*Variables!$E$28*Variables!$C$18+W538*Variables!$E$29*Variables!$C$18</f>
        <v>0</v>
      </c>
      <c r="Y538" s="58">
        <f>J538*Variables!$E$30</f>
        <v>191722.91993999996</v>
      </c>
      <c r="Z538" s="1"/>
      <c r="AA538" s="245">
        <f>D538*(IF(D538&lt;Variables!$C$7,Variables!$C$38,IF(D538&gt;Variables!$C$6,Variables!$C$36,Variables!$C$37)))</f>
        <v>394.01166417973099</v>
      </c>
      <c r="AB538" s="64">
        <f t="shared" si="13"/>
        <v>388</v>
      </c>
      <c r="AC538" s="66">
        <f t="shared" si="2"/>
        <v>6</v>
      </c>
      <c r="AD538" s="62">
        <f>AC538*Variables!$E$41</f>
        <v>3225600</v>
      </c>
      <c r="AE538" s="71">
        <f>ROUND((H538/(3.14*Variables!$C$35^2)),0)</f>
        <v>21</v>
      </c>
      <c r="AF538" s="57">
        <f t="shared" si="14"/>
        <v>21</v>
      </c>
      <c r="AG538" s="57">
        <f t="shared" si="3"/>
        <v>0</v>
      </c>
      <c r="AH538" s="58">
        <f>AG538*Variables!$E$42*Variables!$C$18</f>
        <v>0</v>
      </c>
      <c r="AI538" s="73">
        <f t="shared" si="4"/>
        <v>3</v>
      </c>
      <c r="AJ538" s="66">
        <f t="shared" si="15"/>
        <v>3</v>
      </c>
      <c r="AK538" s="66">
        <f t="shared" si="5"/>
        <v>0</v>
      </c>
      <c r="AL538" s="62">
        <f>IF(AK538*Variables!$E$43*Variables!$C$18&lt;0,0,AK538*Variables!$E$43*Variables!$C$18)</f>
        <v>0</v>
      </c>
      <c r="AM538" s="58">
        <f>AA538*Variables!$E$39*Variables!$C$18</f>
        <v>113889983.51209062</v>
      </c>
      <c r="AN538" s="1"/>
      <c r="AO538" s="76">
        <f t="shared" si="16"/>
        <v>0.67714285714285716</v>
      </c>
      <c r="AP538" s="76">
        <f t="shared" si="6"/>
        <v>130.82144666139601</v>
      </c>
      <c r="AQ538" s="75">
        <f>VLOOKUP(B538,'Household Information'!$B$2:$E$48,4,FALSE)</f>
        <v>65.935833333333335</v>
      </c>
      <c r="AR538" s="79">
        <f>IF(12*(AP538-Variables!$C$45*AQ538*F538)*(G538/5)&lt;0,0,12*(AP538-Variables!$C$45*AQ538*F538)*(G538/5))</f>
        <v>24222415.857409786</v>
      </c>
      <c r="AS538" s="1"/>
      <c r="AT538" s="62">
        <v>0</v>
      </c>
      <c r="AU538" s="1"/>
    </row>
    <row r="539" spans="1:47" ht="14.25" customHeight="1">
      <c r="A539" s="1">
        <v>19</v>
      </c>
      <c r="B539" s="3" t="s">
        <v>211</v>
      </c>
      <c r="C539" s="1">
        <v>2030</v>
      </c>
      <c r="D539" s="13">
        <f>VLOOKUP(B539,Population!$B$1:$O$48,14,FALSE)</f>
        <v>331509.05040113931</v>
      </c>
      <c r="E539" s="13" t="str">
        <f t="shared" si="24"/>
        <v>Medium</v>
      </c>
      <c r="F539" s="54">
        <f>VLOOKUP(B539,'Household Information'!$B$1:$E$48,2,FALSE)</f>
        <v>2.5344143617118515</v>
      </c>
      <c r="G539" s="54">
        <f t="shared" si="0"/>
        <v>130803.01919423466</v>
      </c>
      <c r="H539" s="55">
        <f>IF(D539&gt;Variables!$C$6,H492,H492*(1+Variables!$C$9))</f>
        <v>33.110705594037988</v>
      </c>
      <c r="I539" s="1"/>
      <c r="J539" s="13">
        <f>H539*Variables!$C$21</f>
        <v>595.9927006926838</v>
      </c>
      <c r="K539" s="13">
        <f t="shared" si="12"/>
        <v>595.9927006926838</v>
      </c>
      <c r="L539" s="54">
        <f t="shared" si="1"/>
        <v>0</v>
      </c>
      <c r="M539" s="56"/>
      <c r="N539" s="57"/>
      <c r="O539" s="57"/>
      <c r="P539" s="57"/>
      <c r="Q539" s="57"/>
      <c r="R539" s="57"/>
      <c r="S539" s="58">
        <v>0</v>
      </c>
      <c r="T539" s="59">
        <f>$L539*Variables!$C$22/100</f>
        <v>0</v>
      </c>
      <c r="U539" s="59">
        <f>$L539*Variables!$C$23/100</f>
        <v>0</v>
      </c>
      <c r="V539" s="59">
        <f>$L539*Variables!$C$24/100</f>
        <v>0</v>
      </c>
      <c r="W539" s="59">
        <f>$L539*Variables!$C$25/100</f>
        <v>0</v>
      </c>
      <c r="X539" s="62">
        <f>T539*Variables!$E$26*Variables!$C$18+'Cost Calculations'!U539*Variables!$E$27*Variables!$C$18+'Cost Calculations'!V539*Variables!$E$28*Variables!$C$18+W539*Variables!$E$29*Variables!$C$18</f>
        <v>0</v>
      </c>
      <c r="Y539" s="58">
        <f>J539*Variables!$E$30</f>
        <v>390375.2189537079</v>
      </c>
      <c r="Z539" s="1"/>
      <c r="AA539" s="245">
        <f>D539*(IF(D539&lt;Variables!$C$7,Variables!$C$38,IF(D539&gt;Variables!$C$6,Variables!$C$36,Variables!$C$37)))</f>
        <v>397.81086048136711</v>
      </c>
      <c r="AB539" s="64">
        <f t="shared" si="13"/>
        <v>392</v>
      </c>
      <c r="AC539" s="66">
        <f t="shared" si="2"/>
        <v>6</v>
      </c>
      <c r="AD539" s="62">
        <f>AC539*Variables!$E$41</f>
        <v>3225600</v>
      </c>
      <c r="AE539" s="71">
        <f>ROUND((H539/(3.14*Variables!$C$35^2)),0)</f>
        <v>42</v>
      </c>
      <c r="AF539" s="57">
        <f t="shared" si="14"/>
        <v>42</v>
      </c>
      <c r="AG539" s="57">
        <f t="shared" si="3"/>
        <v>0</v>
      </c>
      <c r="AH539" s="58">
        <f>AG539*Variables!$E$42*Variables!$C$18</f>
        <v>0</v>
      </c>
      <c r="AI539" s="73">
        <f t="shared" si="4"/>
        <v>3</v>
      </c>
      <c r="AJ539" s="66">
        <f t="shared" si="15"/>
        <v>3</v>
      </c>
      <c r="AK539" s="66">
        <f t="shared" si="5"/>
        <v>0</v>
      </c>
      <c r="AL539" s="62">
        <f>IF(AK539*Variables!$E$43*Variables!$C$18&lt;0,0,AK539*Variables!$E$43*Variables!$C$18)</f>
        <v>0</v>
      </c>
      <c r="AM539" s="58">
        <f>AA539*Variables!$E$39*Variables!$C$18</f>
        <v>114988149.99671318</v>
      </c>
      <c r="AN539" s="1"/>
      <c r="AO539" s="76">
        <f t="shared" si="16"/>
        <v>0.67714285714285716</v>
      </c>
      <c r="AP539" s="76">
        <f t="shared" si="6"/>
        <v>102.96963492440722</v>
      </c>
      <c r="AQ539" s="75">
        <f>VLOOKUP(B539,'Household Information'!$B$2:$E$48,4,FALSE)</f>
        <v>65.935833333333335</v>
      </c>
      <c r="AR539" s="79">
        <f>IF(12*(AP539-Variables!$C$45*AQ539*F539)*(G539/5)&lt;0,0,12*(AP539-Variables!$C$45*AQ539*F539)*(G539/5))</f>
        <v>24455976.741790574</v>
      </c>
      <c r="AS539" s="1"/>
      <c r="AT539" s="62">
        <v>0</v>
      </c>
      <c r="AU539" s="1"/>
    </row>
    <row r="540" spans="1:47" ht="14.25" customHeight="1">
      <c r="A540" s="1">
        <v>20</v>
      </c>
      <c r="B540" s="3" t="s">
        <v>212</v>
      </c>
      <c r="C540" s="1">
        <v>2030</v>
      </c>
      <c r="D540" s="13">
        <f>VLOOKUP(B540,Population!$B$1:$O$48,14,FALSE)</f>
        <v>200853.09224199443</v>
      </c>
      <c r="E540" s="13" t="str">
        <f t="shared" si="24"/>
        <v>Medium</v>
      </c>
      <c r="F540" s="54">
        <f>VLOOKUP(B540,'Household Information'!$B$1:$E$48,2,FALSE)</f>
        <v>2.6024941905499612</v>
      </c>
      <c r="G540" s="54">
        <f t="shared" si="0"/>
        <v>77177.152967841976</v>
      </c>
      <c r="H540" s="55">
        <f>IF(D540&gt;Variables!$C$6,H493,H493*(1+Variables!$C$9))</f>
        <v>15</v>
      </c>
      <c r="I540" s="1"/>
      <c r="J540" s="13">
        <f>H540*Variables!$C$21</f>
        <v>270</v>
      </c>
      <c r="K540" s="13">
        <f t="shared" si="12"/>
        <v>270</v>
      </c>
      <c r="L540" s="54">
        <f t="shared" si="1"/>
        <v>0</v>
      </c>
      <c r="M540" s="56"/>
      <c r="N540" s="57"/>
      <c r="O540" s="57"/>
      <c r="P540" s="57"/>
      <c r="Q540" s="57"/>
      <c r="R540" s="57"/>
      <c r="S540" s="58">
        <v>0</v>
      </c>
      <c r="T540" s="59">
        <f>$L540*Variables!$C$22/100</f>
        <v>0</v>
      </c>
      <c r="U540" s="59">
        <f>$L540*Variables!$C$23/100</f>
        <v>0</v>
      </c>
      <c r="V540" s="59">
        <f>$L540*Variables!$C$24/100</f>
        <v>0</v>
      </c>
      <c r="W540" s="59">
        <f>$L540*Variables!$C$25/100</f>
        <v>0</v>
      </c>
      <c r="X540" s="62">
        <f>T540*Variables!$E$26*Variables!$C$18+'Cost Calculations'!U540*Variables!$E$27*Variables!$C$18+'Cost Calculations'!V540*Variables!$E$28*Variables!$C$18+W540*Variables!$E$29*Variables!$C$18</f>
        <v>0</v>
      </c>
      <c r="Y540" s="58">
        <f>J540*Variables!$E$30</f>
        <v>176850</v>
      </c>
      <c r="Z540" s="1"/>
      <c r="AA540" s="245">
        <f>D540*(IF(D540&lt;Variables!$C$7,Variables!$C$38,IF(D540&gt;Variables!$C$6,Variables!$C$36,Variables!$C$37)))</f>
        <v>241.0237106903933</v>
      </c>
      <c r="AB540" s="64">
        <f t="shared" si="13"/>
        <v>237</v>
      </c>
      <c r="AC540" s="66">
        <f t="shared" si="2"/>
        <v>4</v>
      </c>
      <c r="AD540" s="62">
        <f>AC540*Variables!$E$41</f>
        <v>2150400</v>
      </c>
      <c r="AE540" s="71">
        <f>ROUND((H540/(3.14*Variables!$C$35^2)),0)</f>
        <v>19</v>
      </c>
      <c r="AF540" s="57">
        <f t="shared" si="14"/>
        <v>19</v>
      </c>
      <c r="AG540" s="57">
        <f t="shared" si="3"/>
        <v>0</v>
      </c>
      <c r="AH540" s="58">
        <f>AG540*Variables!$E$42*Variables!$C$18</f>
        <v>0</v>
      </c>
      <c r="AI540" s="73">
        <f t="shared" si="4"/>
        <v>2</v>
      </c>
      <c r="AJ540" s="66">
        <f t="shared" si="15"/>
        <v>2</v>
      </c>
      <c r="AK540" s="66">
        <f t="shared" si="5"/>
        <v>0</v>
      </c>
      <c r="AL540" s="62">
        <f>IF(AK540*Variables!$E$43*Variables!$C$18&lt;0,0,AK540*Variables!$E$43*Variables!$C$18)</f>
        <v>0</v>
      </c>
      <c r="AM540" s="58">
        <f>AA540*Variables!$E$39*Variables!$C$18</f>
        <v>69668461.449481905</v>
      </c>
      <c r="AN540" s="1"/>
      <c r="AO540" s="76">
        <f t="shared" si="16"/>
        <v>0.67714285714285716</v>
      </c>
      <c r="AP540" s="76">
        <f t="shared" si="6"/>
        <v>105.73562111320128</v>
      </c>
      <c r="AQ540" s="75">
        <f>VLOOKUP(B540,'Household Information'!$B$2:$E$48,4,FALSE)</f>
        <v>65.935833333333335</v>
      </c>
      <c r="AR540" s="79">
        <f>IF(12*(AP540-Variables!$C$45*AQ540*F540)*(G540/5)&lt;0,0,12*(AP540-Variables!$C$45*AQ540*F540)*(G540/5))</f>
        <v>14817268.326288961</v>
      </c>
      <c r="AS540" s="1"/>
      <c r="AT540" s="62">
        <v>0</v>
      </c>
      <c r="AU540" s="1"/>
    </row>
    <row r="541" spans="1:47" ht="14.25" customHeight="1">
      <c r="A541" s="1">
        <v>21</v>
      </c>
      <c r="B541" s="3" t="s">
        <v>213</v>
      </c>
      <c r="C541" s="1">
        <v>2030</v>
      </c>
      <c r="D541" s="13">
        <f>VLOOKUP(B541,Population!$B$1:$O$48,14,FALSE)</f>
        <v>212309.50556093885</v>
      </c>
      <c r="E541" s="13" t="str">
        <f t="shared" si="24"/>
        <v>Medium</v>
      </c>
      <c r="F541" s="54">
        <f>VLOOKUP(B541,'Household Information'!$B$1:$E$48,2,FALSE)</f>
        <v>3.3084232295567606</v>
      </c>
      <c r="G541" s="54">
        <f t="shared" si="0"/>
        <v>64172.414116854874</v>
      </c>
      <c r="H541" s="55">
        <f>IF(D541&gt;Variables!$C$6,H494,H494*(1+Variables!$C$9))</f>
        <v>35.084811999999992</v>
      </c>
      <c r="I541" s="1"/>
      <c r="J541" s="13">
        <f>H541*Variables!$C$21</f>
        <v>631.52661599999988</v>
      </c>
      <c r="K541" s="13">
        <f t="shared" si="12"/>
        <v>631.52661599999988</v>
      </c>
      <c r="L541" s="54">
        <f t="shared" si="1"/>
        <v>0</v>
      </c>
      <c r="M541" s="56"/>
      <c r="N541" s="57"/>
      <c r="O541" s="57"/>
      <c r="P541" s="57"/>
      <c r="Q541" s="57"/>
      <c r="R541" s="57"/>
      <c r="S541" s="58">
        <v>0</v>
      </c>
      <c r="T541" s="59">
        <f>$L541*Variables!$C$22/100</f>
        <v>0</v>
      </c>
      <c r="U541" s="59">
        <f>$L541*Variables!$C$23/100</f>
        <v>0</v>
      </c>
      <c r="V541" s="59">
        <f>$L541*Variables!$C$24/100</f>
        <v>0</v>
      </c>
      <c r="W541" s="59">
        <f>$L541*Variables!$C$25/100</f>
        <v>0</v>
      </c>
      <c r="X541" s="62">
        <f>T541*Variables!$E$26*Variables!$C$18+'Cost Calculations'!U541*Variables!$E$27*Variables!$C$18+'Cost Calculations'!V541*Variables!$E$28*Variables!$C$18+W541*Variables!$E$29*Variables!$C$18</f>
        <v>0</v>
      </c>
      <c r="Y541" s="58">
        <f>J541*Variables!$E$30</f>
        <v>413649.93347999989</v>
      </c>
      <c r="Z541" s="1"/>
      <c r="AA541" s="245">
        <f>D541*(IF(D541&lt;Variables!$C$7,Variables!$C$38,IF(D541&gt;Variables!$C$6,Variables!$C$36,Variables!$C$37)))</f>
        <v>254.77140667312659</v>
      </c>
      <c r="AB541" s="64">
        <f t="shared" si="13"/>
        <v>251</v>
      </c>
      <c r="AC541" s="66">
        <f t="shared" si="2"/>
        <v>4</v>
      </c>
      <c r="AD541" s="62">
        <f>AC541*Variables!$E$41</f>
        <v>2150400</v>
      </c>
      <c r="AE541" s="71">
        <f>ROUND((H541/(3.14*Variables!$C$35^2)),0)</f>
        <v>45</v>
      </c>
      <c r="AF541" s="57">
        <f t="shared" si="14"/>
        <v>45</v>
      </c>
      <c r="AG541" s="57">
        <f t="shared" si="3"/>
        <v>0</v>
      </c>
      <c r="AH541" s="58">
        <f>AG541*Variables!$E$42*Variables!$C$18</f>
        <v>0</v>
      </c>
      <c r="AI541" s="73">
        <f t="shared" si="4"/>
        <v>2</v>
      </c>
      <c r="AJ541" s="66">
        <f t="shared" si="15"/>
        <v>2</v>
      </c>
      <c r="AK541" s="66">
        <f t="shared" si="5"/>
        <v>0</v>
      </c>
      <c r="AL541" s="62">
        <f>IF(AK541*Variables!$E$43*Variables!$C$18&lt;0,0,AK541*Variables!$E$43*Variables!$C$18)</f>
        <v>0</v>
      </c>
      <c r="AM541" s="58">
        <f>AA541*Variables!$E$39*Variables!$C$18</f>
        <v>73642264.793761864</v>
      </c>
      <c r="AN541" s="1"/>
      <c r="AO541" s="76">
        <f t="shared" si="16"/>
        <v>0.67714285714285716</v>
      </c>
      <c r="AP541" s="76">
        <f t="shared" si="6"/>
        <v>134.4165094979918</v>
      </c>
      <c r="AQ541" s="75">
        <f>VLOOKUP(B541,'Household Information'!$B$2:$E$48,4,FALSE)</f>
        <v>65.935833333333335</v>
      </c>
      <c r="AR541" s="79">
        <f>IF(12*(AP541-Variables!$C$45*AQ541*F541)*(G541/5)&lt;0,0,12*(AP541-Variables!$C$45*AQ541*F541)*(G541/5))</f>
        <v>15662427.085404035</v>
      </c>
      <c r="AS541" s="1"/>
      <c r="AT541" s="62">
        <v>0</v>
      </c>
      <c r="AU541" s="1"/>
    </row>
    <row r="542" spans="1:47" ht="14.25" customHeight="1">
      <c r="A542" s="1">
        <v>22</v>
      </c>
      <c r="B542" s="3" t="s">
        <v>214</v>
      </c>
      <c r="C542" s="1">
        <v>2030</v>
      </c>
      <c r="D542" s="13">
        <f>VLOOKUP(B542,Population!$B$1:$O$48,14,FALSE)</f>
        <v>187459.77748528233</v>
      </c>
      <c r="E542" s="13" t="str">
        <f t="shared" si="24"/>
        <v>Medium</v>
      </c>
      <c r="F542" s="54">
        <f>VLOOKUP(B542,'Household Information'!$B$1:$E$48,2,FALSE)</f>
        <v>2.4748082204754236</v>
      </c>
      <c r="G542" s="54">
        <f t="shared" si="0"/>
        <v>75747.193634773983</v>
      </c>
      <c r="H542" s="55">
        <f>IF(D542&gt;Variables!$C$6,H495,H495*(1+Variables!$C$9))</f>
        <v>31.3</v>
      </c>
      <c r="I542" s="1"/>
      <c r="J542" s="13">
        <f>H542*Variables!$C$21</f>
        <v>563.4</v>
      </c>
      <c r="K542" s="13">
        <f t="shared" si="12"/>
        <v>563.4</v>
      </c>
      <c r="L542" s="54">
        <f t="shared" si="1"/>
        <v>0</v>
      </c>
      <c r="M542" s="56"/>
      <c r="N542" s="57"/>
      <c r="O542" s="57"/>
      <c r="P542" s="57"/>
      <c r="Q542" s="57"/>
      <c r="R542" s="57"/>
      <c r="S542" s="58">
        <v>0</v>
      </c>
      <c r="T542" s="59">
        <f>$L542*Variables!$C$22/100</f>
        <v>0</v>
      </c>
      <c r="U542" s="59">
        <f>$L542*Variables!$C$23/100</f>
        <v>0</v>
      </c>
      <c r="V542" s="59">
        <f>$L542*Variables!$C$24/100</f>
        <v>0</v>
      </c>
      <c r="W542" s="59">
        <f>$L542*Variables!$C$25/100</f>
        <v>0</v>
      </c>
      <c r="X542" s="62">
        <f>T542*Variables!$E$26*Variables!$C$18+'Cost Calculations'!U542*Variables!$E$27*Variables!$C$18+'Cost Calculations'!V542*Variables!$E$28*Variables!$C$18+W542*Variables!$E$29*Variables!$C$18</f>
        <v>0</v>
      </c>
      <c r="Y542" s="58">
        <f>J542*Variables!$E$30</f>
        <v>369027</v>
      </c>
      <c r="Z542" s="1"/>
      <c r="AA542" s="245">
        <f>D542*(IF(D542&lt;Variables!$C$7,Variables!$C$38,IF(D542&gt;Variables!$C$6,Variables!$C$36,Variables!$C$37)))</f>
        <v>224.95173298233877</v>
      </c>
      <c r="AB542" s="64">
        <f t="shared" si="13"/>
        <v>222</v>
      </c>
      <c r="AC542" s="66">
        <f t="shared" si="2"/>
        <v>3</v>
      </c>
      <c r="AD542" s="62">
        <f>AC542*Variables!$E$41</f>
        <v>1612800</v>
      </c>
      <c r="AE542" s="71">
        <f>ROUND((H542/(3.14*Variables!$C$35^2)),0)</f>
        <v>40</v>
      </c>
      <c r="AF542" s="57">
        <f t="shared" si="14"/>
        <v>40</v>
      </c>
      <c r="AG542" s="57">
        <f t="shared" si="3"/>
        <v>0</v>
      </c>
      <c r="AH542" s="58">
        <f>AG542*Variables!$E$42*Variables!$C$18</f>
        <v>0</v>
      </c>
      <c r="AI542" s="73">
        <f t="shared" si="4"/>
        <v>2</v>
      </c>
      <c r="AJ542" s="66">
        <f t="shared" si="15"/>
        <v>2</v>
      </c>
      <c r="AK542" s="66">
        <f t="shared" si="5"/>
        <v>0</v>
      </c>
      <c r="AL542" s="62">
        <f>IF(AK542*Variables!$E$43*Variables!$C$18&lt;0,0,AK542*Variables!$E$43*Variables!$C$18)</f>
        <v>0</v>
      </c>
      <c r="AM542" s="58">
        <f>AA542*Variables!$E$39*Variables!$C$18</f>
        <v>65022819.092706248</v>
      </c>
      <c r="AN542" s="1"/>
      <c r="AO542" s="76">
        <f t="shared" si="16"/>
        <v>0.67714285714285716</v>
      </c>
      <c r="AP542" s="76">
        <f t="shared" si="6"/>
        <v>100.5479225576015</v>
      </c>
      <c r="AQ542" s="75">
        <f>VLOOKUP(B542,'Household Information'!$B$2:$E$48,4,FALSE)</f>
        <v>65.935833333333335</v>
      </c>
      <c r="AR542" s="79">
        <f>IF(12*(AP542-Variables!$C$45*AQ542*F542)*(G542/5)&lt;0,0,12*(AP542-Variables!$C$45*AQ542*F542)*(G542/5))</f>
        <v>13829221.110717358</v>
      </c>
      <c r="AS542" s="1"/>
      <c r="AT542" s="62">
        <v>0</v>
      </c>
      <c r="AU542" s="1"/>
    </row>
    <row r="543" spans="1:47" ht="14.25" customHeight="1">
      <c r="A543" s="1">
        <v>23</v>
      </c>
      <c r="B543" s="3" t="s">
        <v>215</v>
      </c>
      <c r="C543" s="1">
        <v>2030</v>
      </c>
      <c r="D543" s="13">
        <f>VLOOKUP(B543,Population!$B$1:$O$48,14,FALSE)</f>
        <v>144286.00531380638</v>
      </c>
      <c r="E543" s="13" t="str">
        <f t="shared" si="24"/>
        <v>Medium</v>
      </c>
      <c r="F543" s="54">
        <f>VLOOKUP(B543,'Household Information'!$B$1:$E$48,2,FALSE)</f>
        <v>2.7568018275271275</v>
      </c>
      <c r="G543" s="54">
        <f t="shared" si="0"/>
        <v>52338.185455728621</v>
      </c>
      <c r="H543" s="55">
        <f>IF(D543&gt;Variables!$C$6,H496,H496*(1+Variables!$C$9))</f>
        <v>14.881089649499996</v>
      </c>
      <c r="I543" s="1"/>
      <c r="J543" s="13">
        <f>H543*Variables!$C$21</f>
        <v>267.85961369099994</v>
      </c>
      <c r="K543" s="13">
        <f t="shared" si="12"/>
        <v>267.85961369099994</v>
      </c>
      <c r="L543" s="54">
        <f t="shared" si="1"/>
        <v>0</v>
      </c>
      <c r="M543" s="56"/>
      <c r="N543" s="57"/>
      <c r="O543" s="57"/>
      <c r="P543" s="57"/>
      <c r="Q543" s="57"/>
      <c r="R543" s="57"/>
      <c r="S543" s="58">
        <v>0</v>
      </c>
      <c r="T543" s="59">
        <f>$L543*Variables!$C$22/100</f>
        <v>0</v>
      </c>
      <c r="U543" s="59">
        <f>$L543*Variables!$C$23/100</f>
        <v>0</v>
      </c>
      <c r="V543" s="59">
        <f>$L543*Variables!$C$24/100</f>
        <v>0</v>
      </c>
      <c r="W543" s="59">
        <f>$L543*Variables!$C$25/100</f>
        <v>0</v>
      </c>
      <c r="X543" s="62">
        <f>T543*Variables!$E$26*Variables!$C$18+'Cost Calculations'!U543*Variables!$E$27*Variables!$C$18+'Cost Calculations'!V543*Variables!$E$28*Variables!$C$18+W543*Variables!$E$29*Variables!$C$18</f>
        <v>0</v>
      </c>
      <c r="Y543" s="58">
        <f>J543*Variables!$E$30</f>
        <v>175448.04696760495</v>
      </c>
      <c r="Z543" s="1"/>
      <c r="AA543" s="245">
        <f>D543*(IF(D543&lt;Variables!$C$7,Variables!$C$38,IF(D543&gt;Variables!$C$6,Variables!$C$36,Variables!$C$37)))</f>
        <v>173.14320637656763</v>
      </c>
      <c r="AB543" s="64">
        <f t="shared" si="13"/>
        <v>171</v>
      </c>
      <c r="AC543" s="66">
        <f t="shared" si="2"/>
        <v>2</v>
      </c>
      <c r="AD543" s="62">
        <f>AC543*Variables!$E$41</f>
        <v>1075200</v>
      </c>
      <c r="AE543" s="71">
        <f>ROUND((H543/(3.14*Variables!$C$35^2)),0)</f>
        <v>19</v>
      </c>
      <c r="AF543" s="57">
        <f t="shared" si="14"/>
        <v>19</v>
      </c>
      <c r="AG543" s="57">
        <f t="shared" si="3"/>
        <v>0</v>
      </c>
      <c r="AH543" s="58">
        <f>AG543*Variables!$E$42*Variables!$C$18</f>
        <v>0</v>
      </c>
      <c r="AI543" s="73">
        <f t="shared" si="4"/>
        <v>1</v>
      </c>
      <c r="AJ543" s="66">
        <f t="shared" si="15"/>
        <v>1</v>
      </c>
      <c r="AK543" s="66">
        <f t="shared" si="5"/>
        <v>0</v>
      </c>
      <c r="AL543" s="62">
        <f>IF(AK543*Variables!$E$43*Variables!$C$18&lt;0,0,AK543*Variables!$E$43*Variables!$C$18)</f>
        <v>0</v>
      </c>
      <c r="AM543" s="58">
        <f>AA543*Variables!$E$39*Variables!$C$18</f>
        <v>50047444.561089732</v>
      </c>
      <c r="AN543" s="1"/>
      <c r="AO543" s="76">
        <f t="shared" si="16"/>
        <v>0.67714285714285716</v>
      </c>
      <c r="AP543" s="76">
        <f t="shared" si="6"/>
        <v>112.00491996410214</v>
      </c>
      <c r="AQ543" s="75">
        <f>VLOOKUP(B543,'Household Information'!$B$2:$E$48,4,FALSE)</f>
        <v>65.935833333333335</v>
      </c>
      <c r="AR543" s="79">
        <f>IF(12*(AP543-Variables!$C$45*AQ543*F543)*(G543/5)&lt;0,0,12*(AP543-Variables!$C$45*AQ543*F543)*(G543/5))</f>
        <v>10644219.775751235</v>
      </c>
      <c r="AS543" s="1"/>
      <c r="AT543" s="62">
        <v>0</v>
      </c>
      <c r="AU543" s="1"/>
    </row>
    <row r="544" spans="1:47" ht="14.25" customHeight="1">
      <c r="A544" s="1">
        <v>24</v>
      </c>
      <c r="B544" s="3" t="s">
        <v>216</v>
      </c>
      <c r="C544" s="1">
        <v>2030</v>
      </c>
      <c r="D544" s="13">
        <f>VLOOKUP(B544,Population!$B$1:$O$48,14,FALSE)</f>
        <v>90550.142215639222</v>
      </c>
      <c r="E544" s="13" t="str">
        <f t="shared" si="24"/>
        <v>Small</v>
      </c>
      <c r="F544" s="54">
        <f>VLOOKUP(B544,'Household Information'!$B$1:$E$48,2,FALSE)</f>
        <v>2.845682723378673</v>
      </c>
      <c r="G544" s="54">
        <f t="shared" si="0"/>
        <v>31820.182015277245</v>
      </c>
      <c r="H544" s="55">
        <f>IF(D544&gt;Variables!$C$6,H497,H497*(1+Variables!$C$9))</f>
        <v>12.146716052400286</v>
      </c>
      <c r="I544" s="1"/>
      <c r="J544" s="13">
        <f>H544*Variables!$C$21</f>
        <v>218.64088894320514</v>
      </c>
      <c r="K544" s="13">
        <f t="shared" si="12"/>
        <v>211.65623324608441</v>
      </c>
      <c r="L544" s="54">
        <f t="shared" si="1"/>
        <v>6.9846556971207292</v>
      </c>
      <c r="M544" s="56"/>
      <c r="N544" s="57"/>
      <c r="O544" s="57"/>
      <c r="P544" s="57"/>
      <c r="Q544" s="57"/>
      <c r="R544" s="57"/>
      <c r="S544" s="58">
        <v>0</v>
      </c>
      <c r="T544" s="59">
        <f>$L544*Variables!$C$22/100</f>
        <v>0.37925732292058256</v>
      </c>
      <c r="U544" s="59">
        <f>$L544*Variables!$C$23/100</f>
        <v>0.66370031511101957</v>
      </c>
      <c r="V544" s="59">
        <f>$L544*Variables!$C$24/100</f>
        <v>0.69530509202106816</v>
      </c>
      <c r="W544" s="59">
        <f>$L544*Variables!$C$25/100</f>
        <v>5.0567643056077678</v>
      </c>
      <c r="X544" s="62">
        <f>T544*Variables!$E$26*Variables!$C$18+'Cost Calculations'!U544*Variables!$E$27*Variables!$C$18+'Cost Calculations'!V544*Variables!$E$28*Variables!$C$18+W544*Variables!$E$29*Variables!$C$18</f>
        <v>7939653.543252768</v>
      </c>
      <c r="Y544" s="58">
        <f>J544*Variables!$E$30</f>
        <v>143209.78225779938</v>
      </c>
      <c r="Z544" s="1"/>
      <c r="AA544" s="245">
        <f>D544*(IF(D544&lt;Variables!$C$7,Variables!$C$38,IF(D544&gt;Variables!$C$6,Variables!$C$36,Variables!$C$37)))</f>
        <v>72.440113772511381</v>
      </c>
      <c r="AB544" s="64">
        <f t="shared" si="13"/>
        <v>71</v>
      </c>
      <c r="AC544" s="66">
        <f t="shared" si="2"/>
        <v>1</v>
      </c>
      <c r="AD544" s="62">
        <f>AC544*Variables!$E$41</f>
        <v>537600</v>
      </c>
      <c r="AE544" s="71">
        <f>ROUND((H544/(3.14*Variables!$C$35^2)),0)</f>
        <v>15</v>
      </c>
      <c r="AF544" s="57">
        <f t="shared" si="14"/>
        <v>15</v>
      </c>
      <c r="AG544" s="57">
        <f t="shared" si="3"/>
        <v>0</v>
      </c>
      <c r="AH544" s="58">
        <f>AG544*Variables!$E$42*Variables!$C$18</f>
        <v>0</v>
      </c>
      <c r="AI544" s="73">
        <f t="shared" si="4"/>
        <v>1</v>
      </c>
      <c r="AJ544" s="66">
        <f t="shared" si="15"/>
        <v>1</v>
      </c>
      <c r="AK544" s="66">
        <f t="shared" si="5"/>
        <v>0</v>
      </c>
      <c r="AL544" s="62">
        <f>IF(AK544*Variables!$E$43*Variables!$C$18&lt;0,0,AK544*Variables!$E$43*Variables!$C$18)</f>
        <v>0</v>
      </c>
      <c r="AM544" s="58">
        <f>AA544*Variables!$E$39*Variables!$C$18</f>
        <v>20938982.556115158</v>
      </c>
      <c r="AN544" s="1"/>
      <c r="AO544" s="76">
        <f t="shared" si="16"/>
        <v>0.67714285714285716</v>
      </c>
      <c r="AP544" s="76">
        <f t="shared" si="6"/>
        <v>115.61602378984207</v>
      </c>
      <c r="AQ544" s="75">
        <f>VLOOKUP(B544,'Household Information'!$B$2:$E$48,4,FALSE)</f>
        <v>65.935833333333335</v>
      </c>
      <c r="AR544" s="79">
        <f>IF(12*(AP544-Variables!$C$45*AQ544*F544)*(G544/5)&lt;0,0,12*(AP544-Variables!$C$45*AQ544*F544)*(G544/5))</f>
        <v>6680035.3393425522</v>
      </c>
      <c r="AS544" s="1"/>
      <c r="AT544" s="62">
        <v>0</v>
      </c>
      <c r="AU544" s="1"/>
    </row>
    <row r="545" spans="1:47" ht="14.25" customHeight="1">
      <c r="A545" s="1">
        <v>25</v>
      </c>
      <c r="B545" s="3" t="s">
        <v>217</v>
      </c>
      <c r="C545" s="1">
        <v>2030</v>
      </c>
      <c r="D545" s="13">
        <f>VLOOKUP(B545,Population!$B$1:$O$48,14,FALSE)</f>
        <v>187642.70706551595</v>
      </c>
      <c r="E545" s="13" t="str">
        <f t="shared" si="24"/>
        <v>Medium</v>
      </c>
      <c r="F545" s="54">
        <f>VLOOKUP(B545,'Household Information'!$B$1:$E$48,2,FALSE)</f>
        <v>2.502264030612245</v>
      </c>
      <c r="G545" s="54">
        <f t="shared" si="0"/>
        <v>74989.171714067357</v>
      </c>
      <c r="H545" s="55">
        <f>IF(D545&gt;Variables!$C$6,H498,H498*(1+Variables!$C$9))</f>
        <v>22.498002944169993</v>
      </c>
      <c r="I545" s="1"/>
      <c r="J545" s="13">
        <f>H545*Variables!$C$21</f>
        <v>404.96405299505989</v>
      </c>
      <c r="K545" s="13">
        <f t="shared" si="12"/>
        <v>404.96405299505989</v>
      </c>
      <c r="L545" s="54">
        <f t="shared" si="1"/>
        <v>0</v>
      </c>
      <c r="M545" s="56"/>
      <c r="N545" s="57"/>
      <c r="O545" s="57"/>
      <c r="P545" s="57"/>
      <c r="Q545" s="57"/>
      <c r="R545" s="57"/>
      <c r="S545" s="58">
        <v>0</v>
      </c>
      <c r="T545" s="59">
        <f>$L545*Variables!$C$22/100</f>
        <v>0</v>
      </c>
      <c r="U545" s="59">
        <f>$L545*Variables!$C$23/100</f>
        <v>0</v>
      </c>
      <c r="V545" s="59">
        <f>$L545*Variables!$C$24/100</f>
        <v>0</v>
      </c>
      <c r="W545" s="59">
        <f>$L545*Variables!$C$25/100</f>
        <v>0</v>
      </c>
      <c r="X545" s="62">
        <f>T545*Variables!$E$26*Variables!$C$18+'Cost Calculations'!U545*Variables!$E$27*Variables!$C$18+'Cost Calculations'!V545*Variables!$E$28*Variables!$C$18+W545*Variables!$E$29*Variables!$C$18</f>
        <v>0</v>
      </c>
      <c r="Y545" s="58">
        <f>J545*Variables!$E$30</f>
        <v>265251.45471176424</v>
      </c>
      <c r="Z545" s="1"/>
      <c r="AA545" s="245">
        <f>D545*(IF(D545&lt;Variables!$C$7,Variables!$C$38,IF(D545&gt;Variables!$C$6,Variables!$C$36,Variables!$C$37)))</f>
        <v>225.17124847861911</v>
      </c>
      <c r="AB545" s="64">
        <f t="shared" si="13"/>
        <v>222</v>
      </c>
      <c r="AC545" s="66">
        <f t="shared" si="2"/>
        <v>3</v>
      </c>
      <c r="AD545" s="62">
        <f>AC545*Variables!$E$41</f>
        <v>1612800</v>
      </c>
      <c r="AE545" s="71">
        <f>ROUND((H545/(3.14*Variables!$C$35^2)),0)</f>
        <v>29</v>
      </c>
      <c r="AF545" s="57">
        <f t="shared" si="14"/>
        <v>29</v>
      </c>
      <c r="AG545" s="57">
        <f t="shared" si="3"/>
        <v>0</v>
      </c>
      <c r="AH545" s="58">
        <f>AG545*Variables!$E$42*Variables!$C$18</f>
        <v>0</v>
      </c>
      <c r="AI545" s="73">
        <f t="shared" si="4"/>
        <v>2</v>
      </c>
      <c r="AJ545" s="66">
        <f t="shared" si="15"/>
        <v>2</v>
      </c>
      <c r="AK545" s="66">
        <f t="shared" si="5"/>
        <v>0</v>
      </c>
      <c r="AL545" s="62">
        <f>IF(AK545*Variables!$E$43*Variables!$C$18&lt;0,0,AK545*Variables!$E$43*Variables!$C$18)</f>
        <v>0</v>
      </c>
      <c r="AM545" s="58">
        <f>AA545*Variables!$E$39*Variables!$C$18</f>
        <v>65086270.554997504</v>
      </c>
      <c r="AN545" s="1"/>
      <c r="AO545" s="76">
        <f t="shared" si="16"/>
        <v>0.67714285714285716</v>
      </c>
      <c r="AP545" s="76">
        <f t="shared" si="6"/>
        <v>101.66341290087463</v>
      </c>
      <c r="AQ545" s="75">
        <f>VLOOKUP(B545,'Household Information'!$B$2:$E$48,4,FALSE)</f>
        <v>65.935833333333335</v>
      </c>
      <c r="AR545" s="79">
        <f>IF(12*(AP545-Variables!$C$45*AQ545*F545)*(G545/5)&lt;0,0,12*(AP545-Variables!$C$45*AQ545*F545)*(G545/5))</f>
        <v>13842716.131604921</v>
      </c>
      <c r="AS545" s="1"/>
      <c r="AT545" s="62">
        <v>0</v>
      </c>
      <c r="AU545" s="1"/>
    </row>
    <row r="546" spans="1:47" ht="14.25" customHeight="1">
      <c r="A546" s="1">
        <v>26</v>
      </c>
      <c r="B546" s="3" t="s">
        <v>219</v>
      </c>
      <c r="C546" s="1">
        <v>2030</v>
      </c>
      <c r="D546" s="13">
        <f>VLOOKUP(B546,Population!$B$1:$O$48,14,FALSE)</f>
        <v>51225.06493809793</v>
      </c>
      <c r="E546" s="13" t="str">
        <f t="shared" si="24"/>
        <v>Small</v>
      </c>
      <c r="F546" s="54">
        <f>VLOOKUP(B546,'Household Information'!$B$1:$E$48,2,FALSE)</f>
        <v>3.6899491861166136</v>
      </c>
      <c r="G546" s="54">
        <f t="shared" si="0"/>
        <v>13882.322588839863</v>
      </c>
      <c r="H546" s="55">
        <f>IF(D546&gt;Variables!$C$6,H499,H499*(1+Variables!$C$9))</f>
        <v>5.2881682066223741</v>
      </c>
      <c r="I546" s="1"/>
      <c r="J546" s="13">
        <f>H546*Variables!$C$21</f>
        <v>95.187027719202732</v>
      </c>
      <c r="K546" s="13">
        <f t="shared" si="12"/>
        <v>92.146203019557348</v>
      </c>
      <c r="L546" s="54">
        <f t="shared" si="1"/>
        <v>3.040824699645384</v>
      </c>
      <c r="M546" s="56"/>
      <c r="N546" s="57"/>
      <c r="O546" s="57"/>
      <c r="P546" s="57"/>
      <c r="Q546" s="57"/>
      <c r="R546" s="57"/>
      <c r="S546" s="58">
        <v>0</v>
      </c>
      <c r="T546" s="59">
        <f>$L546*Variables!$C$22/100</f>
        <v>0.16511265337440995</v>
      </c>
      <c r="U546" s="59">
        <f>$L546*Variables!$C$23/100</f>
        <v>0.28894714340521749</v>
      </c>
      <c r="V546" s="59">
        <f>$L546*Variables!$C$24/100</f>
        <v>0.30270653118641833</v>
      </c>
      <c r="W546" s="59">
        <f>$L546*Variables!$C$25/100</f>
        <v>2.2015020449921332</v>
      </c>
      <c r="X546" s="62">
        <f>T546*Variables!$E$26*Variables!$C$18+'Cost Calculations'!U546*Variables!$E$27*Variables!$C$18+'Cost Calculations'!V546*Variables!$E$28*Variables!$C$18+W546*Variables!$E$29*Variables!$C$18</f>
        <v>3456590.5103815594</v>
      </c>
      <c r="Y546" s="58">
        <f>J546*Variables!$E$30</f>
        <v>62347.503156077786</v>
      </c>
      <c r="Z546" s="1"/>
      <c r="AA546" s="245">
        <f>D546*(IF(D546&lt;Variables!$C$7,Variables!$C$38,IF(D546&gt;Variables!$C$6,Variables!$C$36,Variables!$C$37)))</f>
        <v>40.980051950478348</v>
      </c>
      <c r="AB546" s="64">
        <f t="shared" si="13"/>
        <v>40</v>
      </c>
      <c r="AC546" s="66">
        <f t="shared" si="2"/>
        <v>1</v>
      </c>
      <c r="AD546" s="62">
        <f>AC546*Variables!$E$41</f>
        <v>537600</v>
      </c>
      <c r="AE546" s="71">
        <f>ROUND((H546/(3.14*Variables!$C$35^2)),0)</f>
        <v>7</v>
      </c>
      <c r="AF546" s="57">
        <f t="shared" si="14"/>
        <v>7</v>
      </c>
      <c r="AG546" s="57">
        <f t="shared" si="3"/>
        <v>0</v>
      </c>
      <c r="AH546" s="58">
        <f>AG546*Variables!$E$42*Variables!$C$18</f>
        <v>0</v>
      </c>
      <c r="AI546" s="73">
        <f t="shared" si="4"/>
        <v>0</v>
      </c>
      <c r="AJ546" s="66">
        <f t="shared" si="15"/>
        <v>0</v>
      </c>
      <c r="AK546" s="66">
        <f t="shared" si="5"/>
        <v>0</v>
      </c>
      <c r="AL546" s="62">
        <f>IF(AK546*Variables!$E$43*Variables!$C$18&lt;0,0,AK546*Variables!$E$43*Variables!$C$18)</f>
        <v>0</v>
      </c>
      <c r="AM546" s="58">
        <f>AA546*Variables!$E$39*Variables!$C$18</f>
        <v>11845378.868874336</v>
      </c>
      <c r="AN546" s="1"/>
      <c r="AO546" s="76">
        <f t="shared" si="16"/>
        <v>0.67714285714285716</v>
      </c>
      <c r="AP546" s="76">
        <f t="shared" si="6"/>
        <v>149.91736407593783</v>
      </c>
      <c r="AQ546" s="75">
        <f>VLOOKUP(B546,'Household Information'!$B$2:$E$48,4,FALSE)</f>
        <v>65.935833333333335</v>
      </c>
      <c r="AR546" s="79">
        <f>IF(12*(AP546-Variables!$C$45*AQ546*F546)*(G546/5)&lt;0,0,12*(AP546-Variables!$C$45*AQ546*F546)*(G546/5))</f>
        <v>3778958.6595205944</v>
      </c>
      <c r="AS546" s="1"/>
      <c r="AT546" s="62">
        <v>0</v>
      </c>
      <c r="AU546" s="1"/>
    </row>
    <row r="547" spans="1:47" ht="14.25" customHeight="1">
      <c r="A547" s="1">
        <v>27</v>
      </c>
      <c r="B547" s="3" t="s">
        <v>220</v>
      </c>
      <c r="C547" s="1">
        <v>2030</v>
      </c>
      <c r="D547" s="13">
        <f>VLOOKUP(B547,Population!$B$1:$O$48,14,FALSE)</f>
        <v>9606.7920076934206</v>
      </c>
      <c r="E547" s="13" t="str">
        <f t="shared" si="24"/>
        <v>Small</v>
      </c>
      <c r="F547" s="54">
        <f>VLOOKUP(B547,'Household Information'!$B$1:$E$48,2,FALSE)</f>
        <v>2.667113684852179</v>
      </c>
      <c r="G547" s="54">
        <f t="shared" si="0"/>
        <v>3601.9432025920046</v>
      </c>
      <c r="H547" s="55">
        <f>IF(D547&gt;Variables!$C$6,H500,H500*(1+Variables!$C$9))</f>
        <v>0.86177090540375567</v>
      </c>
      <c r="I547" s="1"/>
      <c r="J547" s="13">
        <f>H547*Variables!$C$21</f>
        <v>15.511876297267602</v>
      </c>
      <c r="K547" s="13">
        <f t="shared" si="12"/>
        <v>15.016337170636596</v>
      </c>
      <c r="L547" s="54">
        <f t="shared" si="1"/>
        <v>0.49553912663100519</v>
      </c>
      <c r="M547" s="56"/>
      <c r="N547" s="57"/>
      <c r="O547" s="57"/>
      <c r="P547" s="57"/>
      <c r="Q547" s="57"/>
      <c r="R547" s="57"/>
      <c r="S547" s="58">
        <v>0</v>
      </c>
      <c r="T547" s="59">
        <f>$L547*Variables!$C$22/100</f>
        <v>2.6907101898516115E-2</v>
      </c>
      <c r="U547" s="59">
        <f>$L547*Variables!$C$23/100</f>
        <v>4.7087428322403209E-2</v>
      </c>
      <c r="V547" s="59">
        <f>$L547*Variables!$C$24/100</f>
        <v>4.9329686813946221E-2</v>
      </c>
      <c r="W547" s="59">
        <f>$L547*Variables!$C$25/100</f>
        <v>0.35876135864688158</v>
      </c>
      <c r="X547" s="62">
        <f>T547*Variables!$E$26*Variables!$C$18+'Cost Calculations'!U547*Variables!$E$27*Variables!$C$18+'Cost Calculations'!V547*Variables!$E$28*Variables!$C$18+W547*Variables!$E$29*Variables!$C$18</f>
        <v>563293.1891257168</v>
      </c>
      <c r="Y547" s="58">
        <f>J547*Variables!$E$30</f>
        <v>10160.27897471028</v>
      </c>
      <c r="Z547" s="1"/>
      <c r="AA547" s="245">
        <f>D547*(IF(D547&lt;Variables!$C$7,Variables!$C$38,IF(D547&gt;Variables!$C$6,Variables!$C$36,Variables!$C$37)))</f>
        <v>4.8033960038467107</v>
      </c>
      <c r="AB547" s="64">
        <f t="shared" si="13"/>
        <v>78</v>
      </c>
      <c r="AC547" s="66">
        <f t="shared" si="2"/>
        <v>0</v>
      </c>
      <c r="AD547" s="62">
        <f>AC547*Variables!$E$41</f>
        <v>0</v>
      </c>
      <c r="AE547" s="71">
        <f>ROUND((H547/(3.14*Variables!$C$35^2)),0)</f>
        <v>1</v>
      </c>
      <c r="AF547" s="57">
        <f t="shared" si="14"/>
        <v>1</v>
      </c>
      <c r="AG547" s="57">
        <f t="shared" si="3"/>
        <v>0</v>
      </c>
      <c r="AH547" s="58">
        <f>AG547*Variables!$E$42*Variables!$C$18</f>
        <v>0</v>
      </c>
      <c r="AI547" s="73">
        <f t="shared" si="4"/>
        <v>0</v>
      </c>
      <c r="AJ547" s="66">
        <f t="shared" si="15"/>
        <v>0</v>
      </c>
      <c r="AK547" s="66">
        <f t="shared" si="5"/>
        <v>0</v>
      </c>
      <c r="AL547" s="62">
        <f>IF(AK547*Variables!$E$43*Variables!$C$18&lt;0,0,AK547*Variables!$E$43*Variables!$C$18)</f>
        <v>0</v>
      </c>
      <c r="AM547" s="58">
        <f>AA547*Variables!$E$39*Variables!$C$18</f>
        <v>1388432.7328710745</v>
      </c>
      <c r="AN547" s="1"/>
      <c r="AO547" s="76">
        <f t="shared" si="16"/>
        <v>0.67714285714285716</v>
      </c>
      <c r="AP547" s="76">
        <f t="shared" si="6"/>
        <v>108.3610188531371</v>
      </c>
      <c r="AQ547" s="75">
        <f>VLOOKUP(B547,'Household Information'!$B$2:$E$48,4,FALSE)</f>
        <v>65.935833333333335</v>
      </c>
      <c r="AR547" s="79">
        <f>IF(12*(AP547-Variables!$C$45*AQ547*F547)*(G547/5)&lt;0,0,12*(AP547-Variables!$C$45*AQ547*F547)*(G547/5))</f>
        <v>708709.10347418499</v>
      </c>
      <c r="AS547" s="1"/>
      <c r="AT547" s="62">
        <v>0</v>
      </c>
      <c r="AU547" s="1"/>
    </row>
    <row r="548" spans="1:47" ht="14.25" customHeight="1">
      <c r="A548" s="1">
        <v>28</v>
      </c>
      <c r="B548" s="3" t="s">
        <v>221</v>
      </c>
      <c r="C548" s="1">
        <v>2030</v>
      </c>
      <c r="D548" s="13">
        <f>VLOOKUP(B548,Population!$B$1:$O$48,14,FALSE)</f>
        <v>57492.495392899291</v>
      </c>
      <c r="E548" s="13" t="str">
        <f t="shared" si="24"/>
        <v>Small</v>
      </c>
      <c r="F548" s="54">
        <f>VLOOKUP(B548,'Household Information'!$B$1:$E$48,2,FALSE)</f>
        <v>2.5363152064982328</v>
      </c>
      <c r="G548" s="54">
        <f t="shared" si="0"/>
        <v>22667.724912739213</v>
      </c>
      <c r="H548" s="55">
        <f>IF(D548&gt;Variables!$C$6,H501,H501*(1+Variables!$C$9))</f>
        <v>7.4320201822800938</v>
      </c>
      <c r="I548" s="1"/>
      <c r="J548" s="13">
        <f>H548*Variables!$C$21</f>
        <v>133.77636328104168</v>
      </c>
      <c r="K548" s="13">
        <f t="shared" si="12"/>
        <v>129.50277181126978</v>
      </c>
      <c r="L548" s="54">
        <f t="shared" si="1"/>
        <v>4.2735914697719011</v>
      </c>
      <c r="M548" s="56"/>
      <c r="N548" s="57"/>
      <c r="O548" s="57"/>
      <c r="P548" s="57"/>
      <c r="Q548" s="57"/>
      <c r="R548" s="57"/>
      <c r="S548" s="58">
        <v>0</v>
      </c>
      <c r="T548" s="59">
        <f>$L548*Variables!$C$22/100</f>
        <v>0.23205021555322539</v>
      </c>
      <c r="U548" s="59">
        <f>$L548*Variables!$C$23/100</f>
        <v>0.40608787721814443</v>
      </c>
      <c r="V548" s="59">
        <f>$L548*Variables!$C$24/100</f>
        <v>0.42542539518091327</v>
      </c>
      <c r="W548" s="59">
        <f>$L548*Variables!$C$25/100</f>
        <v>3.0940028740430052</v>
      </c>
      <c r="X548" s="62">
        <f>T548*Variables!$E$26*Variables!$C$18+'Cost Calculations'!U548*Variables!$E$27*Variables!$C$18+'Cost Calculations'!V548*Variables!$E$28*Variables!$C$18+W548*Variables!$E$29*Variables!$C$18</f>
        <v>4857910.9875632841</v>
      </c>
      <c r="Y548" s="58">
        <f>J548*Variables!$E$30</f>
        <v>87623.517949082307</v>
      </c>
      <c r="Z548" s="1"/>
      <c r="AA548" s="245">
        <f>D548*(IF(D548&lt;Variables!$C$7,Variables!$C$38,IF(D548&gt;Variables!$C$6,Variables!$C$36,Variables!$C$37)))</f>
        <v>45.993996314319432</v>
      </c>
      <c r="AB548" s="64">
        <f t="shared" si="13"/>
        <v>45</v>
      </c>
      <c r="AC548" s="66">
        <f t="shared" si="2"/>
        <v>1</v>
      </c>
      <c r="AD548" s="62">
        <f>AC548*Variables!$E$41</f>
        <v>537600</v>
      </c>
      <c r="AE548" s="71">
        <f>ROUND((H548/(3.14*Variables!$C$35^2)),0)</f>
        <v>9</v>
      </c>
      <c r="AF548" s="57">
        <f t="shared" si="14"/>
        <v>9</v>
      </c>
      <c r="AG548" s="57">
        <f t="shared" si="3"/>
        <v>0</v>
      </c>
      <c r="AH548" s="58">
        <f>AG548*Variables!$E$42*Variables!$C$18</f>
        <v>0</v>
      </c>
      <c r="AI548" s="73">
        <f t="shared" si="4"/>
        <v>0</v>
      </c>
      <c r="AJ548" s="66">
        <f t="shared" si="15"/>
        <v>0</v>
      </c>
      <c r="AK548" s="66">
        <f t="shared" si="5"/>
        <v>0</v>
      </c>
      <c r="AL548" s="62">
        <f>IF(AK548*Variables!$E$43*Variables!$C$18&lt;0,0,AK548*Variables!$E$43*Variables!$C$18)</f>
        <v>0</v>
      </c>
      <c r="AM548" s="58">
        <f>AA548*Variables!$E$39*Variables!$C$18</f>
        <v>13294671.092537841</v>
      </c>
      <c r="AN548" s="1"/>
      <c r="AO548" s="76">
        <f t="shared" si="16"/>
        <v>0.67714285714285716</v>
      </c>
      <c r="AP548" s="76">
        <f t="shared" si="6"/>
        <v>103.04686353258533</v>
      </c>
      <c r="AQ548" s="75">
        <f>VLOOKUP(B548,'Household Information'!$B$2:$E$48,4,FALSE)</f>
        <v>65.935833333333335</v>
      </c>
      <c r="AR548" s="79">
        <f>IF(12*(AP548-Variables!$C$45*AQ548*F548)*(G548/5)&lt;0,0,12*(AP548-Variables!$C$45*AQ548*F548)*(G548/5))</f>
        <v>4241317.4797336226</v>
      </c>
      <c r="AS548" s="1"/>
      <c r="AT548" s="62">
        <v>0</v>
      </c>
      <c r="AU548" s="1"/>
    </row>
    <row r="549" spans="1:47" ht="14.25" customHeight="1">
      <c r="A549" s="1">
        <v>29</v>
      </c>
      <c r="B549" s="3" t="s">
        <v>222</v>
      </c>
      <c r="C549" s="1">
        <v>2030</v>
      </c>
      <c r="D549" s="13">
        <f>VLOOKUP(B549,Population!$B$1:$O$48,14,FALSE)</f>
        <v>57894.223098510367</v>
      </c>
      <c r="E549" s="13" t="str">
        <f t="shared" si="24"/>
        <v>Small</v>
      </c>
      <c r="F549" s="54">
        <f>VLOOKUP(B549,'Household Information'!$B$1:$E$48,2,FALSE)</f>
        <v>2.6066968130921619</v>
      </c>
      <c r="G549" s="54">
        <f t="shared" si="0"/>
        <v>22209.803153069442</v>
      </c>
      <c r="H549" s="55">
        <f>IF(D549&gt;Variables!$C$6,H502,H502*(1+Variables!$C$9))</f>
        <v>4.6878896534382131</v>
      </c>
      <c r="I549" s="1"/>
      <c r="J549" s="13">
        <f>H549*Variables!$C$21</f>
        <v>84.382013761887833</v>
      </c>
      <c r="K549" s="13">
        <f t="shared" si="12"/>
        <v>81.686363757877871</v>
      </c>
      <c r="L549" s="54">
        <f t="shared" si="1"/>
        <v>2.6956500040099627</v>
      </c>
      <c r="M549" s="56"/>
      <c r="N549" s="57"/>
      <c r="O549" s="57"/>
      <c r="P549" s="57"/>
      <c r="Q549" s="57"/>
      <c r="R549" s="57"/>
      <c r="S549" s="58">
        <v>0</v>
      </c>
      <c r="T549" s="59">
        <f>$L549*Variables!$C$22/100</f>
        <v>0.14637013596434184</v>
      </c>
      <c r="U549" s="59">
        <f>$L549*Variables!$C$23/100</f>
        <v>0.25614773793759826</v>
      </c>
      <c r="V549" s="59">
        <f>$L549*Variables!$C$24/100</f>
        <v>0.26834524926796011</v>
      </c>
      <c r="W549" s="59">
        <f>$L549*Variables!$C$25/100</f>
        <v>1.9516018128578916</v>
      </c>
      <c r="X549" s="62">
        <f>T549*Variables!$E$26*Variables!$C$18+'Cost Calculations'!U549*Variables!$E$27*Variables!$C$18+'Cost Calculations'!V549*Variables!$E$28*Variables!$C$18+W549*Variables!$E$29*Variables!$C$18</f>
        <v>3064220.7767706802</v>
      </c>
      <c r="Y549" s="58">
        <f>J549*Variables!$E$30</f>
        <v>55270.219014036527</v>
      </c>
      <c r="Z549" s="1"/>
      <c r="AA549" s="245">
        <f>D549*(IF(D549&lt;Variables!$C$7,Variables!$C$38,IF(D549&gt;Variables!$C$6,Variables!$C$36,Variables!$C$37)))</f>
        <v>46.315378478808299</v>
      </c>
      <c r="AB549" s="64">
        <f t="shared" si="13"/>
        <v>46</v>
      </c>
      <c r="AC549" s="66">
        <f t="shared" si="2"/>
        <v>0</v>
      </c>
      <c r="AD549" s="62">
        <f>AC549*Variables!$E$41</f>
        <v>0</v>
      </c>
      <c r="AE549" s="71">
        <f>ROUND((H549/(3.14*Variables!$C$35^2)),0)</f>
        <v>6</v>
      </c>
      <c r="AF549" s="57">
        <f t="shared" si="14"/>
        <v>6</v>
      </c>
      <c r="AG549" s="57">
        <f t="shared" si="3"/>
        <v>0</v>
      </c>
      <c r="AH549" s="58">
        <f>AG549*Variables!$E$42*Variables!$C$18</f>
        <v>0</v>
      </c>
      <c r="AI549" s="73">
        <f t="shared" si="4"/>
        <v>0</v>
      </c>
      <c r="AJ549" s="66">
        <f t="shared" si="15"/>
        <v>0</v>
      </c>
      <c r="AK549" s="66">
        <f t="shared" si="5"/>
        <v>0</v>
      </c>
      <c r="AL549" s="62">
        <f>IF(AK549*Variables!$E$43*Variables!$C$18&lt;0,0,AK549*Variables!$E$43*Variables!$C$18)</f>
        <v>0</v>
      </c>
      <c r="AM549" s="58">
        <f>AA549*Variables!$E$39*Variables!$C$18</f>
        <v>13387567.351055764</v>
      </c>
      <c r="AN549" s="1"/>
      <c r="AO549" s="76">
        <f t="shared" si="16"/>
        <v>0.67714285714285716</v>
      </c>
      <c r="AP549" s="76">
        <f t="shared" si="6"/>
        <v>105.9063676633444</v>
      </c>
      <c r="AQ549" s="75">
        <f>VLOOKUP(B549,'Household Information'!$B$2:$E$48,4,FALSE)</f>
        <v>65.935833333333335</v>
      </c>
      <c r="AR549" s="79">
        <f>IF(12*(AP549-Variables!$C$45*AQ549*F549)*(G549/5)&lt;0,0,12*(AP549-Variables!$C$45*AQ549*F549)*(G549/5))</f>
        <v>4270953.6040357165</v>
      </c>
      <c r="AS549" s="1"/>
      <c r="AT549" s="62">
        <v>0</v>
      </c>
      <c r="AU549" s="1"/>
    </row>
    <row r="550" spans="1:47" ht="14.25" customHeight="1">
      <c r="A550" s="1">
        <v>30</v>
      </c>
      <c r="B550" s="3" t="s">
        <v>223</v>
      </c>
      <c r="C550" s="1">
        <v>2030</v>
      </c>
      <c r="D550" s="13">
        <f>VLOOKUP(B550,Population!$B$1:$O$48,14,FALSE)</f>
        <v>23658.89237688082</v>
      </c>
      <c r="E550" s="13" t="str">
        <f t="shared" si="24"/>
        <v>Small</v>
      </c>
      <c r="F550" s="54">
        <f>VLOOKUP(B550,'Household Information'!$B$1:$E$48,2,FALSE)</f>
        <v>2.8820273812991553</v>
      </c>
      <c r="G550" s="54">
        <f t="shared" si="0"/>
        <v>8209.1143652548872</v>
      </c>
      <c r="H550" s="55">
        <f>IF(D550&gt;Variables!$C$6,H503,H503*(1+Variables!$C$9))</f>
        <v>4.8593978114908296</v>
      </c>
      <c r="I550" s="1"/>
      <c r="J550" s="13">
        <f>H550*Variables!$C$21</f>
        <v>87.469160606834933</v>
      </c>
      <c r="K550" s="13">
        <f t="shared" si="12"/>
        <v>84.674889261214844</v>
      </c>
      <c r="L550" s="54">
        <f t="shared" si="1"/>
        <v>2.7942713456200892</v>
      </c>
      <c r="M550" s="56"/>
      <c r="N550" s="57"/>
      <c r="O550" s="57"/>
      <c r="P550" s="57"/>
      <c r="Q550" s="57"/>
      <c r="R550" s="57"/>
      <c r="S550" s="58">
        <v>0</v>
      </c>
      <c r="T550" s="59">
        <f>$L550*Variables!$C$22/100</f>
        <v>0.15172514093864736</v>
      </c>
      <c r="U550" s="59">
        <f>$L550*Variables!$C$23/100</f>
        <v>0.2655189966426329</v>
      </c>
      <c r="V550" s="59">
        <f>$L550*Variables!$C$24/100</f>
        <v>0.27816275838752019</v>
      </c>
      <c r="W550" s="59">
        <f>$L550*Variables!$C$25/100</f>
        <v>2.0230018791819648</v>
      </c>
      <c r="X550" s="62">
        <f>T550*Variables!$E$26*Variables!$C$18+'Cost Calculations'!U550*Variables!$E$27*Variables!$C$18+'Cost Calculations'!V550*Variables!$E$28*Variables!$C$18+W550*Variables!$E$29*Variables!$C$18</f>
        <v>3176326.4149452238</v>
      </c>
      <c r="Y550" s="58">
        <f>J550*Variables!$E$30</f>
        <v>57292.300197476878</v>
      </c>
      <c r="Z550" s="1"/>
      <c r="AA550" s="245">
        <f>D550*(IF(D550&lt;Variables!$C$7,Variables!$C$38,IF(D550&gt;Variables!$C$6,Variables!$C$36,Variables!$C$37)))</f>
        <v>11.829446188440411</v>
      </c>
      <c r="AB550" s="64">
        <f t="shared" si="13"/>
        <v>12</v>
      </c>
      <c r="AC550" s="66">
        <f t="shared" si="2"/>
        <v>0</v>
      </c>
      <c r="AD550" s="62">
        <f>AC550*Variables!$E$41</f>
        <v>0</v>
      </c>
      <c r="AE550" s="71">
        <f>ROUND((H550/(3.14*Variables!$C$35^2)),0)</f>
        <v>6</v>
      </c>
      <c r="AF550" s="57">
        <f t="shared" si="14"/>
        <v>6</v>
      </c>
      <c r="AG550" s="57">
        <f t="shared" si="3"/>
        <v>0</v>
      </c>
      <c r="AH550" s="58">
        <f>AG550*Variables!$E$42*Variables!$C$18</f>
        <v>0</v>
      </c>
      <c r="AI550" s="73">
        <f t="shared" si="4"/>
        <v>0</v>
      </c>
      <c r="AJ550" s="66">
        <f t="shared" si="15"/>
        <v>0</v>
      </c>
      <c r="AK550" s="66">
        <f t="shared" si="5"/>
        <v>0</v>
      </c>
      <c r="AL550" s="62">
        <f>IF(AK550*Variables!$E$43*Variables!$C$18&lt;0,0,AK550*Variables!$E$43*Variables!$C$18)</f>
        <v>0</v>
      </c>
      <c r="AM550" s="58">
        <f>AA550*Variables!$E$39*Variables!$C$18</f>
        <v>3419328.8012511283</v>
      </c>
      <c r="AN550" s="1"/>
      <c r="AO550" s="76">
        <f t="shared" si="16"/>
        <v>0.67714285714285716</v>
      </c>
      <c r="AP550" s="76">
        <f t="shared" si="6"/>
        <v>117.09265532021139</v>
      </c>
      <c r="AQ550" s="75">
        <f>VLOOKUP(B550,'Household Information'!$B$2:$E$48,4,FALSE)</f>
        <v>65.935833333333335</v>
      </c>
      <c r="AR550" s="79">
        <f>IF(12*(AP550-Variables!$C$45*AQ550*F550)*(G550/5)&lt;0,0,12*(AP550-Variables!$C$45*AQ550*F550)*(G550/5))</f>
        <v>1745356.0347911851</v>
      </c>
      <c r="AS550" s="1"/>
      <c r="AT550" s="62">
        <v>0</v>
      </c>
      <c r="AU550" s="1"/>
    </row>
    <row r="551" spans="1:47" ht="14.25" customHeight="1">
      <c r="A551" s="1">
        <v>31</v>
      </c>
      <c r="B551" s="3" t="s">
        <v>224</v>
      </c>
      <c r="C551" s="1">
        <v>2030</v>
      </c>
      <c r="D551" s="13">
        <f>VLOOKUP(B551,Population!$B$1:$O$48,14,FALSE)</f>
        <v>35992.889433677999</v>
      </c>
      <c r="E551" s="13" t="str">
        <f t="shared" si="24"/>
        <v>Small</v>
      </c>
      <c r="F551" s="54">
        <f>VLOOKUP(B551,'Household Information'!$B$1:$E$48,2,FALSE)</f>
        <v>3.407</v>
      </c>
      <c r="G551" s="54">
        <f t="shared" si="0"/>
        <v>10564.393728699148</v>
      </c>
      <c r="H551" s="55">
        <f>IF(D551&gt;Variables!$C$6,H504,H504*(1+Variables!$C$9))</f>
        <v>5.18812178109168</v>
      </c>
      <c r="I551" s="1"/>
      <c r="J551" s="13">
        <f>H551*Variables!$C$21</f>
        <v>93.386192059650242</v>
      </c>
      <c r="K551" s="13">
        <f t="shared" si="12"/>
        <v>90.402896475944104</v>
      </c>
      <c r="L551" s="54">
        <f t="shared" si="1"/>
        <v>2.9832955837061377</v>
      </c>
      <c r="M551" s="56"/>
      <c r="N551" s="57"/>
      <c r="O551" s="57"/>
      <c r="P551" s="57"/>
      <c r="Q551" s="57"/>
      <c r="R551" s="57"/>
      <c r="S551" s="58">
        <v>0</v>
      </c>
      <c r="T551" s="59">
        <f>$L551*Variables!$C$22/100</f>
        <v>0.16198890047273143</v>
      </c>
      <c r="U551" s="59">
        <f>$L551*Variables!$C$23/100</f>
        <v>0.28348057582728003</v>
      </c>
      <c r="V551" s="59">
        <f>$L551*Variables!$C$24/100</f>
        <v>0.29697965086667433</v>
      </c>
      <c r="W551" s="59">
        <f>$L551*Variables!$C$25/100</f>
        <v>2.1598520063030859</v>
      </c>
      <c r="X551" s="62">
        <f>T551*Variables!$E$26*Variables!$C$18+'Cost Calculations'!U551*Variables!$E$27*Variables!$C$18+'Cost Calculations'!V551*Variables!$E$28*Variables!$C$18+W551*Variables!$E$29*Variables!$C$18</f>
        <v>3391195.5547797354</v>
      </c>
      <c r="Y551" s="58">
        <f>J551*Variables!$E$30</f>
        <v>61167.955799070907</v>
      </c>
      <c r="Z551" s="1"/>
      <c r="AA551" s="245">
        <f>D551*(IF(D551&lt;Variables!$C$7,Variables!$C$38,IF(D551&gt;Variables!$C$6,Variables!$C$36,Variables!$C$37)))</f>
        <v>17.996444716839001</v>
      </c>
      <c r="AB551" s="64">
        <f t="shared" si="13"/>
        <v>18</v>
      </c>
      <c r="AC551" s="66">
        <f t="shared" si="2"/>
        <v>0</v>
      </c>
      <c r="AD551" s="62">
        <f>AC551*Variables!$E$41</f>
        <v>0</v>
      </c>
      <c r="AE551" s="71">
        <f>ROUND((H551/(3.14*Variables!$C$35^2)),0)</f>
        <v>7</v>
      </c>
      <c r="AF551" s="57">
        <f t="shared" si="14"/>
        <v>6</v>
      </c>
      <c r="AG551" s="57">
        <f t="shared" si="3"/>
        <v>1</v>
      </c>
      <c r="AH551" s="58">
        <f>AG551*Variables!$E$42*Variables!$C$18</f>
        <v>1148.2560000000001</v>
      </c>
      <c r="AI551" s="73">
        <f t="shared" si="4"/>
        <v>0</v>
      </c>
      <c r="AJ551" s="66">
        <f t="shared" si="15"/>
        <v>0</v>
      </c>
      <c r="AK551" s="66">
        <f t="shared" si="5"/>
        <v>0</v>
      </c>
      <c r="AL551" s="62">
        <f>IF(AK551*Variables!$E$43*Variables!$C$18&lt;0,0,AK551*Variables!$E$43*Variables!$C$18)</f>
        <v>0</v>
      </c>
      <c r="AM551" s="58">
        <f>AA551*Variables!$E$39*Variables!$C$18</f>
        <v>5201914.0000436613</v>
      </c>
      <c r="AN551" s="1"/>
      <c r="AO551" s="76">
        <f t="shared" si="16"/>
        <v>0.67714285714285716</v>
      </c>
      <c r="AP551" s="76">
        <f t="shared" si="6"/>
        <v>138.42154285714284</v>
      </c>
      <c r="AQ551" s="75">
        <f>VLOOKUP(B551,'Household Information'!$B$2:$E$48,4,FALSE)</f>
        <v>65.935833333333335</v>
      </c>
      <c r="AR551" s="79">
        <f>IF(12*(AP551-Variables!$C$45*AQ551*F551)*(G551/5)&lt;0,0,12*(AP551-Variables!$C$45*AQ551*F551)*(G551/5))</f>
        <v>2655255.6130661927</v>
      </c>
      <c r="AS551" s="1"/>
      <c r="AT551" s="62">
        <v>0</v>
      </c>
      <c r="AU551" s="1"/>
    </row>
    <row r="552" spans="1:47" ht="14.25" customHeight="1">
      <c r="A552" s="1">
        <v>32</v>
      </c>
      <c r="B552" s="3" t="s">
        <v>225</v>
      </c>
      <c r="C552" s="1">
        <v>2030</v>
      </c>
      <c r="D552" s="13">
        <f>VLOOKUP(B552,Population!$B$1:$O$48,14,FALSE)</f>
        <v>33129.383913027625</v>
      </c>
      <c r="E552" s="13" t="str">
        <f t="shared" si="24"/>
        <v>Small</v>
      </c>
      <c r="F552" s="54">
        <f>VLOOKUP(B552,'Household Information'!$B$1:$E$48,2,FALSE)</f>
        <v>4.9791554357592096</v>
      </c>
      <c r="G552" s="54">
        <f t="shared" si="0"/>
        <v>6653.6151241834323</v>
      </c>
      <c r="H552" s="55">
        <f>IF(D552&gt;Variables!$C$6,H505,H505*(1+Variables!$C$9))</f>
        <v>4.4306274163592851</v>
      </c>
      <c r="I552" s="1"/>
      <c r="J552" s="13">
        <f>H552*Variables!$C$21</f>
        <v>79.751293494467134</v>
      </c>
      <c r="K552" s="13">
        <f t="shared" si="12"/>
        <v>77.203575502872354</v>
      </c>
      <c r="L552" s="54">
        <f t="shared" si="1"/>
        <v>2.5477179915947801</v>
      </c>
      <c r="M552" s="56"/>
      <c r="N552" s="57"/>
      <c r="O552" s="57"/>
      <c r="P552" s="57"/>
      <c r="Q552" s="57"/>
      <c r="R552" s="57"/>
      <c r="S552" s="58">
        <v>0</v>
      </c>
      <c r="T552" s="59">
        <f>$L552*Variables!$C$22/100</f>
        <v>0.13833762850288397</v>
      </c>
      <c r="U552" s="59">
        <f>$L552*Variables!$C$23/100</f>
        <v>0.24209084988004698</v>
      </c>
      <c r="V552" s="59">
        <f>$L552*Variables!$C$24/100</f>
        <v>0.25361898558862067</v>
      </c>
      <c r="W552" s="59">
        <f>$L552*Variables!$C$25/100</f>
        <v>1.8445017133717863</v>
      </c>
      <c r="X552" s="62">
        <f>T552*Variables!$E$26*Variables!$C$18+'Cost Calculations'!U552*Variables!$E$27*Variables!$C$18+'Cost Calculations'!V552*Variables!$E$28*Variables!$C$18+W552*Variables!$E$29*Variables!$C$18</f>
        <v>2896062.3195088725</v>
      </c>
      <c r="Y552" s="58">
        <f>J552*Variables!$E$30</f>
        <v>52237.097238875976</v>
      </c>
      <c r="Z552" s="1"/>
      <c r="AA552" s="245">
        <f>D552*(IF(D552&lt;Variables!$C$7,Variables!$C$38,IF(D552&gt;Variables!$C$6,Variables!$C$36,Variables!$C$37)))</f>
        <v>16.564691956513812</v>
      </c>
      <c r="AB552" s="64">
        <f t="shared" si="13"/>
        <v>16</v>
      </c>
      <c r="AC552" s="66">
        <f t="shared" si="2"/>
        <v>1</v>
      </c>
      <c r="AD552" s="62">
        <f>AC552*Variables!$E$41</f>
        <v>537600</v>
      </c>
      <c r="AE552" s="71">
        <f>ROUND((H552/(3.14*Variables!$C$35^2)),0)</f>
        <v>6</v>
      </c>
      <c r="AF552" s="57">
        <f t="shared" si="14"/>
        <v>5</v>
      </c>
      <c r="AG552" s="57">
        <f t="shared" si="3"/>
        <v>1</v>
      </c>
      <c r="AH552" s="58">
        <f>AG552*Variables!$E$42*Variables!$C$18</f>
        <v>1148.2560000000001</v>
      </c>
      <c r="AI552" s="73">
        <f t="shared" si="4"/>
        <v>0</v>
      </c>
      <c r="AJ552" s="66">
        <f t="shared" si="15"/>
        <v>1</v>
      </c>
      <c r="AK552" s="66">
        <f t="shared" si="5"/>
        <v>0</v>
      </c>
      <c r="AL552" s="62">
        <f>IF(AK552*Variables!$E$43*Variables!$C$18&lt;0,0,AK552*Variables!$E$43*Variables!$C$18)</f>
        <v>0</v>
      </c>
      <c r="AM552" s="58">
        <f>AA552*Variables!$E$39*Variables!$C$18</f>
        <v>4788062.5507311253</v>
      </c>
      <c r="AN552" s="1"/>
      <c r="AO552" s="76">
        <f t="shared" si="16"/>
        <v>0.67714285714285716</v>
      </c>
      <c r="AP552" s="76">
        <f t="shared" si="6"/>
        <v>202.29597227570272</v>
      </c>
      <c r="AQ552" s="75">
        <f>VLOOKUP(B552,'Household Information'!$B$2:$E$48,4,FALSE)</f>
        <v>65.935833333333335</v>
      </c>
      <c r="AR552" s="79">
        <f>IF(12*(AP552-Variables!$C$45*AQ552*F552)*(G552/5)&lt;0,0,12*(AP552-Variables!$C$45*AQ552*F552)*(G552/5))</f>
        <v>2444010.0246628737</v>
      </c>
      <c r="AS552" s="1"/>
      <c r="AT552" s="62">
        <v>0</v>
      </c>
      <c r="AU552" s="1"/>
    </row>
    <row r="553" spans="1:47" ht="14.25" customHeight="1">
      <c r="A553" s="1">
        <v>33</v>
      </c>
      <c r="B553" s="3" t="s">
        <v>226</v>
      </c>
      <c r="C553" s="1">
        <v>2030</v>
      </c>
      <c r="D553" s="13">
        <f>VLOOKUP(B553,Population!$B$1:$O$48,14,FALSE)</f>
        <v>142043.02562414453</v>
      </c>
      <c r="E553" s="13" t="str">
        <f t="shared" si="24"/>
        <v>Medium</v>
      </c>
      <c r="F553" s="54">
        <f>VLOOKUP(B553,'Household Information'!$B$1:$E$48,2,FALSE)</f>
        <v>2.6362587373793409</v>
      </c>
      <c r="G553" s="54">
        <f t="shared" si="0"/>
        <v>53880.532896913996</v>
      </c>
      <c r="H553" s="55">
        <f>IF(D553&gt;Variables!$C$6,H506,H506*(1+Variables!$C$9))</f>
        <v>12.015102013299996</v>
      </c>
      <c r="I553" s="1"/>
      <c r="J553" s="13">
        <f>H553*Variables!$C$21</f>
        <v>216.27183623939993</v>
      </c>
      <c r="K553" s="13">
        <f t="shared" si="12"/>
        <v>216.27183623939993</v>
      </c>
      <c r="L553" s="54">
        <f t="shared" si="1"/>
        <v>0</v>
      </c>
      <c r="M553" s="56"/>
      <c r="N553" s="57"/>
      <c r="O553" s="57"/>
      <c r="P553" s="57"/>
      <c r="Q553" s="57"/>
      <c r="R553" s="57"/>
      <c r="S553" s="58">
        <v>0</v>
      </c>
      <c r="T553" s="59">
        <f>$L553*Variables!$C$22/100</f>
        <v>0</v>
      </c>
      <c r="U553" s="59">
        <f>$L553*Variables!$C$23/100</f>
        <v>0</v>
      </c>
      <c r="V553" s="59">
        <f>$L553*Variables!$C$24/100</f>
        <v>0</v>
      </c>
      <c r="W553" s="59">
        <f>$L553*Variables!$C$25/100</f>
        <v>0</v>
      </c>
      <c r="X553" s="62">
        <f>T553*Variables!$E$26*Variables!$C$18+'Cost Calculations'!U553*Variables!$E$27*Variables!$C$18+'Cost Calculations'!V553*Variables!$E$28*Variables!$C$18+W553*Variables!$E$29*Variables!$C$18</f>
        <v>0</v>
      </c>
      <c r="Y553" s="58">
        <f>J553*Variables!$E$30</f>
        <v>141658.05273680695</v>
      </c>
      <c r="Z553" s="1"/>
      <c r="AA553" s="245">
        <f>D553*(IF(D553&lt;Variables!$C$7,Variables!$C$38,IF(D553&gt;Variables!$C$6,Variables!$C$36,Variables!$C$37)))</f>
        <v>170.45163074897343</v>
      </c>
      <c r="AB553" s="64">
        <f t="shared" si="13"/>
        <v>168</v>
      </c>
      <c r="AC553" s="66">
        <f t="shared" si="2"/>
        <v>2</v>
      </c>
      <c r="AD553" s="62">
        <f>AC553*Variables!$E$41</f>
        <v>1075200</v>
      </c>
      <c r="AE553" s="71">
        <f>ROUND((H553/(3.14*Variables!$C$35^2)),0)</f>
        <v>15</v>
      </c>
      <c r="AF553" s="57">
        <f t="shared" si="14"/>
        <v>15</v>
      </c>
      <c r="AG553" s="57">
        <f t="shared" si="3"/>
        <v>0</v>
      </c>
      <c r="AH553" s="58">
        <f>AG553*Variables!$E$42*Variables!$C$18</f>
        <v>0</v>
      </c>
      <c r="AI553" s="73">
        <f t="shared" si="4"/>
        <v>1</v>
      </c>
      <c r="AJ553" s="66">
        <f t="shared" si="15"/>
        <v>1</v>
      </c>
      <c r="AK553" s="66">
        <f t="shared" si="5"/>
        <v>0</v>
      </c>
      <c r="AL553" s="62">
        <f>IF(AK553*Variables!$E$43*Variables!$C$18&lt;0,0,AK553*Variables!$E$43*Variables!$C$18)</f>
        <v>0</v>
      </c>
      <c r="AM553" s="58">
        <f>AA553*Variables!$E$39*Variables!$C$18</f>
        <v>49269438.396002151</v>
      </c>
      <c r="AN553" s="1"/>
      <c r="AO553" s="76">
        <f t="shared" si="16"/>
        <v>0.67714285714285716</v>
      </c>
      <c r="AP553" s="76">
        <f t="shared" si="6"/>
        <v>107.10742641581207</v>
      </c>
      <c r="AQ553" s="75">
        <f>VLOOKUP(B553,'Household Information'!$B$2:$E$48,4,FALSE)</f>
        <v>40.760000000000005</v>
      </c>
      <c r="AR553" s="79">
        <f>IF(12*(AP553-Variables!$C$45*AQ553*F553)*(G553/5)&lt;0,0,12*(AP553-Variables!$C$45*AQ553*F553)*(G553/5))</f>
        <v>11766129.96920385</v>
      </c>
      <c r="AS553" s="1"/>
      <c r="AT553" s="62">
        <v>0</v>
      </c>
      <c r="AU553" s="1"/>
    </row>
    <row r="554" spans="1:47" ht="14.25" customHeight="1">
      <c r="A554" s="1">
        <v>34</v>
      </c>
      <c r="B554" s="3" t="s">
        <v>227</v>
      </c>
      <c r="C554" s="1">
        <v>2030</v>
      </c>
      <c r="D554" s="13">
        <f>VLOOKUP(B554,Population!$B$1:$O$48,14,FALSE)</f>
        <v>126158.04259810661</v>
      </c>
      <c r="E554" s="13" t="str">
        <f t="shared" si="24"/>
        <v>Medium</v>
      </c>
      <c r="F554" s="54">
        <f>VLOOKUP(B554,'Household Information'!$B$1:$E$48,2,FALSE)</f>
        <v>2.8808529227072923</v>
      </c>
      <c r="G554" s="54">
        <f t="shared" si="0"/>
        <v>43791.906766121581</v>
      </c>
      <c r="H554" s="55">
        <f>IF(D554&gt;Variables!$C$6,H507,H507*(1+Variables!$C$9))</f>
        <v>8.2342029393899967</v>
      </c>
      <c r="I554" s="1"/>
      <c r="J554" s="13">
        <f>H554*Variables!$C$21</f>
        <v>148.21565290901995</v>
      </c>
      <c r="K554" s="13">
        <f t="shared" si="12"/>
        <v>148.21565290901995</v>
      </c>
      <c r="L554" s="54">
        <f t="shared" si="1"/>
        <v>0</v>
      </c>
      <c r="M554" s="56"/>
      <c r="N554" s="57"/>
      <c r="O554" s="57"/>
      <c r="P554" s="57"/>
      <c r="Q554" s="57"/>
      <c r="R554" s="57"/>
      <c r="S554" s="58">
        <v>0</v>
      </c>
      <c r="T554" s="59">
        <f>$L554*Variables!$C$22/100</f>
        <v>0</v>
      </c>
      <c r="U554" s="59">
        <f>$L554*Variables!$C$23/100</f>
        <v>0</v>
      </c>
      <c r="V554" s="59">
        <f>$L554*Variables!$C$24/100</f>
        <v>0</v>
      </c>
      <c r="W554" s="59">
        <f>$L554*Variables!$C$25/100</f>
        <v>0</v>
      </c>
      <c r="X554" s="62">
        <f>T554*Variables!$E$26*Variables!$C$18+'Cost Calculations'!U554*Variables!$E$27*Variables!$C$18+'Cost Calculations'!V554*Variables!$E$28*Variables!$C$18+W554*Variables!$E$29*Variables!$C$18</f>
        <v>0</v>
      </c>
      <c r="Y554" s="58">
        <f>J554*Variables!$E$30</f>
        <v>97081.252655408069</v>
      </c>
      <c r="Z554" s="1"/>
      <c r="AA554" s="245">
        <f>D554*(IF(D554&lt;Variables!$C$7,Variables!$C$38,IF(D554&gt;Variables!$C$6,Variables!$C$36,Variables!$C$37)))</f>
        <v>151.38965111772791</v>
      </c>
      <c r="AB554" s="64">
        <f t="shared" si="13"/>
        <v>149</v>
      </c>
      <c r="AC554" s="66">
        <f t="shared" si="2"/>
        <v>2</v>
      </c>
      <c r="AD554" s="62">
        <f>AC554*Variables!$E$41</f>
        <v>1075200</v>
      </c>
      <c r="AE554" s="71">
        <f>ROUND((H554/(3.14*Variables!$C$35^2)),0)</f>
        <v>10</v>
      </c>
      <c r="AF554" s="57">
        <f t="shared" si="14"/>
        <v>10</v>
      </c>
      <c r="AG554" s="57">
        <f t="shared" si="3"/>
        <v>0</v>
      </c>
      <c r="AH554" s="58">
        <f>AG554*Variables!$E$42*Variables!$C$18</f>
        <v>0</v>
      </c>
      <c r="AI554" s="73">
        <f t="shared" si="4"/>
        <v>1</v>
      </c>
      <c r="AJ554" s="66">
        <f t="shared" si="15"/>
        <v>1</v>
      </c>
      <c r="AK554" s="66">
        <f t="shared" si="5"/>
        <v>0</v>
      </c>
      <c r="AL554" s="62">
        <f>IF(AK554*Variables!$E$43*Variables!$C$18&lt;0,0,AK554*Variables!$E$43*Variables!$C$18)</f>
        <v>0</v>
      </c>
      <c r="AM554" s="58">
        <f>AA554*Variables!$E$39*Variables!$C$18</f>
        <v>43759529.062658004</v>
      </c>
      <c r="AN554" s="1"/>
      <c r="AO554" s="76">
        <f t="shared" si="16"/>
        <v>0.67714285714285716</v>
      </c>
      <c r="AP554" s="76">
        <f t="shared" si="6"/>
        <v>117.04493874542199</v>
      </c>
      <c r="AQ554" s="75">
        <f>VLOOKUP(B554,'Household Information'!$B$2:$E$48,4,FALSE)</f>
        <v>40.760000000000005</v>
      </c>
      <c r="AR554" s="79">
        <f>IF(12*(AP554-Variables!$C$45*AQ554*F554)*(G554/5)&lt;0,0,12*(AP554-Variables!$C$45*AQ554*F554)*(G554/5))</f>
        <v>10450297.854098657</v>
      </c>
      <c r="AS554" s="1"/>
      <c r="AT554" s="62">
        <v>0</v>
      </c>
      <c r="AU554" s="1"/>
    </row>
    <row r="555" spans="1:47" ht="14.25" customHeight="1">
      <c r="A555" s="1">
        <v>35</v>
      </c>
      <c r="B555" s="3" t="s">
        <v>228</v>
      </c>
      <c r="C555" s="1">
        <v>2030</v>
      </c>
      <c r="D555" s="13">
        <f>VLOOKUP(B555,Population!$B$1:$O$48,14,FALSE)</f>
        <v>576169.59244548436</v>
      </c>
      <c r="E555" s="13" t="str">
        <f t="shared" si="24"/>
        <v>Medium</v>
      </c>
      <c r="F555" s="54">
        <f>VLOOKUP(B555,'Household Information'!$B$1:$E$48,2,FALSE)</f>
        <v>2.7382605632202197</v>
      </c>
      <c r="G555" s="54">
        <f t="shared" si="0"/>
        <v>210414.45075917232</v>
      </c>
      <c r="H555" s="55">
        <f>IF(D555&gt;Variables!$C$6,H508,H508*(1+Variables!$C$9))</f>
        <v>24.726831923274581</v>
      </c>
      <c r="I555" s="1"/>
      <c r="J555" s="13">
        <f>H555*Variables!$C$21</f>
        <v>445.08297461894244</v>
      </c>
      <c r="K555" s="13">
        <f t="shared" si="12"/>
        <v>445.08297461894244</v>
      </c>
      <c r="L555" s="54">
        <f t="shared" si="1"/>
        <v>0</v>
      </c>
      <c r="M555" s="56"/>
      <c r="N555" s="57"/>
      <c r="O555" s="57"/>
      <c r="P555" s="57"/>
      <c r="Q555" s="57"/>
      <c r="R555" s="57"/>
      <c r="S555" s="58">
        <v>0</v>
      </c>
      <c r="T555" s="59">
        <f>$L555*Variables!$C$22/100</f>
        <v>0</v>
      </c>
      <c r="U555" s="59">
        <f>$L555*Variables!$C$23/100</f>
        <v>0</v>
      </c>
      <c r="V555" s="59">
        <f>$L555*Variables!$C$24/100</f>
        <v>0</v>
      </c>
      <c r="W555" s="59">
        <f>$L555*Variables!$C$25/100</f>
        <v>0</v>
      </c>
      <c r="X555" s="62">
        <f>T555*Variables!$E$26*Variables!$C$18+'Cost Calculations'!U555*Variables!$E$27*Variables!$C$18+'Cost Calculations'!V555*Variables!$E$28*Variables!$C$18+W555*Variables!$E$29*Variables!$C$18</f>
        <v>0</v>
      </c>
      <c r="Y555" s="58">
        <f>J555*Variables!$E$30</f>
        <v>291529.34837540728</v>
      </c>
      <c r="Z555" s="1"/>
      <c r="AA555" s="245">
        <f>D555*(IF(D555&lt;Variables!$C$7,Variables!$C$38,IF(D555&gt;Variables!$C$6,Variables!$C$36,Variables!$C$37)))</f>
        <v>691.40351093458116</v>
      </c>
      <c r="AB555" s="64">
        <f t="shared" si="13"/>
        <v>681</v>
      </c>
      <c r="AC555" s="66">
        <f t="shared" si="2"/>
        <v>10</v>
      </c>
      <c r="AD555" s="62">
        <f>AC555*Variables!$E$41</f>
        <v>5376000</v>
      </c>
      <c r="AE555" s="71">
        <f>ROUND((H555/(3.14*Variables!$C$35^2)),0)</f>
        <v>31</v>
      </c>
      <c r="AF555" s="57">
        <f t="shared" si="14"/>
        <v>31</v>
      </c>
      <c r="AG555" s="57">
        <f t="shared" si="3"/>
        <v>0</v>
      </c>
      <c r="AH555" s="58">
        <f>AG555*Variables!$E$42*Variables!$C$18</f>
        <v>0</v>
      </c>
      <c r="AI555" s="73">
        <f t="shared" si="4"/>
        <v>6</v>
      </c>
      <c r="AJ555" s="66">
        <f t="shared" si="15"/>
        <v>6</v>
      </c>
      <c r="AK555" s="66">
        <f t="shared" si="5"/>
        <v>0</v>
      </c>
      <c r="AL555" s="62">
        <f>IF(AK555*Variables!$E$43*Variables!$C$18&lt;0,0,AK555*Variables!$E$43*Variables!$C$18)</f>
        <v>0</v>
      </c>
      <c r="AM555" s="58">
        <f>AA555*Variables!$E$39*Variables!$C$18</f>
        <v>199851785.16091204</v>
      </c>
      <c r="AN555" s="1"/>
      <c r="AO555" s="76">
        <f t="shared" si="16"/>
        <v>0.67714285714285716</v>
      </c>
      <c r="AP555" s="76">
        <f t="shared" si="6"/>
        <v>111.25161488283292</v>
      </c>
      <c r="AQ555" s="75">
        <f>VLOOKUP(B555,'Household Information'!$B$2:$E$48,4,FALSE)</f>
        <v>40.760000000000005</v>
      </c>
      <c r="AR555" s="79">
        <f>IF(12*(AP555-Variables!$C$45*AQ555*F555)*(G555/5)&lt;0,0,12*(AP555-Variables!$C$45*AQ555*F555)*(G555/5))</f>
        <v>47726991.728233345</v>
      </c>
      <c r="AS555" s="1"/>
      <c r="AT555" s="62">
        <v>0</v>
      </c>
      <c r="AU555" s="1"/>
    </row>
    <row r="556" spans="1:47" ht="14.25" customHeight="1">
      <c r="A556" s="1">
        <v>36</v>
      </c>
      <c r="B556" s="3" t="s">
        <v>229</v>
      </c>
      <c r="C556" s="1">
        <v>2030</v>
      </c>
      <c r="D556" s="13">
        <f>VLOOKUP(B556,Population!$B$1:$O$48,14,FALSE)</f>
        <v>309001.53832337598</v>
      </c>
      <c r="E556" s="13" t="str">
        <f t="shared" si="24"/>
        <v>Medium</v>
      </c>
      <c r="F556" s="54">
        <f>VLOOKUP(B556,'Household Information'!$B$1:$E$48,2,FALSE)</f>
        <v>2.7303604631507774</v>
      </c>
      <c r="G556" s="54">
        <f t="shared" si="0"/>
        <v>113172.43363786291</v>
      </c>
      <c r="H556" s="55">
        <f>IF(D556&gt;Variables!$C$6,H509,H509*(1+Variables!$C$9))</f>
        <v>25.407115316792478</v>
      </c>
      <c r="I556" s="1"/>
      <c r="J556" s="13">
        <f>H556*Variables!$C$21</f>
        <v>457.32807570226458</v>
      </c>
      <c r="K556" s="13">
        <f t="shared" si="12"/>
        <v>457.32807570226458</v>
      </c>
      <c r="L556" s="54">
        <f t="shared" si="1"/>
        <v>0</v>
      </c>
      <c r="M556" s="56"/>
      <c r="N556" s="57"/>
      <c r="O556" s="57"/>
      <c r="P556" s="57"/>
      <c r="Q556" s="57"/>
      <c r="R556" s="57"/>
      <c r="S556" s="58">
        <v>0</v>
      </c>
      <c r="T556" s="59">
        <f>$L556*Variables!$C$22/100</f>
        <v>0</v>
      </c>
      <c r="U556" s="59">
        <f>$L556*Variables!$C$23/100</f>
        <v>0</v>
      </c>
      <c r="V556" s="59">
        <f>$L556*Variables!$C$24/100</f>
        <v>0</v>
      </c>
      <c r="W556" s="59">
        <f>$L556*Variables!$C$25/100</f>
        <v>0</v>
      </c>
      <c r="X556" s="62">
        <f>T556*Variables!$E$26*Variables!$C$18+'Cost Calculations'!U556*Variables!$E$27*Variables!$C$18+'Cost Calculations'!V556*Variables!$E$28*Variables!$C$18+W556*Variables!$E$29*Variables!$C$18</f>
        <v>0</v>
      </c>
      <c r="Y556" s="58">
        <f>J556*Variables!$E$30</f>
        <v>299549.88958498329</v>
      </c>
      <c r="Z556" s="1"/>
      <c r="AA556" s="245">
        <f>D556*(IF(D556&lt;Variables!$C$7,Variables!$C$38,IF(D556&gt;Variables!$C$6,Variables!$C$36,Variables!$C$37)))</f>
        <v>370.80184598805113</v>
      </c>
      <c r="AB556" s="64">
        <f t="shared" si="13"/>
        <v>365</v>
      </c>
      <c r="AC556" s="66">
        <f t="shared" si="2"/>
        <v>6</v>
      </c>
      <c r="AD556" s="62">
        <f>AC556*Variables!$E$41</f>
        <v>3225600</v>
      </c>
      <c r="AE556" s="71">
        <f>ROUND((H556/(3.14*Variables!$C$35^2)),0)</f>
        <v>32</v>
      </c>
      <c r="AF556" s="57">
        <f t="shared" si="14"/>
        <v>32</v>
      </c>
      <c r="AG556" s="57">
        <f t="shared" si="3"/>
        <v>0</v>
      </c>
      <c r="AH556" s="58">
        <f>AG556*Variables!$E$42*Variables!$C$18</f>
        <v>0</v>
      </c>
      <c r="AI556" s="73">
        <f t="shared" si="4"/>
        <v>3</v>
      </c>
      <c r="AJ556" s="66">
        <f t="shared" si="15"/>
        <v>3</v>
      </c>
      <c r="AK556" s="66">
        <f t="shared" si="5"/>
        <v>0</v>
      </c>
      <c r="AL556" s="62">
        <f>IF(AK556*Variables!$E$43*Variables!$C$18&lt;0,0,AK556*Variables!$E$43*Variables!$C$18)</f>
        <v>0</v>
      </c>
      <c r="AM556" s="58">
        <f>AA556*Variables!$E$39*Variables!$C$18</f>
        <v>107181131.84224957</v>
      </c>
      <c r="AN556" s="1"/>
      <c r="AO556" s="76">
        <f t="shared" si="16"/>
        <v>0.67714285714285716</v>
      </c>
      <c r="AP556" s="76">
        <f t="shared" si="6"/>
        <v>110.93064510286872</v>
      </c>
      <c r="AQ556" s="75">
        <f>VLOOKUP(B556,'Household Information'!$B$2:$E$48,4,FALSE)</f>
        <v>27.28</v>
      </c>
      <c r="AR556" s="79">
        <f>IF(12*(AP556-Variables!$C$45*AQ556*F556)*(G556/5)&lt;0,0,12*(AP556-Variables!$C$45*AQ556*F556)*(G556/5))</f>
        <v>27095656.263577148</v>
      </c>
      <c r="AS556" s="1"/>
      <c r="AT556" s="62">
        <v>0</v>
      </c>
      <c r="AU556" s="1"/>
    </row>
    <row r="557" spans="1:47" ht="14.25" customHeight="1">
      <c r="A557" s="1">
        <v>37</v>
      </c>
      <c r="B557" s="3" t="s">
        <v>230</v>
      </c>
      <c r="C557" s="1">
        <v>2030</v>
      </c>
      <c r="D557" s="13">
        <f>VLOOKUP(B557,Population!$B$1:$O$48,14,FALSE)</f>
        <v>144026.55617059921</v>
      </c>
      <c r="E557" s="13" t="str">
        <f t="shared" si="24"/>
        <v>Medium</v>
      </c>
      <c r="F557" s="54">
        <f>VLOOKUP(B557,'Household Information'!$B$1:$E$48,2,FALSE)</f>
        <v>2.4882673717260184</v>
      </c>
      <c r="G557" s="54">
        <f t="shared" si="0"/>
        <v>57882.266916795743</v>
      </c>
      <c r="H557" s="55">
        <f>IF(D557&gt;Variables!$C$6,H510,H510*(1+Variables!$C$9))</f>
        <v>33.664331695979989</v>
      </c>
      <c r="I557" s="1"/>
      <c r="J557" s="13">
        <f>H557*Variables!$C$21</f>
        <v>605.95797052763976</v>
      </c>
      <c r="K557" s="13">
        <f t="shared" si="12"/>
        <v>605.95797052763976</v>
      </c>
      <c r="L557" s="54">
        <f t="shared" si="1"/>
        <v>0</v>
      </c>
      <c r="M557" s="56"/>
      <c r="N557" s="57"/>
      <c r="O557" s="57"/>
      <c r="P557" s="57"/>
      <c r="Q557" s="57"/>
      <c r="R557" s="57"/>
      <c r="S557" s="58">
        <v>0</v>
      </c>
      <c r="T557" s="59">
        <f>$L557*Variables!$C$22/100</f>
        <v>0</v>
      </c>
      <c r="U557" s="59">
        <f>$L557*Variables!$C$23/100</f>
        <v>0</v>
      </c>
      <c r="V557" s="59">
        <f>$L557*Variables!$C$24/100</f>
        <v>0</v>
      </c>
      <c r="W557" s="59">
        <f>$L557*Variables!$C$25/100</f>
        <v>0</v>
      </c>
      <c r="X557" s="62">
        <f>T557*Variables!$E$26*Variables!$C$18+'Cost Calculations'!U557*Variables!$E$27*Variables!$C$18+'Cost Calculations'!V557*Variables!$E$28*Variables!$C$18+W557*Variables!$E$29*Variables!$C$18</f>
        <v>0</v>
      </c>
      <c r="Y557" s="58">
        <f>J557*Variables!$E$30</f>
        <v>396902.47069560405</v>
      </c>
      <c r="Z557" s="1"/>
      <c r="AA557" s="245">
        <f>D557*(IF(D557&lt;Variables!$C$7,Variables!$C$38,IF(D557&gt;Variables!$C$6,Variables!$C$36,Variables!$C$37)))</f>
        <v>172.83186740471905</v>
      </c>
      <c r="AB557" s="64">
        <f t="shared" si="13"/>
        <v>170</v>
      </c>
      <c r="AC557" s="66">
        <f t="shared" si="2"/>
        <v>3</v>
      </c>
      <c r="AD557" s="62">
        <f>AC557*Variables!$E$41</f>
        <v>1612800</v>
      </c>
      <c r="AE557" s="71">
        <f>ROUND((H557/(3.14*Variables!$C$35^2)),0)</f>
        <v>43</v>
      </c>
      <c r="AF557" s="57">
        <f t="shared" si="14"/>
        <v>43</v>
      </c>
      <c r="AG557" s="57">
        <f t="shared" si="3"/>
        <v>0</v>
      </c>
      <c r="AH557" s="58">
        <f>AG557*Variables!$E$42*Variables!$C$18</f>
        <v>0</v>
      </c>
      <c r="AI557" s="73">
        <f t="shared" si="4"/>
        <v>1</v>
      </c>
      <c r="AJ557" s="66">
        <f t="shared" si="15"/>
        <v>1</v>
      </c>
      <c r="AK557" s="66">
        <f t="shared" si="5"/>
        <v>0</v>
      </c>
      <c r="AL557" s="62">
        <f>IF(AK557*Variables!$E$43*Variables!$C$18&lt;0,0,AK557*Variables!$E$43*Variables!$C$18)</f>
        <v>0</v>
      </c>
      <c r="AM557" s="58">
        <f>AA557*Variables!$E$39*Variables!$C$18</f>
        <v>49957451.310650498</v>
      </c>
      <c r="AN557" s="1"/>
      <c r="AO557" s="76">
        <f t="shared" si="16"/>
        <v>0.67714285714285716</v>
      </c>
      <c r="AP557" s="76">
        <f t="shared" si="6"/>
        <v>101.09474864555423</v>
      </c>
      <c r="AQ557" s="75">
        <f>VLOOKUP(B557,'Household Information'!$B$2:$E$48,4,FALSE)</f>
        <v>40.760000000000005</v>
      </c>
      <c r="AR557" s="79">
        <f>IF(12*(AP557-Variables!$C$45*AQ557*F557)*(G557/5)&lt;0,0,12*(AP557-Variables!$C$45*AQ557*F557)*(G557/5))</f>
        <v>11930435.665347124</v>
      </c>
      <c r="AS557" s="1"/>
      <c r="AT557" s="62">
        <v>0</v>
      </c>
      <c r="AU557" s="1"/>
    </row>
    <row r="558" spans="1:47" ht="14.25" customHeight="1">
      <c r="A558" s="1">
        <v>38</v>
      </c>
      <c r="B558" s="3" t="s">
        <v>231</v>
      </c>
      <c r="C558" s="1">
        <v>2030</v>
      </c>
      <c r="D558" s="13">
        <f>VLOOKUP(B558,Population!$B$1:$O$48,14,FALSE)</f>
        <v>42511.399704486277</v>
      </c>
      <c r="E558" s="13" t="str">
        <f t="shared" si="24"/>
        <v>Small</v>
      </c>
      <c r="F558" s="54">
        <f>VLOOKUP(B558,'Household Information'!$B$1:$E$48,2,FALSE)</f>
        <v>3.5815854318168161</v>
      </c>
      <c r="G558" s="54">
        <f t="shared" si="0"/>
        <v>11869.436179530609</v>
      </c>
      <c r="H558" s="55">
        <f>IF(D558&gt;Variables!$C$6,H511,H511*(1+Variables!$C$9))</f>
        <v>5.1452447415785274</v>
      </c>
      <c r="I558" s="1"/>
      <c r="J558" s="13">
        <f>H558*Variables!$C$21</f>
        <v>92.614405348413499</v>
      </c>
      <c r="K558" s="13">
        <f t="shared" si="12"/>
        <v>89.655765100109875</v>
      </c>
      <c r="L558" s="54">
        <f t="shared" si="1"/>
        <v>2.9586402483036238</v>
      </c>
      <c r="M558" s="56"/>
      <c r="N558" s="57"/>
      <c r="O558" s="57"/>
      <c r="P558" s="57"/>
      <c r="Q558" s="57"/>
      <c r="R558" s="57"/>
      <c r="S558" s="58">
        <v>0</v>
      </c>
      <c r="T558" s="59">
        <f>$L558*Variables!$C$22/100</f>
        <v>0.16065014922915602</v>
      </c>
      <c r="U558" s="59">
        <f>$L558*Variables!$C$23/100</f>
        <v>0.28113776115102307</v>
      </c>
      <c r="V558" s="59">
        <f>$L558*Variables!$C$24/100</f>
        <v>0.2945252735867861</v>
      </c>
      <c r="W558" s="59">
        <f>$L558*Variables!$C$25/100</f>
        <v>2.1420019897220808</v>
      </c>
      <c r="X558" s="62">
        <f>T558*Variables!$E$26*Variables!$C$18+'Cost Calculations'!U558*Variables!$E$27*Variables!$C$18+'Cost Calculations'!V558*Variables!$E$28*Variables!$C$18+W558*Variables!$E$29*Variables!$C$18</f>
        <v>3363169.1452361196</v>
      </c>
      <c r="Y558" s="58">
        <f>J558*Variables!$E$30</f>
        <v>60662.435503210843</v>
      </c>
      <c r="Z558" s="1"/>
      <c r="AA558" s="245">
        <f>D558*(IF(D558&lt;Variables!$C$7,Variables!$C$38,IF(D558&gt;Variables!$C$6,Variables!$C$36,Variables!$C$37)))</f>
        <v>21.25569985224314</v>
      </c>
      <c r="AB558" s="64">
        <f t="shared" si="13"/>
        <v>21</v>
      </c>
      <c r="AC558" s="66">
        <f t="shared" si="2"/>
        <v>0</v>
      </c>
      <c r="AD558" s="62">
        <f>AC558*Variables!$E$41</f>
        <v>0</v>
      </c>
      <c r="AE558" s="71">
        <f>ROUND((H558/(3.14*Variables!$C$35^2)),0)</f>
        <v>7</v>
      </c>
      <c r="AF558" s="57">
        <f t="shared" si="14"/>
        <v>6</v>
      </c>
      <c r="AG558" s="57">
        <f t="shared" si="3"/>
        <v>1</v>
      </c>
      <c r="AH558" s="58">
        <f>AG558*Variables!$E$42*Variables!$C$18</f>
        <v>1148.2560000000001</v>
      </c>
      <c r="AI558" s="73">
        <f t="shared" si="4"/>
        <v>0</v>
      </c>
      <c r="AJ558" s="66">
        <f t="shared" si="15"/>
        <v>0</v>
      </c>
      <c r="AK558" s="66">
        <f t="shared" si="5"/>
        <v>0</v>
      </c>
      <c r="AL558" s="62">
        <f>IF(AK558*Variables!$E$43*Variables!$C$18&lt;0,0,AK558*Variables!$E$43*Variables!$C$18)</f>
        <v>0</v>
      </c>
      <c r="AM558" s="58">
        <f>AA558*Variables!$E$39*Variables!$C$18</f>
        <v>6144009.2408169154</v>
      </c>
      <c r="AN558" s="1"/>
      <c r="AO558" s="76">
        <f t="shared" si="16"/>
        <v>0.67714285714285716</v>
      </c>
      <c r="AP558" s="76">
        <f t="shared" si="6"/>
        <v>145.51469954410035</v>
      </c>
      <c r="AQ558" s="75">
        <f>VLOOKUP(B558,'Household Information'!$B$2:$E$48,4,FALSE)</f>
        <v>40.760000000000005</v>
      </c>
      <c r="AR558" s="79">
        <f>IF(12*(AP558-Variables!$C$45*AQ558*F558)*(G558/5)&lt;0,0,12*(AP558-Variables!$C$45*AQ558*F558)*(G558/5))</f>
        <v>3521430.5799097</v>
      </c>
      <c r="AS558" s="1"/>
      <c r="AT558" s="62">
        <v>0</v>
      </c>
      <c r="AU558" s="1"/>
    </row>
    <row r="559" spans="1:47" ht="14.25" customHeight="1">
      <c r="A559" s="1">
        <v>39</v>
      </c>
      <c r="B559" s="3" t="s">
        <v>232</v>
      </c>
      <c r="C559" s="1">
        <v>2030</v>
      </c>
      <c r="D559" s="13">
        <f>VLOOKUP(B559,Population!$B$1:$O$48,14,FALSE)</f>
        <v>80247.500432155182</v>
      </c>
      <c r="E559" s="13" t="str">
        <f t="shared" si="24"/>
        <v>Small</v>
      </c>
      <c r="F559" s="54">
        <f>VLOOKUP(B559,'Household Information'!$B$1:$E$48,2,FALSE)</f>
        <v>3.4614749871067563</v>
      </c>
      <c r="G559" s="54">
        <f t="shared" si="0"/>
        <v>23183.036344639127</v>
      </c>
      <c r="H559" s="55">
        <f>IF(D559&gt;Variables!$C$6,H512,H512*(1+Variables!$C$9))</f>
        <v>8.3896073980738759</v>
      </c>
      <c r="I559" s="1"/>
      <c r="J559" s="13">
        <f>H559*Variables!$C$21</f>
        <v>151.01293316532977</v>
      </c>
      <c r="K559" s="13">
        <f t="shared" si="12"/>
        <v>146.18870587156803</v>
      </c>
      <c r="L559" s="54">
        <f t="shared" si="1"/>
        <v>4.8242272937617372</v>
      </c>
      <c r="M559" s="56"/>
      <c r="N559" s="57"/>
      <c r="O559" s="57"/>
      <c r="P559" s="57"/>
      <c r="Q559" s="57"/>
      <c r="R559" s="57"/>
      <c r="S559" s="58">
        <v>0</v>
      </c>
      <c r="T559" s="59">
        <f>$L559*Variables!$C$22/100</f>
        <v>0.26194899332642918</v>
      </c>
      <c r="U559" s="59">
        <f>$L559*Variables!$C$23/100</f>
        <v>0.45841073832125107</v>
      </c>
      <c r="V559" s="59">
        <f>$L559*Variables!$C$24/100</f>
        <v>0.48023982109845348</v>
      </c>
      <c r="W559" s="59">
        <f>$L559*Variables!$C$25/100</f>
        <v>3.4926532443523888</v>
      </c>
      <c r="X559" s="62">
        <f>T559*Variables!$E$26*Variables!$C$18+'Cost Calculations'!U559*Variables!$E$27*Variables!$C$18+'Cost Calculations'!V559*Variables!$E$28*Variables!$C$18+W559*Variables!$E$29*Variables!$C$18</f>
        <v>5483834.1340377778</v>
      </c>
      <c r="Y559" s="58">
        <f>J559*Variables!$E$30</f>
        <v>98913.471223290995</v>
      </c>
      <c r="Z559" s="1"/>
      <c r="AA559" s="245">
        <f>D559*(IF(D559&lt;Variables!$C$7,Variables!$C$38,IF(D559&gt;Variables!$C$6,Variables!$C$36,Variables!$C$37)))</f>
        <v>64.198000345724154</v>
      </c>
      <c r="AB559" s="64">
        <f t="shared" si="13"/>
        <v>63</v>
      </c>
      <c r="AC559" s="66">
        <f t="shared" si="2"/>
        <v>1</v>
      </c>
      <c r="AD559" s="62">
        <f>AC559*Variables!$E$41</f>
        <v>537600</v>
      </c>
      <c r="AE559" s="71">
        <f>ROUND((H559/(3.14*Variables!$C$35^2)),0)</f>
        <v>11</v>
      </c>
      <c r="AF559" s="57">
        <f t="shared" si="14"/>
        <v>10</v>
      </c>
      <c r="AG559" s="57">
        <f t="shared" si="3"/>
        <v>1</v>
      </c>
      <c r="AH559" s="58">
        <f>AG559*Variables!$E$42*Variables!$C$18</f>
        <v>1148.2560000000001</v>
      </c>
      <c r="AI559" s="73">
        <f t="shared" si="4"/>
        <v>1</v>
      </c>
      <c r="AJ559" s="66">
        <f t="shared" si="15"/>
        <v>3</v>
      </c>
      <c r="AK559" s="66">
        <f t="shared" si="5"/>
        <v>0</v>
      </c>
      <c r="AL559" s="62">
        <f>IF(AK559*Variables!$E$43*Variables!$C$18&lt;0,0,AK559*Variables!$E$43*Variables!$C$18)</f>
        <v>0</v>
      </c>
      <c r="AM559" s="58">
        <f>AA559*Variables!$E$39*Variables!$C$18</f>
        <v>18556580.592874326</v>
      </c>
      <c r="AN559" s="1"/>
      <c r="AO559" s="76">
        <f t="shared" si="16"/>
        <v>0.67714285714285716</v>
      </c>
      <c r="AP559" s="76">
        <f t="shared" si="6"/>
        <v>140.63478376188021</v>
      </c>
      <c r="AQ559" s="75">
        <f>VLOOKUP(B559,'Household Information'!$B$2:$E$48,4,FALSE)</f>
        <v>40.760000000000005</v>
      </c>
      <c r="AR559" s="79">
        <f>IF(12*(AP559-Variables!$C$45*AQ559*F559)*(G559/5)&lt;0,0,12*(AP559-Variables!$C$45*AQ559*F559)*(G559/5))</f>
        <v>6647299.4055118486</v>
      </c>
      <c r="AS559" s="1"/>
      <c r="AT559" s="62">
        <v>0</v>
      </c>
      <c r="AU559" s="1"/>
    </row>
    <row r="560" spans="1:47" ht="14.25" customHeight="1">
      <c r="A560" s="1">
        <v>40</v>
      </c>
      <c r="B560" s="3" t="s">
        <v>233</v>
      </c>
      <c r="C560" s="1">
        <v>2030</v>
      </c>
      <c r="D560" s="13">
        <f>VLOOKUP(B560,Population!$B$1:$O$48,14,FALSE)</f>
        <v>3629.8967685572152</v>
      </c>
      <c r="E560" s="13" t="str">
        <f t="shared" si="24"/>
        <v>Small</v>
      </c>
      <c r="F560" s="54">
        <f>VLOOKUP(B560,'Household Information'!$B$1:$E$48,2,FALSE)</f>
        <v>3.9153259949195598</v>
      </c>
      <c r="G560" s="54">
        <f t="shared" si="0"/>
        <v>927.09949906273164</v>
      </c>
      <c r="H560" s="55">
        <f>IF(D560&gt;Variables!$C$6,H513,H513*(1+Variables!$C$9))</f>
        <v>0.28584693008769596</v>
      </c>
      <c r="I560" s="1"/>
      <c r="J560" s="13">
        <f>H560*Variables!$C$21</f>
        <v>5.1452447415785274</v>
      </c>
      <c r="K560" s="13">
        <f t="shared" si="12"/>
        <v>21.97</v>
      </c>
      <c r="L560" s="54">
        <f t="shared" si="1"/>
        <v>0</v>
      </c>
      <c r="M560" s="56"/>
      <c r="N560" s="57"/>
      <c r="O560" s="57"/>
      <c r="P560" s="57"/>
      <c r="Q560" s="57"/>
      <c r="R560" s="57"/>
      <c r="S560" s="58">
        <v>0</v>
      </c>
      <c r="T560" s="59">
        <f>$L560*Variables!$C$22/100</f>
        <v>0</v>
      </c>
      <c r="U560" s="59">
        <f>$L560*Variables!$C$23/100</f>
        <v>0</v>
      </c>
      <c r="V560" s="59">
        <f>$L560*Variables!$C$24/100</f>
        <v>0</v>
      </c>
      <c r="W560" s="59">
        <f>$L560*Variables!$C$25/100</f>
        <v>0</v>
      </c>
      <c r="X560" s="62">
        <f>T560*Variables!$E$26*Variables!$C$18+'Cost Calculations'!U560*Variables!$E$27*Variables!$C$18+'Cost Calculations'!V560*Variables!$E$28*Variables!$C$18+W560*Variables!$E$29*Variables!$C$18</f>
        <v>0</v>
      </c>
      <c r="Y560" s="58">
        <f>J560*Variables!$E$30</f>
        <v>3370.1353057339356</v>
      </c>
      <c r="Z560" s="1"/>
      <c r="AA560" s="245">
        <f>D560*(IF(D560&lt;Variables!$C$7,Variables!$C$38,IF(D560&gt;Variables!$C$6,Variables!$C$36,Variables!$C$37)))</f>
        <v>1.8149483842786076</v>
      </c>
      <c r="AB560" s="64">
        <f t="shared" si="13"/>
        <v>2</v>
      </c>
      <c r="AC560" s="66">
        <f t="shared" si="2"/>
        <v>0</v>
      </c>
      <c r="AD560" s="62">
        <f>AC560*Variables!$E$41</f>
        <v>0</v>
      </c>
      <c r="AE560" s="71">
        <f>ROUND((H560/(3.14*Variables!$C$35^2)),0)</f>
        <v>0</v>
      </c>
      <c r="AF560" s="57">
        <f t="shared" si="14"/>
        <v>0</v>
      </c>
      <c r="AG560" s="57">
        <f t="shared" si="3"/>
        <v>0</v>
      </c>
      <c r="AH560" s="58">
        <f>AG560*Variables!$E$42*Variables!$C$18</f>
        <v>0</v>
      </c>
      <c r="AI560" s="73">
        <f t="shared" si="4"/>
        <v>0</v>
      </c>
      <c r="AJ560" s="66">
        <f t="shared" si="15"/>
        <v>0</v>
      </c>
      <c r="AK560" s="66">
        <f t="shared" si="5"/>
        <v>0</v>
      </c>
      <c r="AL560" s="62">
        <f>IF(AK560*Variables!$E$43*Variables!$C$18&lt;0,0,AK560*Variables!$E$43*Variables!$C$18)</f>
        <v>0</v>
      </c>
      <c r="AM560" s="58">
        <f>AA560*Variables!$E$39*Variables!$C$18</f>
        <v>524615.03136236232</v>
      </c>
      <c r="AN560" s="1"/>
      <c r="AO560" s="76">
        <f t="shared" si="16"/>
        <v>0.67714285714285716</v>
      </c>
      <c r="AP560" s="76">
        <f t="shared" si="6"/>
        <v>159.07410185073181</v>
      </c>
      <c r="AQ560" s="75">
        <f>VLOOKUP(B560,'Household Information'!$B$2:$E$48,4,FALSE)</f>
        <v>40.760000000000005</v>
      </c>
      <c r="AR560" s="79">
        <f>IF(12*(AP560-Variables!$C$45*AQ560*F560)*(G560/5)&lt;0,0,12*(AP560-Variables!$C$45*AQ560*F560)*(G560/5))</f>
        <v>300682.39511210064</v>
      </c>
      <c r="AS560" s="1"/>
      <c r="AT560" s="62">
        <v>0</v>
      </c>
      <c r="AU560" s="1"/>
    </row>
    <row r="561" spans="1:47" ht="14.25" customHeight="1">
      <c r="A561" s="1">
        <v>41</v>
      </c>
      <c r="B561" s="3" t="s">
        <v>234</v>
      </c>
      <c r="C561" s="1">
        <v>2030</v>
      </c>
      <c r="D561" s="13">
        <f>VLOOKUP(B561,Population!$B$1:$O$48,14,FALSE)</f>
        <v>62555.938349038879</v>
      </c>
      <c r="E561" s="13" t="str">
        <f t="shared" si="24"/>
        <v>Small</v>
      </c>
      <c r="F561" s="54">
        <f>VLOOKUP(B561,'Household Information'!$B$1:$E$48,2,FALSE)</f>
        <v>2.524</v>
      </c>
      <c r="G561" s="54">
        <f t="shared" si="0"/>
        <v>24784.444670776102</v>
      </c>
      <c r="H561" s="55">
        <f>IF(D561&gt;Variables!$C$6,H514,H514*(1+Variables!$C$9))</f>
        <v>5.7169386017539185</v>
      </c>
      <c r="I561" s="1"/>
      <c r="J561" s="13">
        <f>H561*Variables!$C$21</f>
        <v>102.90489483157053</v>
      </c>
      <c r="K561" s="13">
        <f t="shared" si="12"/>
        <v>105</v>
      </c>
      <c r="L561" s="54">
        <f t="shared" si="1"/>
        <v>0</v>
      </c>
      <c r="M561" s="56"/>
      <c r="N561" s="57"/>
      <c r="O561" s="57"/>
      <c r="P561" s="57"/>
      <c r="Q561" s="57"/>
      <c r="R561" s="57"/>
      <c r="S561" s="58">
        <v>0</v>
      </c>
      <c r="T561" s="59">
        <f>$L561*Variables!$C$22/100</f>
        <v>0</v>
      </c>
      <c r="U561" s="59">
        <f>$L561*Variables!$C$23/100</f>
        <v>0</v>
      </c>
      <c r="V561" s="59">
        <f>$L561*Variables!$C$24/100</f>
        <v>0</v>
      </c>
      <c r="W561" s="59">
        <f>$L561*Variables!$C$25/100</f>
        <v>0</v>
      </c>
      <c r="X561" s="62">
        <f>T561*Variables!$E$26*Variables!$C$18+'Cost Calculations'!U561*Variables!$E$27*Variables!$C$18+'Cost Calculations'!V561*Variables!$E$28*Variables!$C$18+W561*Variables!$E$29*Variables!$C$18</f>
        <v>0</v>
      </c>
      <c r="Y561" s="58">
        <f>J561*Variables!$E$30</f>
        <v>67402.706114678702</v>
      </c>
      <c r="Z561" s="1"/>
      <c r="AA561" s="245">
        <f>D561*(IF(D561&lt;Variables!$C$7,Variables!$C$38,IF(D561&gt;Variables!$C$6,Variables!$C$36,Variables!$C$37)))</f>
        <v>50.044750679231107</v>
      </c>
      <c r="AB561" s="64">
        <f t="shared" si="13"/>
        <v>49</v>
      </c>
      <c r="AC561" s="66">
        <f t="shared" si="2"/>
        <v>1</v>
      </c>
      <c r="AD561" s="62">
        <f>AC561*Variables!$E$41</f>
        <v>537600</v>
      </c>
      <c r="AE561" s="71">
        <f>ROUND((H561/(3.14*Variables!$C$35^2)),0)</f>
        <v>7</v>
      </c>
      <c r="AF561" s="57">
        <f t="shared" si="14"/>
        <v>7</v>
      </c>
      <c r="AG561" s="57">
        <f t="shared" si="3"/>
        <v>0</v>
      </c>
      <c r="AH561" s="58">
        <f>AG561*Variables!$E$42*Variables!$C$18</f>
        <v>0</v>
      </c>
      <c r="AI561" s="73">
        <f t="shared" si="4"/>
        <v>0</v>
      </c>
      <c r="AJ561" s="66">
        <f t="shared" si="15"/>
        <v>2</v>
      </c>
      <c r="AK561" s="66">
        <f t="shared" si="5"/>
        <v>0</v>
      </c>
      <c r="AL561" s="62">
        <f>IF(AK561*Variables!$E$43*Variables!$C$18&lt;0,0,AK561*Variables!$E$43*Variables!$C$18)</f>
        <v>0</v>
      </c>
      <c r="AM561" s="58">
        <f>AA561*Variables!$E$39*Variables!$C$18</f>
        <v>14465551.017607462</v>
      </c>
      <c r="AN561" s="1"/>
      <c r="AO561" s="76">
        <f t="shared" si="16"/>
        <v>0.67714285714285716</v>
      </c>
      <c r="AP561" s="76">
        <f t="shared" si="6"/>
        <v>102.54651428571428</v>
      </c>
      <c r="AQ561" s="75">
        <f>VLOOKUP(B561,'Household Information'!$B$2:$E$48,4,FALSE)</f>
        <v>40.760000000000005</v>
      </c>
      <c r="AR561" s="79">
        <f>IF(12*(AP561-Variables!$C$45*AQ561*F561)*(G561/5)&lt;0,0,12*(AP561-Variables!$C$45*AQ561*F561)*(G561/5))</f>
        <v>5181819.3658301104</v>
      </c>
      <c r="AS561" s="1"/>
      <c r="AT561" s="62">
        <v>0</v>
      </c>
      <c r="AU561" s="1"/>
    </row>
    <row r="562" spans="1:47" ht="14.25" customHeight="1">
      <c r="A562" s="1">
        <v>42</v>
      </c>
      <c r="B562" s="3" t="s">
        <v>235</v>
      </c>
      <c r="C562" s="1">
        <v>2030</v>
      </c>
      <c r="D562" s="13">
        <f>VLOOKUP(B562,Population!$B$1:$O$48,14,FALSE)</f>
        <v>54425.734783100459</v>
      </c>
      <c r="E562" s="13" t="str">
        <f t="shared" si="24"/>
        <v>Small</v>
      </c>
      <c r="F562" s="54">
        <f>VLOOKUP(B562,'Household Information'!$B$1:$E$48,2,FALSE)</f>
        <v>2.7236881469514751</v>
      </c>
      <c r="G562" s="54">
        <f t="shared" si="0"/>
        <v>19982.366499636606</v>
      </c>
      <c r="H562" s="55">
        <f>IF(D562&gt;Variables!$C$6,H515,H515*(1+Variables!$C$9))</f>
        <v>7.2890967172362444</v>
      </c>
      <c r="I562" s="1"/>
      <c r="J562" s="13">
        <f>H562*Variables!$C$21</f>
        <v>131.20374091025241</v>
      </c>
      <c r="K562" s="13">
        <f t="shared" si="12"/>
        <v>127.01233389182228</v>
      </c>
      <c r="L562" s="54">
        <f t="shared" si="1"/>
        <v>4.1914070184301266</v>
      </c>
      <c r="M562" s="56"/>
      <c r="N562" s="57"/>
      <c r="O562" s="57"/>
      <c r="P562" s="57"/>
      <c r="Q562" s="57"/>
      <c r="R562" s="57"/>
      <c r="S562" s="58">
        <v>0</v>
      </c>
      <c r="T562" s="59">
        <f>$L562*Variables!$C$22/100</f>
        <v>0.22758771140797066</v>
      </c>
      <c r="U562" s="59">
        <f>$L562*Variables!$C$23/100</f>
        <v>0.39827849496394868</v>
      </c>
      <c r="V562" s="59">
        <f>$L562*Variables!$C$24/100</f>
        <v>0.41724413758127959</v>
      </c>
      <c r="W562" s="59">
        <f>$L562*Variables!$C$25/100</f>
        <v>3.0345028187729421</v>
      </c>
      <c r="X562" s="62">
        <f>T562*Variables!$E$26*Variables!$C$18+'Cost Calculations'!U562*Variables!$E$27*Variables!$C$18+'Cost Calculations'!V562*Variables!$E$28*Variables!$C$18+W562*Variables!$E$29*Variables!$C$18</f>
        <v>4764489.6224178281</v>
      </c>
      <c r="Y562" s="58">
        <f>J562*Variables!$E$30</f>
        <v>85938.45029621532</v>
      </c>
      <c r="Z562" s="1"/>
      <c r="AA562" s="245">
        <f>D562*(IF(D562&lt;Variables!$C$7,Variables!$C$38,IF(D562&gt;Variables!$C$6,Variables!$C$36,Variables!$C$37)))</f>
        <v>43.540587826480369</v>
      </c>
      <c r="AB562" s="64">
        <f t="shared" si="13"/>
        <v>43</v>
      </c>
      <c r="AC562" s="66">
        <f t="shared" si="2"/>
        <v>1</v>
      </c>
      <c r="AD562" s="62">
        <f>AC562*Variables!$E$41</f>
        <v>537600</v>
      </c>
      <c r="AE562" s="71">
        <f>ROUND((H562/(3.14*Variables!$C$35^2)),0)</f>
        <v>9</v>
      </c>
      <c r="AF562" s="57">
        <f t="shared" si="14"/>
        <v>9</v>
      </c>
      <c r="AG562" s="57">
        <f t="shared" si="3"/>
        <v>0</v>
      </c>
      <c r="AH562" s="58">
        <f>AG562*Variables!$E$42*Variables!$C$18</f>
        <v>0</v>
      </c>
      <c r="AI562" s="73">
        <f t="shared" si="4"/>
        <v>0</v>
      </c>
      <c r="AJ562" s="66">
        <f t="shared" si="15"/>
        <v>0</v>
      </c>
      <c r="AK562" s="66">
        <f t="shared" si="5"/>
        <v>0</v>
      </c>
      <c r="AL562" s="62">
        <f>IF(AK562*Variables!$E$43*Variables!$C$18&lt;0,0,AK562*Variables!$E$43*Variables!$C$18)</f>
        <v>0</v>
      </c>
      <c r="AM562" s="58">
        <f>AA562*Variables!$E$39*Variables!$C$18</f>
        <v>12585507.690459076</v>
      </c>
      <c r="AN562" s="1"/>
      <c r="AO562" s="76">
        <f t="shared" si="16"/>
        <v>0.67714285714285716</v>
      </c>
      <c r="AP562" s="76">
        <f t="shared" si="6"/>
        <v>110.65955842757135</v>
      </c>
      <c r="AQ562" s="75">
        <f>VLOOKUP(B562,'Household Information'!$B$2:$E$48,4,FALSE)</f>
        <v>40.760000000000005</v>
      </c>
      <c r="AR562" s="79">
        <f>IF(12*(AP562-Variables!$C$45*AQ562*F562)*(G562/5)&lt;0,0,12*(AP562-Variables!$C$45*AQ562*F562)*(G562/5))</f>
        <v>4508354.1857371321</v>
      </c>
      <c r="AS562" s="1"/>
      <c r="AT562" s="62">
        <v>0</v>
      </c>
      <c r="AU562" s="1"/>
    </row>
    <row r="563" spans="1:47" ht="14.25" customHeight="1">
      <c r="A563" s="1">
        <v>43</v>
      </c>
      <c r="B563" s="3" t="s">
        <v>236</v>
      </c>
      <c r="C563" s="1">
        <v>2030</v>
      </c>
      <c r="D563" s="13">
        <f>VLOOKUP(B563,Population!$B$1:$O$48,14,FALSE)</f>
        <v>28739.073987420874</v>
      </c>
      <c r="E563" s="13" t="str">
        <f t="shared" si="24"/>
        <v>Small</v>
      </c>
      <c r="F563" s="54">
        <f>VLOOKUP(B563,'Household Information'!$B$1:$E$48,2,FALSE)</f>
        <v>3.4114391143911438</v>
      </c>
      <c r="G563" s="54">
        <f t="shared" si="0"/>
        <v>8424.3256361179629</v>
      </c>
      <c r="H563" s="55">
        <f>IF(D563&gt;Variables!$C$6,H516,H516*(1+Variables!$C$9))</f>
        <v>6.2336606100348897</v>
      </c>
      <c r="I563" s="1"/>
      <c r="J563" s="13">
        <f>H563*Variables!$C$21</f>
        <v>112.20589098062801</v>
      </c>
      <c r="K563" s="13">
        <f t="shared" si="12"/>
        <v>108.62138526682287</v>
      </c>
      <c r="L563" s="54">
        <f t="shared" si="1"/>
        <v>3.584505713805143</v>
      </c>
      <c r="M563" s="56"/>
      <c r="N563" s="57"/>
      <c r="O563" s="57"/>
      <c r="P563" s="57"/>
      <c r="Q563" s="57"/>
      <c r="R563" s="57"/>
      <c r="S563" s="58">
        <v>0</v>
      </c>
      <c r="T563" s="59">
        <f>$L563*Variables!$C$22/100</f>
        <v>0.19463379441475886</v>
      </c>
      <c r="U563" s="59">
        <f>$L563*Variables!$C$23/100</f>
        <v>0.34060914022582806</v>
      </c>
      <c r="V563" s="59">
        <f>$L563*Variables!$C$24/100</f>
        <v>0.35682862309372465</v>
      </c>
      <c r="W563" s="59">
        <f>$L563*Variables!$C$25/100</f>
        <v>2.5951172588634517</v>
      </c>
      <c r="X563" s="62">
        <f>T563*Variables!$E$26*Variables!$C$18+'Cost Calculations'!U563*Variables!$E$27*Variables!$C$18+'Cost Calculations'!V563*Variables!$E$28*Variables!$C$18+W563*Variables!$E$29*Variables!$C$18</f>
        <v>4074607.9299448784</v>
      </c>
      <c r="Y563" s="58">
        <f>J563*Variables!$E$30</f>
        <v>73494.858592311342</v>
      </c>
      <c r="Z563" s="1"/>
      <c r="AA563" s="245">
        <f>D563*(IF(D563&lt;Variables!$C$7,Variables!$C$38,IF(D563&gt;Variables!$C$6,Variables!$C$36,Variables!$C$37)))</f>
        <v>14.369536993710437</v>
      </c>
      <c r="AB563" s="64">
        <f t="shared" si="13"/>
        <v>14</v>
      </c>
      <c r="AC563" s="66">
        <f t="shared" si="2"/>
        <v>0</v>
      </c>
      <c r="AD563" s="62">
        <f>AC563*Variables!$E$41</f>
        <v>0</v>
      </c>
      <c r="AE563" s="71">
        <f>ROUND((H563/(3.14*Variables!$C$35^2)),0)</f>
        <v>8</v>
      </c>
      <c r="AF563" s="57">
        <f t="shared" si="14"/>
        <v>8</v>
      </c>
      <c r="AG563" s="57">
        <f t="shared" si="3"/>
        <v>0</v>
      </c>
      <c r="AH563" s="58">
        <f>AG563*Variables!$E$42*Variables!$C$18</f>
        <v>0</v>
      </c>
      <c r="AI563" s="73">
        <f t="shared" si="4"/>
        <v>0</v>
      </c>
      <c r="AJ563" s="66">
        <f t="shared" si="15"/>
        <v>0</v>
      </c>
      <c r="AK563" s="66">
        <f t="shared" si="5"/>
        <v>0</v>
      </c>
      <c r="AL563" s="62">
        <f>IF(AK563*Variables!$E$43*Variables!$C$18&lt;0,0,AK563*Variables!$E$43*Variables!$C$18)</f>
        <v>0</v>
      </c>
      <c r="AM563" s="58">
        <f>AA563*Variables!$E$39*Variables!$C$18</f>
        <v>4153547.9278185447</v>
      </c>
      <c r="AN563" s="1"/>
      <c r="AO563" s="76">
        <f t="shared" si="16"/>
        <v>0.67714285714285716</v>
      </c>
      <c r="AP563" s="76">
        <f t="shared" si="6"/>
        <v>138.60189773326303</v>
      </c>
      <c r="AQ563" s="75">
        <f>VLOOKUP(B563,'Household Information'!$B$2:$E$48,4,FALSE)</f>
        <v>40.760000000000005</v>
      </c>
      <c r="AR563" s="79">
        <f>IF(12*(AP563-Variables!$C$45*AQ563*F563)*(G563/5)&lt;0,0,12*(AP563-Variables!$C$45*AQ563*F563)*(G563/5))</f>
        <v>2380600.372631608</v>
      </c>
      <c r="AS563" s="1"/>
      <c r="AT563" s="62">
        <v>0</v>
      </c>
      <c r="AU563" s="1"/>
    </row>
    <row r="564" spans="1:47" ht="14.25" customHeight="1">
      <c r="A564" s="1">
        <v>44</v>
      </c>
      <c r="B564" s="3" t="s">
        <v>241</v>
      </c>
      <c r="C564" s="1">
        <v>2030</v>
      </c>
      <c r="D564" s="13">
        <f>VLOOKUP(B564,Population!$B$1:$O$48,14,FALSE)</f>
        <v>111155.63258210645</v>
      </c>
      <c r="E564" s="13" t="str">
        <f t="shared" si="24"/>
        <v>Medium</v>
      </c>
      <c r="F564" s="54">
        <f>VLOOKUP(B564,'Household Information'!$B$1:$E$48,2,FALSE)</f>
        <v>2.919</v>
      </c>
      <c r="G564" s="54">
        <f t="shared" si="0"/>
        <v>38080.038568724376</v>
      </c>
      <c r="H564" s="55">
        <f>IF(D564&gt;Variables!$C$6,H517,H517*(1+Variables!$C$9))</f>
        <v>11.723279703725108</v>
      </c>
      <c r="I564" s="1"/>
      <c r="J564" s="13">
        <f>H564*Variables!$C$21</f>
        <v>211.01903466705195</v>
      </c>
      <c r="K564" s="13">
        <f t="shared" si="12"/>
        <v>211.01903466705195</v>
      </c>
      <c r="L564" s="54">
        <f t="shared" si="1"/>
        <v>0</v>
      </c>
      <c r="M564" s="56"/>
      <c r="N564" s="57"/>
      <c r="O564" s="57"/>
      <c r="P564" s="57"/>
      <c r="Q564" s="57"/>
      <c r="R564" s="57"/>
      <c r="S564" s="58">
        <v>0</v>
      </c>
      <c r="T564" s="59">
        <f>$L564*Variables!$C$22/100</f>
        <v>0</v>
      </c>
      <c r="U564" s="59">
        <f>$L564*Variables!$C$23/100</f>
        <v>0</v>
      </c>
      <c r="V564" s="59">
        <f>$L564*Variables!$C$24/100</f>
        <v>0</v>
      </c>
      <c r="W564" s="59">
        <f>$L564*Variables!$C$25/100</f>
        <v>0</v>
      </c>
      <c r="X564" s="62">
        <f>T564*Variables!$E$26*Variables!$C$18+'Cost Calculations'!U564*Variables!$E$27*Variables!$C$18+'Cost Calculations'!V564*Variables!$E$28*Variables!$C$18+W564*Variables!$E$29*Variables!$C$18</f>
        <v>0</v>
      </c>
      <c r="Y564" s="58">
        <f>J564*Variables!$E$30</f>
        <v>138217.46770691904</v>
      </c>
      <c r="Z564" s="1"/>
      <c r="AA564" s="245">
        <f>D564*(IF(D564&lt;Variables!$C$7,Variables!$C$38,IF(D564&gt;Variables!$C$6,Variables!$C$36,Variables!$C$37)))</f>
        <v>133.38675909852773</v>
      </c>
      <c r="AB564" s="64">
        <f t="shared" si="13"/>
        <v>131</v>
      </c>
      <c r="AC564" s="66">
        <f t="shared" si="2"/>
        <v>2</v>
      </c>
      <c r="AD564" s="62">
        <f>AC564*Variables!$E$41</f>
        <v>1075200</v>
      </c>
      <c r="AE564" s="71">
        <f>ROUND((H564/(3.14*Variables!$C$35^2)),0)</f>
        <v>15</v>
      </c>
      <c r="AF564" s="57">
        <f t="shared" si="14"/>
        <v>15</v>
      </c>
      <c r="AG564" s="57">
        <f t="shared" si="3"/>
        <v>0</v>
      </c>
      <c r="AH564" s="58">
        <f>AG564*Variables!$E$42*Variables!$C$18</f>
        <v>0</v>
      </c>
      <c r="AI564" s="73">
        <f t="shared" si="4"/>
        <v>1</v>
      </c>
      <c r="AJ564" s="66">
        <f t="shared" si="15"/>
        <v>1</v>
      </c>
      <c r="AK564" s="66">
        <f t="shared" si="5"/>
        <v>0</v>
      </c>
      <c r="AL564" s="62">
        <f>IF(AK564*Variables!$E$43*Variables!$C$18&lt;0,0,AK564*Variables!$E$43*Variables!$C$18)</f>
        <v>0</v>
      </c>
      <c r="AM564" s="58">
        <f>AA564*Variables!$E$39*Variables!$C$18</f>
        <v>38555751.454943895</v>
      </c>
      <c r="AN564" s="1"/>
      <c r="AO564" s="76">
        <f t="shared" si="16"/>
        <v>0.67714285714285716</v>
      </c>
      <c r="AP564" s="76">
        <f t="shared" si="6"/>
        <v>118.59479999999999</v>
      </c>
      <c r="AQ564" s="75">
        <f>VLOOKUP(B564,'Household Information'!$B$2:$E$48,4,FALSE)</f>
        <v>40.760000000000005</v>
      </c>
      <c r="AR564" s="79">
        <f>IF(12*(AP564-Variables!$C$45*AQ564*F564)*(G564/5)&lt;0,0,12*(AP564-Variables!$C$45*AQ564*F564)*(G564/5))</f>
        <v>9207573.6490635723</v>
      </c>
      <c r="AS564" s="1"/>
      <c r="AT564" s="62">
        <v>0</v>
      </c>
      <c r="AU564" s="1"/>
    </row>
    <row r="565" spans="1:47" ht="14.25" customHeight="1">
      <c r="A565" s="1">
        <v>45</v>
      </c>
      <c r="B565" s="3" t="s">
        <v>242</v>
      </c>
      <c r="C565" s="1">
        <v>2030</v>
      </c>
      <c r="D565" s="13">
        <f>VLOOKUP(B565,Population!$B$1:$O$48,14,FALSE)</f>
        <v>28235.718737235569</v>
      </c>
      <c r="E565" s="13" t="str">
        <f t="shared" si="24"/>
        <v>Small</v>
      </c>
      <c r="F565" s="54">
        <f>VLOOKUP(B565,'Household Information'!$B$1:$E$48,2,FALSE)</f>
        <v>2.377290114757399</v>
      </c>
      <c r="G565" s="54">
        <f t="shared" si="0"/>
        <v>11877.27091529887</v>
      </c>
      <c r="H565" s="55">
        <f>IF(D565&gt;Variables!$C$6,H518,H518*(1+Variables!$C$9))</f>
        <v>5.4310916716662208</v>
      </c>
      <c r="I565" s="1"/>
      <c r="J565" s="13">
        <f>H565*Variables!$C$21</f>
        <v>97.759650089991979</v>
      </c>
      <c r="K565" s="13">
        <f t="shared" si="12"/>
        <v>94.63664093900482</v>
      </c>
      <c r="L565" s="54">
        <f t="shared" si="1"/>
        <v>3.1230091509871585</v>
      </c>
      <c r="M565" s="56"/>
      <c r="N565" s="57"/>
      <c r="O565" s="57"/>
      <c r="P565" s="57"/>
      <c r="Q565" s="57"/>
      <c r="R565" s="57"/>
      <c r="S565" s="58">
        <v>0</v>
      </c>
      <c r="T565" s="59">
        <f>$L565*Variables!$C$22/100</f>
        <v>0.16957515751966468</v>
      </c>
      <c r="U565" s="59">
        <f>$L565*Variables!$C$23/100</f>
        <v>0.29675652565941324</v>
      </c>
      <c r="V565" s="59">
        <f>$L565*Variables!$C$24/100</f>
        <v>0.31088778878605194</v>
      </c>
      <c r="W565" s="59">
        <f>$L565*Variables!$C$25/100</f>
        <v>2.2610021002621963</v>
      </c>
      <c r="X565" s="62">
        <f>T565*Variables!$E$26*Variables!$C$18+'Cost Calculations'!U565*Variables!$E$27*Variables!$C$18+'Cost Calculations'!V565*Variables!$E$28*Variables!$C$18+W565*Variables!$E$29*Variables!$C$18</f>
        <v>3550011.875527015</v>
      </c>
      <c r="Y565" s="58">
        <f>J565*Variables!$E$30</f>
        <v>64032.570808944743</v>
      </c>
      <c r="Z565" s="1"/>
      <c r="AA565" s="245">
        <f>D565*(IF(D565&lt;Variables!$C$7,Variables!$C$38,IF(D565&gt;Variables!$C$6,Variables!$C$36,Variables!$C$37)))</f>
        <v>14.117859368617784</v>
      </c>
      <c r="AB565" s="64">
        <f t="shared" si="13"/>
        <v>14</v>
      </c>
      <c r="AC565" s="66">
        <f t="shared" si="2"/>
        <v>0</v>
      </c>
      <c r="AD565" s="62">
        <f>AC565*Variables!$E$41</f>
        <v>0</v>
      </c>
      <c r="AE565" s="71">
        <f>ROUND((H565/(3.14*Variables!$C$35^2)),0)</f>
        <v>7</v>
      </c>
      <c r="AF565" s="57">
        <f t="shared" si="14"/>
        <v>7</v>
      </c>
      <c r="AG565" s="57">
        <f t="shared" si="3"/>
        <v>0</v>
      </c>
      <c r="AH565" s="58">
        <f>AG565*Variables!$E$42*Variables!$C$18</f>
        <v>0</v>
      </c>
      <c r="AI565" s="73">
        <f t="shared" si="4"/>
        <v>0</v>
      </c>
      <c r="AJ565" s="66">
        <f t="shared" si="15"/>
        <v>0</v>
      </c>
      <c r="AK565" s="66">
        <f t="shared" si="5"/>
        <v>0</v>
      </c>
      <c r="AL565" s="62">
        <f>IF(AK565*Variables!$E$43*Variables!$C$18&lt;0,0,AK565*Variables!$E$43*Variables!$C$18)</f>
        <v>0</v>
      </c>
      <c r="AM565" s="58">
        <f>AA565*Variables!$E$39*Variables!$C$18</f>
        <v>4080799.9277514978</v>
      </c>
      <c r="AN565" s="1"/>
      <c r="AO565" s="76">
        <f t="shared" si="16"/>
        <v>0.67714285714285716</v>
      </c>
      <c r="AP565" s="76">
        <f t="shared" si="6"/>
        <v>96.585901233857754</v>
      </c>
      <c r="AQ565" s="75">
        <f>VLOOKUP(B565,'Household Information'!$B$2:$E$48,4,FALSE)</f>
        <v>40.760000000000005</v>
      </c>
      <c r="AR565" s="79">
        <f>IF(12*(AP565-Variables!$C$45*AQ565*F565)*(G565/5)&lt;0,0,12*(AP565-Variables!$C$45*AQ565*F565)*(G565/5))</f>
        <v>2338904.954864087</v>
      </c>
      <c r="AS565" s="1"/>
      <c r="AT565" s="62">
        <v>0</v>
      </c>
      <c r="AU565" s="1"/>
    </row>
    <row r="566" spans="1:47" ht="14.25" customHeight="1">
      <c r="A566" s="1">
        <v>46</v>
      </c>
      <c r="B566" s="3" t="s">
        <v>243</v>
      </c>
      <c r="C566" s="1">
        <v>2030</v>
      </c>
      <c r="D566" s="13">
        <f>VLOOKUP(B566,Population!$B$1:$O$48,14,FALSE)</f>
        <v>36087.343269223456</v>
      </c>
      <c r="E566" s="13" t="str">
        <f t="shared" si="24"/>
        <v>Small</v>
      </c>
      <c r="F566" s="54">
        <f>VLOOKUP(B566,'Household Information'!$B$1:$E$48,2,FALSE)</f>
        <v>2.6682284299858559</v>
      </c>
      <c r="G566" s="54">
        <f t="shared" si="0"/>
        <v>13524.832755572863</v>
      </c>
      <c r="H566" s="55">
        <f>IF(D566&gt;Variables!$C$6,H519,H519*(1+Variables!$C$9))</f>
        <v>5.2935104975440925</v>
      </c>
      <c r="I566" s="1"/>
      <c r="J566" s="13">
        <f>H566*Variables!$C$21</f>
        <v>95.283188955793662</v>
      </c>
      <c r="K566" s="13">
        <f t="shared" si="12"/>
        <v>92.239292309577607</v>
      </c>
      <c r="L566" s="54">
        <f t="shared" si="1"/>
        <v>3.043896646216055</v>
      </c>
      <c r="M566" s="56"/>
      <c r="N566" s="57"/>
      <c r="O566" s="57"/>
      <c r="P566" s="57"/>
      <c r="Q566" s="57"/>
      <c r="R566" s="57"/>
      <c r="S566" s="58">
        <v>0</v>
      </c>
      <c r="T566" s="59">
        <f>$L566*Variables!$C$22/100</f>
        <v>0.1652794559031342</v>
      </c>
      <c r="U566" s="59">
        <f>$L566*Variables!$C$23/100</f>
        <v>0.28923904783048487</v>
      </c>
      <c r="V566" s="59">
        <f>$L566*Variables!$C$24/100</f>
        <v>0.30301233582241272</v>
      </c>
      <c r="W566" s="59">
        <f>$L566*Variables!$C$25/100</f>
        <v>2.2037260787084558</v>
      </c>
      <c r="X566" s="62">
        <f>T566*Variables!$E$26*Variables!$C$18+'Cost Calculations'!U566*Variables!$E$27*Variables!$C$18+'Cost Calculations'!V566*Variables!$E$28*Variables!$C$18+W566*Variables!$E$29*Variables!$C$18</f>
        <v>3460082.4779934436</v>
      </c>
      <c r="Y566" s="58">
        <f>J566*Variables!$E$30</f>
        <v>62410.488766044851</v>
      </c>
      <c r="Z566" s="1"/>
      <c r="AA566" s="245">
        <f>D566*(IF(D566&lt;Variables!$C$7,Variables!$C$38,IF(D566&gt;Variables!$C$6,Variables!$C$36,Variables!$C$37)))</f>
        <v>18.04367163461173</v>
      </c>
      <c r="AB566" s="64">
        <f t="shared" si="13"/>
        <v>18</v>
      </c>
      <c r="AC566" s="66">
        <f t="shared" si="2"/>
        <v>0</v>
      </c>
      <c r="AD566" s="62">
        <f>AC566*Variables!$E$41</f>
        <v>0</v>
      </c>
      <c r="AE566" s="71">
        <f>ROUND((H566/(3.14*Variables!$C$35^2)),0)</f>
        <v>7</v>
      </c>
      <c r="AF566" s="57">
        <f t="shared" si="14"/>
        <v>7</v>
      </c>
      <c r="AG566" s="57">
        <f t="shared" si="3"/>
        <v>0</v>
      </c>
      <c r="AH566" s="58">
        <f>AG566*Variables!$E$42*Variables!$C$18</f>
        <v>0</v>
      </c>
      <c r="AI566" s="73">
        <f t="shared" si="4"/>
        <v>0</v>
      </c>
      <c r="AJ566" s="66">
        <f t="shared" si="15"/>
        <v>0</v>
      </c>
      <c r="AK566" s="66">
        <f t="shared" si="5"/>
        <v>0</v>
      </c>
      <c r="AL566" s="62">
        <f>IF(AK566*Variables!$E$43*Variables!$C$18&lt;0,0,AK566*Variables!$E$43*Variables!$C$18)</f>
        <v>0</v>
      </c>
      <c r="AM566" s="58">
        <f>AA566*Variables!$E$39*Variables!$C$18</f>
        <v>5215565.0499374773</v>
      </c>
      <c r="AN566" s="1"/>
      <c r="AO566" s="76">
        <f t="shared" si="16"/>
        <v>0.67714285714285716</v>
      </c>
      <c r="AP566" s="76">
        <f t="shared" si="6"/>
        <v>108.40630935542534</v>
      </c>
      <c r="AQ566" s="75">
        <f>VLOOKUP(B566,'Household Information'!$B$2:$E$48,4,FALSE)</f>
        <v>40.760000000000005</v>
      </c>
      <c r="AR566" s="79">
        <f>IF(12*(AP566-Variables!$C$45*AQ566*F566)*(G566/5)&lt;0,0,12*(AP566-Variables!$C$45*AQ566*F566)*(G566/5))</f>
        <v>2989294.0486391746</v>
      </c>
      <c r="AS566" s="1"/>
      <c r="AT566" s="62">
        <v>0</v>
      </c>
      <c r="AU566" s="1"/>
    </row>
    <row r="567" spans="1:47" ht="14.25" customHeight="1">
      <c r="A567" s="1">
        <v>47</v>
      </c>
      <c r="B567" s="3" t="s">
        <v>244</v>
      </c>
      <c r="C567" s="1">
        <v>2030</v>
      </c>
      <c r="D567" s="13">
        <f>VLOOKUP(B567,Population!$B$1:$O$48,14,FALSE)</f>
        <v>76476.520719365508</v>
      </c>
      <c r="E567" s="13" t="str">
        <f t="shared" si="24"/>
        <v>Small</v>
      </c>
      <c r="F567" s="54">
        <f>VLOOKUP(B567,'Household Information'!$B$1:$E$48,2,FALSE)</f>
        <v>3.4580000000000002</v>
      </c>
      <c r="G567" s="54">
        <f t="shared" si="0"/>
        <v>22115.824383853531</v>
      </c>
      <c r="H567" s="55">
        <f>IF(D567&gt;Variables!$C$6,H520,H520*(1+Variables!$C$9))</f>
        <v>6.0027855318416155</v>
      </c>
      <c r="I567" s="1"/>
      <c r="J567" s="13">
        <f>H567*Variables!$C$21</f>
        <v>108.05013957314908</v>
      </c>
      <c r="K567" s="13">
        <f t="shared" si="12"/>
        <v>104.59839261679485</v>
      </c>
      <c r="L567" s="54">
        <f t="shared" si="1"/>
        <v>3.4517469563542278</v>
      </c>
      <c r="M567" s="56"/>
      <c r="N567" s="57"/>
      <c r="O567" s="57"/>
      <c r="P567" s="57"/>
      <c r="Q567" s="57"/>
      <c r="R567" s="57"/>
      <c r="S567" s="58">
        <v>0</v>
      </c>
      <c r="T567" s="59">
        <f>$L567*Variables!$C$22/100</f>
        <v>0.18742517410068202</v>
      </c>
      <c r="U567" s="59">
        <f>$L567*Variables!$C$23/100</f>
        <v>0.32799405467619358</v>
      </c>
      <c r="V567" s="59">
        <f>$L567*Variables!$C$24/100</f>
        <v>0.34361281918458375</v>
      </c>
      <c r="W567" s="59">
        <f>$L567*Variables!$C$25/100</f>
        <v>2.4990023213424273</v>
      </c>
      <c r="X567" s="62">
        <f>T567*Variables!$E$26*Variables!$C$18+'Cost Calculations'!U567*Variables!$E$27*Variables!$C$18+'Cost Calculations'!V567*Variables!$E$28*Variables!$C$18+W567*Variables!$E$29*Variables!$C$18</f>
        <v>3923697.3361088056</v>
      </c>
      <c r="Y567" s="58">
        <f>J567*Variables!$E$30</f>
        <v>70772.841420412646</v>
      </c>
      <c r="Z567" s="1"/>
      <c r="AA567" s="245">
        <f>D567*(IF(D567&lt;Variables!$C$7,Variables!$C$38,IF(D567&gt;Variables!$C$6,Variables!$C$36,Variables!$C$37)))</f>
        <v>61.181216575492407</v>
      </c>
      <c r="AB567" s="64">
        <f t="shared" si="13"/>
        <v>60</v>
      </c>
      <c r="AC567" s="66">
        <f t="shared" si="2"/>
        <v>1</v>
      </c>
      <c r="AD567" s="62">
        <f>AC567*Variables!$E$41</f>
        <v>537600</v>
      </c>
      <c r="AE567" s="71">
        <f>ROUND((H567/(3.14*Variables!$C$35^2)),0)</f>
        <v>8</v>
      </c>
      <c r="AF567" s="57">
        <f t="shared" si="14"/>
        <v>7</v>
      </c>
      <c r="AG567" s="57">
        <f t="shared" si="3"/>
        <v>1</v>
      </c>
      <c r="AH567" s="58">
        <f>AG567*Variables!$E$42*Variables!$C$18</f>
        <v>1148.2560000000001</v>
      </c>
      <c r="AI567" s="73">
        <f t="shared" si="4"/>
        <v>1</v>
      </c>
      <c r="AJ567" s="66">
        <f t="shared" si="15"/>
        <v>1</v>
      </c>
      <c r="AK567" s="66">
        <f t="shared" si="5"/>
        <v>0</v>
      </c>
      <c r="AL567" s="62">
        <f>IF(AK567*Variables!$E$43*Variables!$C$18&lt;0,0,AK567*Variables!$E$43*Variables!$C$18)</f>
        <v>0</v>
      </c>
      <c r="AM567" s="58">
        <f>AA567*Variables!$E$39*Variables!$C$18</f>
        <v>17684572.261429321</v>
      </c>
      <c r="AN567" s="1"/>
      <c r="AO567" s="76">
        <f t="shared" si="16"/>
        <v>0.67714285714285716</v>
      </c>
      <c r="AP567" s="76">
        <f t="shared" si="6"/>
        <v>140.49359999999999</v>
      </c>
      <c r="AQ567" s="75">
        <f>VLOOKUP(B567,'Household Information'!$B$2:$E$48,4,FALSE)</f>
        <v>40.760000000000005</v>
      </c>
      <c r="AR567" s="79">
        <f>IF(12*(AP567-Variables!$C$45*AQ567*F567)*(G567/5)&lt;0,0,12*(AP567-Variables!$C$45*AQ567*F567)*(G567/5))</f>
        <v>6334930.4087451929</v>
      </c>
      <c r="AS567" s="1"/>
      <c r="AT567" s="62">
        <v>0</v>
      </c>
      <c r="AU567" s="1"/>
    </row>
    <row r="568" spans="1:47" ht="15" customHeight="1">
      <c r="A568" s="1"/>
      <c r="B568" s="3"/>
      <c r="C568" s="1"/>
      <c r="D568" s="1"/>
      <c r="E568" s="1"/>
      <c r="F568" s="1"/>
      <c r="G568" s="1"/>
      <c r="H568" s="1"/>
      <c r="I568" s="1"/>
      <c r="J568" s="13"/>
      <c r="K568" s="13"/>
      <c r="L568" s="1"/>
      <c r="M568" s="56"/>
      <c r="N568" s="71"/>
      <c r="O568" s="1"/>
      <c r="P568" s="1"/>
      <c r="Q568" s="1"/>
      <c r="R568" s="1"/>
      <c r="S568" s="220">
        <f>SUM(S4:S567)</f>
        <v>51426996.697708376</v>
      </c>
      <c r="T568" s="1"/>
      <c r="U568" s="1"/>
      <c r="V568" s="1"/>
      <c r="W568" s="1"/>
      <c r="X568" s="221">
        <f t="shared" ref="X568:Y568" si="25">SUM(X4:X567)</f>
        <v>14404229713.492878</v>
      </c>
      <c r="Y568" s="221">
        <f t="shared" si="25"/>
        <v>270453479.76576692</v>
      </c>
      <c r="Z568" s="1"/>
      <c r="AA568" s="246"/>
      <c r="AB568" s="13"/>
      <c r="AC568" s="1"/>
      <c r="AD568" s="221">
        <f>SUM(AD4:AD567)</f>
        <v>8180121600</v>
      </c>
      <c r="AE568" s="1"/>
      <c r="AF568" s="1"/>
      <c r="AG568" s="71"/>
      <c r="AH568" s="221">
        <f>SUM(AH4:AH567)</f>
        <v>2205799.7760000005</v>
      </c>
      <c r="AI568" s="1"/>
      <c r="AJ568" s="1"/>
      <c r="AK568" s="1"/>
      <c r="AL568" s="220">
        <f t="shared" ref="AL568:AM568" si="26">SUM(AL4:AL567)</f>
        <v>199475494.81200045</v>
      </c>
      <c r="AM568" s="220">
        <f t="shared" si="26"/>
        <v>98635412312.388794</v>
      </c>
      <c r="AN568" s="1"/>
      <c r="AO568" s="76"/>
      <c r="AP568" s="76"/>
      <c r="AQ568" s="76"/>
      <c r="AR568" s="220">
        <f>SUM(AR4:AR567)</f>
        <v>20933478350.834187</v>
      </c>
      <c r="AS568" s="1"/>
      <c r="AT568" s="221">
        <f>SUM(AT4:AT243)</f>
        <v>11950000</v>
      </c>
      <c r="AU568" s="1"/>
    </row>
    <row r="569" spans="1:47" ht="15" customHeight="1">
      <c r="A569" s="1"/>
      <c r="B569" s="3"/>
      <c r="C569" s="1"/>
      <c r="D569" s="1"/>
      <c r="E569" s="1"/>
      <c r="F569" s="1"/>
      <c r="G569" s="1"/>
      <c r="H569" s="1"/>
      <c r="I569" s="1"/>
      <c r="J569" s="13"/>
      <c r="K569" s="13"/>
      <c r="L569" s="1"/>
      <c r="M569" s="56"/>
      <c r="N569" s="71"/>
      <c r="O569" s="1"/>
      <c r="P569" s="1"/>
      <c r="Q569" s="1"/>
      <c r="R569" s="1"/>
      <c r="S569" s="1"/>
      <c r="T569" s="1"/>
      <c r="U569" s="1"/>
      <c r="V569" s="1"/>
      <c r="W569" s="1"/>
      <c r="X569" s="222"/>
      <c r="Y569" s="222"/>
      <c r="Z569" s="1"/>
      <c r="AA569" s="246"/>
      <c r="AB569" s="13"/>
      <c r="AC569" s="1"/>
      <c r="AD569" s="222"/>
      <c r="AE569" s="1"/>
      <c r="AF569" s="1"/>
      <c r="AG569" s="71"/>
      <c r="AH569" s="222"/>
      <c r="AI569" s="1"/>
      <c r="AJ569" s="1"/>
      <c r="AK569" s="1"/>
      <c r="AL569" s="222"/>
      <c r="AM569" s="223"/>
      <c r="AN569" s="1"/>
      <c r="AO569" s="76"/>
      <c r="AP569" s="76"/>
      <c r="AQ569" s="76"/>
      <c r="AR569" s="1"/>
      <c r="AS569" s="1"/>
      <c r="AT569" s="1"/>
      <c r="AU569" s="1"/>
    </row>
    <row r="570" spans="1:47" ht="15" customHeight="1">
      <c r="A570" s="1"/>
      <c r="B570" s="3"/>
      <c r="C570" s="1"/>
      <c r="D570" s="1"/>
      <c r="E570" s="1"/>
      <c r="F570" s="1"/>
      <c r="G570" s="1"/>
      <c r="H570" s="1"/>
      <c r="I570" s="1"/>
      <c r="J570" s="13"/>
      <c r="K570" s="13"/>
      <c r="L570" s="1"/>
      <c r="M570" s="56"/>
      <c r="N570" s="71"/>
      <c r="O570" s="1"/>
      <c r="P570" s="1"/>
      <c r="Q570" s="1"/>
      <c r="R570" s="1"/>
      <c r="S570" s="1"/>
      <c r="T570" s="1"/>
      <c r="U570" s="1"/>
      <c r="V570" s="1"/>
      <c r="W570" s="1"/>
      <c r="X570" s="1"/>
      <c r="Y570" s="1"/>
      <c r="Z570" s="1"/>
      <c r="AA570" s="246"/>
      <c r="AB570" s="13"/>
      <c r="AC570" s="1"/>
      <c r="AD570" s="1"/>
      <c r="AE570" s="1"/>
      <c r="AF570" s="1"/>
      <c r="AG570" s="71"/>
      <c r="AH570" s="1"/>
      <c r="AI570" s="1"/>
      <c r="AJ570" s="1"/>
      <c r="AK570" s="1"/>
      <c r="AL570" s="1"/>
      <c r="AM570" s="1"/>
      <c r="AN570" s="1"/>
      <c r="AO570" s="76"/>
      <c r="AP570" s="76"/>
      <c r="AQ570" s="76"/>
      <c r="AR570" s="1"/>
      <c r="AS570" s="1"/>
      <c r="AT570" s="1"/>
      <c r="AU570" s="1"/>
    </row>
    <row r="571" spans="1:47" ht="15" customHeight="1">
      <c r="A571" s="1"/>
      <c r="B571" s="3"/>
      <c r="C571" s="1"/>
      <c r="D571" s="1"/>
      <c r="E571" s="1"/>
      <c r="F571" s="1"/>
      <c r="G571" s="1"/>
      <c r="H571" s="1"/>
      <c r="I571" s="1"/>
      <c r="J571" s="13"/>
      <c r="K571" s="13"/>
      <c r="L571" s="1"/>
      <c r="M571" s="56"/>
      <c r="N571" s="71"/>
      <c r="O571" s="1"/>
      <c r="P571" s="1"/>
      <c r="Q571" s="1"/>
      <c r="R571" s="1"/>
      <c r="S571" s="1"/>
      <c r="T571" s="1"/>
      <c r="U571" s="1"/>
      <c r="V571" s="1"/>
      <c r="W571" s="1"/>
      <c r="X571" s="1"/>
      <c r="Y571" s="1"/>
      <c r="Z571" s="1"/>
      <c r="AA571" s="246"/>
      <c r="AB571" s="13"/>
      <c r="AC571" s="1"/>
      <c r="AD571" s="1"/>
      <c r="AE571" s="1"/>
      <c r="AF571" s="1"/>
      <c r="AG571" s="71"/>
      <c r="AH571" s="1"/>
      <c r="AI571" s="1"/>
      <c r="AJ571" s="1"/>
      <c r="AK571" s="1"/>
      <c r="AL571" s="1"/>
      <c r="AM571" s="1"/>
      <c r="AN571" s="1"/>
      <c r="AO571" s="76"/>
      <c r="AP571" s="76"/>
      <c r="AQ571" s="76"/>
      <c r="AR571" s="1"/>
      <c r="AS571" s="1"/>
      <c r="AT571" s="1"/>
      <c r="AU571" s="1"/>
    </row>
    <row r="572" spans="1:47" ht="15" customHeight="1">
      <c r="A572" s="1"/>
      <c r="B572" s="3"/>
      <c r="C572" s="1"/>
      <c r="D572" s="1"/>
      <c r="E572" s="1"/>
      <c r="F572" s="1"/>
      <c r="G572" s="1"/>
      <c r="H572" s="1"/>
      <c r="I572" s="1"/>
      <c r="J572" s="13"/>
      <c r="K572" s="13"/>
      <c r="L572" s="1"/>
      <c r="M572" s="56"/>
      <c r="N572" s="71"/>
      <c r="O572" s="1"/>
      <c r="P572" s="1"/>
      <c r="Q572" s="1"/>
      <c r="R572" s="1"/>
      <c r="S572" s="1"/>
      <c r="T572" s="1"/>
      <c r="U572" s="1"/>
      <c r="V572" s="1"/>
      <c r="W572" s="1"/>
      <c r="X572" s="1"/>
      <c r="Y572" s="1"/>
      <c r="Z572" s="1"/>
      <c r="AA572" s="246"/>
      <c r="AB572" s="13"/>
      <c r="AC572" s="1"/>
      <c r="AD572" s="1"/>
      <c r="AE572" s="1"/>
      <c r="AF572" s="1"/>
      <c r="AG572" s="71"/>
      <c r="AH572" s="1"/>
      <c r="AI572" s="1"/>
      <c r="AJ572" s="1"/>
      <c r="AK572" s="1"/>
      <c r="AL572" s="1"/>
      <c r="AM572" s="1"/>
      <c r="AN572" s="1"/>
      <c r="AO572" s="76"/>
      <c r="AP572" s="76"/>
      <c r="AQ572" s="76"/>
      <c r="AR572" s="1"/>
      <c r="AS572" s="1"/>
      <c r="AT572" s="1"/>
      <c r="AU572" s="1"/>
    </row>
    <row r="573" spans="1:47" ht="15" customHeight="1">
      <c r="A573" s="1"/>
      <c r="B573" s="3"/>
      <c r="C573" s="1"/>
      <c r="D573" s="1"/>
      <c r="E573" s="1"/>
      <c r="F573" s="1"/>
      <c r="G573" s="1"/>
      <c r="H573" s="1"/>
      <c r="I573" s="1"/>
      <c r="J573" s="13"/>
      <c r="K573" s="13"/>
      <c r="L573" s="1"/>
      <c r="M573" s="56"/>
      <c r="N573" s="71"/>
      <c r="O573" s="1"/>
      <c r="P573" s="1"/>
      <c r="Q573" s="1"/>
      <c r="R573" s="1"/>
      <c r="S573" s="1"/>
      <c r="T573" s="1"/>
      <c r="U573" s="1"/>
      <c r="V573" s="1"/>
      <c r="W573" s="1"/>
      <c r="X573" s="1"/>
      <c r="Y573" s="1"/>
      <c r="Z573" s="1"/>
      <c r="AA573" s="246"/>
      <c r="AB573" s="13"/>
      <c r="AC573" s="1"/>
      <c r="AD573" s="1"/>
      <c r="AE573" s="1"/>
      <c r="AF573" s="1"/>
      <c r="AG573" s="71"/>
      <c r="AH573" s="1"/>
      <c r="AI573" s="1"/>
      <c r="AJ573" s="1"/>
      <c r="AK573" s="1"/>
      <c r="AL573" s="1"/>
      <c r="AM573" s="1"/>
      <c r="AN573" s="1"/>
      <c r="AO573" s="76"/>
      <c r="AP573" s="76"/>
      <c r="AQ573" s="76"/>
      <c r="AR573" s="1"/>
      <c r="AS573" s="1"/>
      <c r="AT573" s="1"/>
      <c r="AU573" s="1"/>
    </row>
    <row r="574" spans="1:47" ht="15" customHeight="1">
      <c r="A574" s="1"/>
      <c r="B574" s="3"/>
      <c r="C574" s="1"/>
      <c r="D574" s="1"/>
      <c r="E574" s="1"/>
      <c r="F574" s="1"/>
      <c r="G574" s="1"/>
      <c r="H574" s="1"/>
      <c r="I574" s="1"/>
      <c r="J574" s="13"/>
      <c r="K574" s="13"/>
      <c r="L574" s="1"/>
      <c r="M574" s="56"/>
      <c r="N574" s="71"/>
      <c r="O574" s="1"/>
      <c r="P574" s="1"/>
      <c r="Q574" s="1"/>
      <c r="R574" s="1"/>
      <c r="S574" s="1"/>
      <c r="T574" s="1"/>
      <c r="U574" s="1"/>
      <c r="V574" s="1"/>
      <c r="W574" s="1"/>
      <c r="X574" s="1"/>
      <c r="Y574" s="1">
        <v>3</v>
      </c>
      <c r="Z574" s="1"/>
      <c r="AA574" s="246">
        <f t="shared" ref="AA574:AA576" si="27">(IF(Y574&lt;5,3,IF(Y574&gt;10,1,2)))</f>
        <v>3</v>
      </c>
      <c r="AB574" s="13"/>
      <c r="AC574" s="1"/>
      <c r="AD574" s="1"/>
      <c r="AE574" s="1"/>
      <c r="AF574" s="1"/>
      <c r="AG574" s="71"/>
      <c r="AH574" s="1"/>
      <c r="AI574" s="1"/>
      <c r="AJ574" s="1"/>
      <c r="AK574" s="1"/>
      <c r="AL574" s="1"/>
      <c r="AM574" s="1"/>
      <c r="AN574" s="1"/>
      <c r="AO574" s="76"/>
      <c r="AP574" s="76"/>
      <c r="AQ574" s="76"/>
      <c r="AR574" s="1"/>
      <c r="AS574" s="1"/>
      <c r="AT574" s="1"/>
      <c r="AU574" s="1"/>
    </row>
    <row r="575" spans="1:47" ht="15" customHeight="1">
      <c r="A575" s="1"/>
      <c r="B575" s="3"/>
      <c r="C575" s="1"/>
      <c r="D575" s="1"/>
      <c r="E575" s="1"/>
      <c r="F575" s="1"/>
      <c r="G575" s="1"/>
      <c r="H575" s="1"/>
      <c r="I575" s="1"/>
      <c r="J575" s="13"/>
      <c r="K575" s="13"/>
      <c r="L575" s="1"/>
      <c r="M575" s="56"/>
      <c r="N575" s="71"/>
      <c r="O575" s="1"/>
      <c r="P575" s="1"/>
      <c r="Q575" s="1"/>
      <c r="R575" s="1"/>
      <c r="S575" s="1"/>
      <c r="T575" s="1"/>
      <c r="U575" s="1"/>
      <c r="V575" s="1"/>
      <c r="W575" s="1"/>
      <c r="X575" s="1"/>
      <c r="Y575" s="1">
        <v>8</v>
      </c>
      <c r="Z575" s="1"/>
      <c r="AA575" s="246">
        <f t="shared" si="27"/>
        <v>2</v>
      </c>
      <c r="AB575" s="13"/>
      <c r="AC575" s="1"/>
      <c r="AD575" s="1"/>
      <c r="AE575" s="1"/>
      <c r="AF575" s="1"/>
      <c r="AG575" s="71"/>
      <c r="AH575" s="1"/>
      <c r="AI575" s="1"/>
      <c r="AJ575" s="1"/>
      <c r="AK575" s="1"/>
      <c r="AL575" s="1"/>
      <c r="AM575" s="1"/>
      <c r="AN575" s="1"/>
      <c r="AO575" s="76"/>
      <c r="AP575" s="76"/>
      <c r="AQ575" s="76"/>
      <c r="AR575" s="1"/>
      <c r="AS575" s="1"/>
      <c r="AT575" s="1"/>
      <c r="AU575" s="1"/>
    </row>
    <row r="576" spans="1:47" ht="15" customHeight="1">
      <c r="A576" s="1"/>
      <c r="B576" s="3"/>
      <c r="C576" s="1"/>
      <c r="D576" s="1"/>
      <c r="E576" s="1"/>
      <c r="F576" s="1"/>
      <c r="G576" s="1"/>
      <c r="H576" s="1"/>
      <c r="I576" s="1"/>
      <c r="J576" s="13"/>
      <c r="K576" s="13"/>
      <c r="L576" s="1"/>
      <c r="M576" s="56"/>
      <c r="N576" s="71"/>
      <c r="O576" s="1"/>
      <c r="P576" s="1"/>
      <c r="Q576" s="1"/>
      <c r="R576" s="1"/>
      <c r="S576" s="1"/>
      <c r="T576" s="1"/>
      <c r="U576" s="1"/>
      <c r="V576" s="1"/>
      <c r="W576" s="1"/>
      <c r="X576" s="1"/>
      <c r="Y576" s="1">
        <v>13</v>
      </c>
      <c r="Z576" s="1"/>
      <c r="AA576" s="246">
        <f t="shared" si="27"/>
        <v>1</v>
      </c>
      <c r="AB576" s="13"/>
      <c r="AC576" s="1"/>
      <c r="AD576" s="1"/>
      <c r="AE576" s="1"/>
      <c r="AF576" s="1"/>
      <c r="AG576" s="71"/>
      <c r="AH576" s="1"/>
      <c r="AI576" s="1"/>
      <c r="AJ576" s="1"/>
      <c r="AK576" s="1"/>
      <c r="AL576" s="1"/>
      <c r="AM576" s="1"/>
      <c r="AN576" s="1"/>
      <c r="AO576" s="76"/>
      <c r="AP576" s="76"/>
      <c r="AQ576" s="76"/>
      <c r="AR576" s="1"/>
      <c r="AS576" s="1"/>
      <c r="AT576" s="1"/>
      <c r="AU576" s="1"/>
    </row>
    <row r="577" spans="1:47" ht="15" customHeight="1">
      <c r="A577" s="1"/>
      <c r="B577" s="3"/>
      <c r="C577" s="1"/>
      <c r="D577" s="1"/>
      <c r="E577" s="1"/>
      <c r="F577" s="1"/>
      <c r="G577" s="1"/>
      <c r="H577" s="1"/>
      <c r="I577" s="1"/>
      <c r="J577" s="13"/>
      <c r="K577" s="13"/>
      <c r="L577" s="1"/>
      <c r="M577" s="56"/>
      <c r="N577" s="71"/>
      <c r="O577" s="1"/>
      <c r="P577" s="1"/>
      <c r="Q577" s="1"/>
      <c r="R577" s="1"/>
      <c r="S577" s="1"/>
      <c r="T577" s="1"/>
      <c r="U577" s="1"/>
      <c r="V577" s="1"/>
      <c r="W577" s="1"/>
      <c r="X577" s="1"/>
      <c r="Y577" s="1"/>
      <c r="Z577" s="1"/>
      <c r="AA577" s="246"/>
      <c r="AB577" s="13"/>
      <c r="AC577" s="1"/>
      <c r="AD577" s="1"/>
      <c r="AE577" s="1"/>
      <c r="AF577" s="1"/>
      <c r="AG577" s="71"/>
      <c r="AH577" s="1"/>
      <c r="AI577" s="1"/>
      <c r="AJ577" s="1"/>
      <c r="AK577" s="1"/>
      <c r="AL577" s="1"/>
      <c r="AM577" s="1"/>
      <c r="AN577" s="1"/>
      <c r="AO577" s="76"/>
      <c r="AP577" s="76"/>
      <c r="AQ577" s="76"/>
      <c r="AR577" s="1"/>
      <c r="AS577" s="1"/>
      <c r="AT577" s="1"/>
      <c r="AU577" s="1"/>
    </row>
    <row r="578" spans="1:47" ht="15" customHeight="1">
      <c r="A578" s="1"/>
      <c r="B578" s="3"/>
      <c r="C578" s="1"/>
      <c r="D578" s="1"/>
      <c r="E578" s="1"/>
      <c r="F578" s="1"/>
      <c r="G578" s="1"/>
      <c r="H578" s="1"/>
      <c r="I578" s="1"/>
      <c r="J578" s="13"/>
      <c r="K578" s="13"/>
      <c r="L578" s="1"/>
      <c r="M578" s="56"/>
      <c r="N578" s="71"/>
      <c r="O578" s="1"/>
      <c r="P578" s="1"/>
      <c r="Q578" s="1"/>
      <c r="R578" s="1"/>
      <c r="S578" s="1"/>
      <c r="T578" s="1"/>
      <c r="U578" s="1"/>
      <c r="V578" s="1"/>
      <c r="W578" s="1"/>
      <c r="X578" s="1"/>
      <c r="Y578" s="1"/>
      <c r="Z578" s="1"/>
      <c r="AA578" s="246"/>
      <c r="AB578" s="13"/>
      <c r="AC578" s="1"/>
      <c r="AD578" s="1"/>
      <c r="AE578" s="1"/>
      <c r="AF578" s="1"/>
      <c r="AG578" s="71"/>
      <c r="AH578" s="1"/>
      <c r="AI578" s="1"/>
      <c r="AJ578" s="1"/>
      <c r="AK578" s="1"/>
      <c r="AL578" s="1"/>
      <c r="AM578" s="1"/>
      <c r="AN578" s="1"/>
      <c r="AO578" s="76"/>
      <c r="AP578" s="76"/>
      <c r="AQ578" s="76"/>
      <c r="AR578" s="1"/>
      <c r="AS578" s="1"/>
      <c r="AT578" s="1"/>
      <c r="AU578" s="1"/>
    </row>
    <row r="579" spans="1:47" ht="15" customHeight="1">
      <c r="A579" s="1"/>
      <c r="B579" s="3"/>
      <c r="C579" s="1"/>
      <c r="D579" s="1"/>
      <c r="E579" s="1"/>
      <c r="F579" s="1"/>
      <c r="G579" s="1"/>
      <c r="H579" s="1"/>
      <c r="I579" s="1"/>
      <c r="J579" s="13"/>
      <c r="K579" s="13"/>
      <c r="L579" s="1"/>
      <c r="M579" s="56"/>
      <c r="N579" s="71"/>
      <c r="O579" s="1"/>
      <c r="P579" s="1"/>
      <c r="Q579" s="1"/>
      <c r="R579" s="1"/>
      <c r="S579" s="1"/>
      <c r="T579" s="1"/>
      <c r="U579" s="1"/>
      <c r="V579" s="1"/>
      <c r="W579" s="1"/>
      <c r="X579" s="1"/>
      <c r="Y579" s="1"/>
      <c r="Z579" s="1"/>
      <c r="AA579" s="246"/>
      <c r="AB579" s="13"/>
      <c r="AC579" s="1"/>
      <c r="AD579" s="1"/>
      <c r="AE579" s="1"/>
      <c r="AF579" s="1"/>
      <c r="AG579" s="71"/>
      <c r="AH579" s="1"/>
      <c r="AI579" s="1"/>
      <c r="AJ579" s="1"/>
      <c r="AK579" s="1"/>
      <c r="AL579" s="1"/>
      <c r="AM579" s="1"/>
      <c r="AN579" s="1"/>
      <c r="AO579" s="76"/>
      <c r="AP579" s="76"/>
      <c r="AQ579" s="76"/>
      <c r="AR579" s="1"/>
      <c r="AS579" s="1"/>
      <c r="AT579" s="1"/>
      <c r="AU579" s="1"/>
    </row>
    <row r="580" spans="1:47" ht="15" customHeight="1">
      <c r="A580" s="1"/>
      <c r="B580" s="3"/>
      <c r="C580" s="1"/>
      <c r="D580" s="1"/>
      <c r="E580" s="1"/>
      <c r="F580" s="1"/>
      <c r="G580" s="1"/>
      <c r="H580" s="1"/>
      <c r="I580" s="1"/>
      <c r="J580" s="13"/>
      <c r="K580" s="13"/>
      <c r="L580" s="1"/>
      <c r="M580" s="56"/>
      <c r="N580" s="71"/>
      <c r="O580" s="1"/>
      <c r="P580" s="1"/>
      <c r="Q580" s="1"/>
      <c r="R580" s="1"/>
      <c r="S580" s="1"/>
      <c r="T580" s="1"/>
      <c r="U580" s="1"/>
      <c r="V580" s="1"/>
      <c r="W580" s="1"/>
      <c r="X580" s="1"/>
      <c r="Y580" s="1"/>
      <c r="Z580" s="1"/>
      <c r="AA580" s="246"/>
      <c r="AB580" s="13"/>
      <c r="AC580" s="1"/>
      <c r="AD580" s="1"/>
      <c r="AE580" s="1"/>
      <c r="AF580" s="1"/>
      <c r="AG580" s="71"/>
      <c r="AH580" s="1"/>
      <c r="AI580" s="1"/>
      <c r="AJ580" s="1"/>
      <c r="AK580" s="1"/>
      <c r="AL580" s="1"/>
      <c r="AM580" s="1"/>
      <c r="AN580" s="1"/>
      <c r="AO580" s="76"/>
      <c r="AP580" s="76"/>
      <c r="AQ580" s="76"/>
      <c r="AR580" s="1"/>
      <c r="AS580" s="1"/>
      <c r="AT580" s="1"/>
      <c r="AU580" s="1"/>
    </row>
    <row r="581" spans="1:47" ht="15" customHeight="1">
      <c r="A581" s="1"/>
      <c r="B581" s="3"/>
      <c r="C581" s="1"/>
      <c r="D581" s="1"/>
      <c r="E581" s="1"/>
      <c r="F581" s="1"/>
      <c r="G581" s="1"/>
      <c r="H581" s="1"/>
      <c r="I581" s="1"/>
      <c r="J581" s="13"/>
      <c r="K581" s="13"/>
      <c r="L581" s="1"/>
      <c r="M581" s="56"/>
      <c r="N581" s="71"/>
      <c r="O581" s="1"/>
      <c r="P581" s="1"/>
      <c r="Q581" s="1"/>
      <c r="R581" s="1"/>
      <c r="S581" s="1"/>
      <c r="T581" s="1"/>
      <c r="U581" s="1"/>
      <c r="V581" s="1"/>
      <c r="W581" s="1"/>
      <c r="X581" s="1"/>
      <c r="Y581" s="1"/>
      <c r="Z581" s="1"/>
      <c r="AA581" s="246"/>
      <c r="AB581" s="13"/>
      <c r="AC581" s="1"/>
      <c r="AD581" s="1"/>
      <c r="AE581" s="1"/>
      <c r="AF581" s="1"/>
      <c r="AG581" s="71"/>
      <c r="AH581" s="1"/>
      <c r="AI581" s="1"/>
      <c r="AJ581" s="1"/>
      <c r="AK581" s="1"/>
      <c r="AL581" s="1"/>
      <c r="AM581" s="1"/>
      <c r="AN581" s="1"/>
      <c r="AO581" s="76"/>
      <c r="AP581" s="76"/>
      <c r="AQ581" s="76"/>
      <c r="AR581" s="1"/>
      <c r="AS581" s="1"/>
      <c r="AT581" s="1"/>
      <c r="AU581" s="1"/>
    </row>
    <row r="582" spans="1:47" ht="15" customHeight="1">
      <c r="A582" s="1"/>
      <c r="B582" s="3"/>
      <c r="C582" s="1"/>
      <c r="D582" s="1"/>
      <c r="E582" s="1"/>
      <c r="F582" s="1"/>
      <c r="G582" s="1"/>
      <c r="H582" s="1"/>
      <c r="I582" s="1"/>
      <c r="J582" s="13"/>
      <c r="K582" s="13"/>
      <c r="L582" s="1"/>
      <c r="M582" s="56"/>
      <c r="N582" s="71"/>
      <c r="O582" s="1"/>
      <c r="P582" s="1"/>
      <c r="Q582" s="1"/>
      <c r="R582" s="1"/>
      <c r="S582" s="1"/>
      <c r="T582" s="1"/>
      <c r="U582" s="1"/>
      <c r="V582" s="1"/>
      <c r="W582" s="1"/>
      <c r="X582" s="1"/>
      <c r="Y582" s="1"/>
      <c r="Z582" s="1"/>
      <c r="AA582" s="246"/>
      <c r="AB582" s="13"/>
      <c r="AC582" s="1"/>
      <c r="AD582" s="1"/>
      <c r="AE582" s="1"/>
      <c r="AF582" s="1"/>
      <c r="AG582" s="71"/>
      <c r="AH582" s="1"/>
      <c r="AI582" s="1"/>
      <c r="AJ582" s="1"/>
      <c r="AK582" s="1"/>
      <c r="AL582" s="1"/>
      <c r="AM582" s="1"/>
      <c r="AN582" s="1"/>
      <c r="AO582" s="76"/>
      <c r="AP582" s="76"/>
      <c r="AQ582" s="76"/>
      <c r="AR582" s="1"/>
      <c r="AS582" s="1"/>
      <c r="AT582" s="1"/>
      <c r="AU582" s="1"/>
    </row>
    <row r="583" spans="1:47" ht="15" customHeight="1">
      <c r="A583" s="1"/>
      <c r="B583" s="3"/>
      <c r="C583" s="1"/>
      <c r="D583" s="1"/>
      <c r="E583" s="1"/>
      <c r="F583" s="1"/>
      <c r="G583" s="1"/>
      <c r="H583" s="1"/>
      <c r="I583" s="1"/>
      <c r="J583" s="13"/>
      <c r="K583" s="13"/>
      <c r="L583" s="1"/>
      <c r="M583" s="56"/>
      <c r="N583" s="71"/>
      <c r="O583" s="1"/>
      <c r="P583" s="1"/>
      <c r="Q583" s="1"/>
      <c r="R583" s="1"/>
      <c r="S583" s="1"/>
      <c r="T583" s="1"/>
      <c r="U583" s="1"/>
      <c r="V583" s="1"/>
      <c r="W583" s="1"/>
      <c r="X583" s="1"/>
      <c r="Y583" s="1"/>
      <c r="Z583" s="1"/>
      <c r="AA583" s="246"/>
      <c r="AB583" s="13"/>
      <c r="AC583" s="1"/>
      <c r="AD583" s="1"/>
      <c r="AE583" s="1"/>
      <c r="AF583" s="1"/>
      <c r="AG583" s="71"/>
      <c r="AH583" s="1"/>
      <c r="AI583" s="1"/>
      <c r="AJ583" s="1"/>
      <c r="AK583" s="1"/>
      <c r="AL583" s="1"/>
      <c r="AM583" s="1"/>
      <c r="AN583" s="1"/>
      <c r="AO583" s="76"/>
      <c r="AP583" s="76"/>
      <c r="AQ583" s="76"/>
      <c r="AR583" s="1"/>
      <c r="AS583" s="1"/>
      <c r="AT583" s="1"/>
      <c r="AU583" s="1"/>
    </row>
    <row r="584" spans="1:47" ht="15" customHeight="1">
      <c r="A584" s="1"/>
      <c r="B584" s="3"/>
      <c r="C584" s="1"/>
      <c r="D584" s="1"/>
      <c r="E584" s="1"/>
      <c r="F584" s="1"/>
      <c r="G584" s="1"/>
      <c r="H584" s="1"/>
      <c r="I584" s="1"/>
      <c r="J584" s="13"/>
      <c r="K584" s="13"/>
      <c r="L584" s="1"/>
      <c r="M584" s="56"/>
      <c r="N584" s="71"/>
      <c r="O584" s="1"/>
      <c r="P584" s="1"/>
      <c r="Q584" s="1"/>
      <c r="R584" s="1"/>
      <c r="S584" s="1"/>
      <c r="T584" s="1"/>
      <c r="U584" s="1"/>
      <c r="V584" s="1"/>
      <c r="W584" s="1"/>
      <c r="X584" s="1"/>
      <c r="Y584" s="1"/>
      <c r="Z584" s="1"/>
      <c r="AA584" s="246"/>
      <c r="AB584" s="13"/>
      <c r="AC584" s="1"/>
      <c r="AD584" s="1"/>
      <c r="AE584" s="1"/>
      <c r="AF584" s="1"/>
      <c r="AG584" s="71"/>
      <c r="AH584" s="1"/>
      <c r="AI584" s="1"/>
      <c r="AJ584" s="1"/>
      <c r="AK584" s="1"/>
      <c r="AL584" s="1"/>
      <c r="AM584" s="1"/>
      <c r="AN584" s="1"/>
      <c r="AO584" s="76"/>
      <c r="AP584" s="76"/>
      <c r="AQ584" s="76"/>
      <c r="AR584" s="1"/>
      <c r="AS584" s="1"/>
      <c r="AT584" s="1"/>
      <c r="AU584" s="1"/>
    </row>
    <row r="585" spans="1:47" ht="15" customHeight="1">
      <c r="A585" s="1"/>
      <c r="B585" s="3"/>
      <c r="C585" s="1"/>
      <c r="D585" s="1"/>
      <c r="E585" s="1"/>
      <c r="F585" s="1"/>
      <c r="G585" s="1"/>
      <c r="H585" s="1"/>
      <c r="I585" s="1"/>
      <c r="J585" s="13"/>
      <c r="K585" s="13"/>
      <c r="L585" s="1"/>
      <c r="M585" s="56"/>
      <c r="N585" s="71"/>
      <c r="O585" s="1"/>
      <c r="P585" s="1"/>
      <c r="Q585" s="1"/>
      <c r="R585" s="1"/>
      <c r="S585" s="1"/>
      <c r="T585" s="1"/>
      <c r="U585" s="1"/>
      <c r="V585" s="1"/>
      <c r="W585" s="1"/>
      <c r="X585" s="1"/>
      <c r="Y585" s="1"/>
      <c r="Z585" s="1"/>
      <c r="AA585" s="246"/>
      <c r="AB585" s="13"/>
      <c r="AC585" s="1"/>
      <c r="AD585" s="1"/>
      <c r="AE585" s="1"/>
      <c r="AF585" s="1"/>
      <c r="AG585" s="71"/>
      <c r="AH585" s="1"/>
      <c r="AI585" s="1"/>
      <c r="AJ585" s="1"/>
      <c r="AK585" s="1"/>
      <c r="AL585" s="1"/>
      <c r="AM585" s="1"/>
      <c r="AN585" s="1"/>
      <c r="AO585" s="76"/>
      <c r="AP585" s="76"/>
      <c r="AQ585" s="76"/>
      <c r="AR585" s="1"/>
      <c r="AS585" s="1"/>
      <c r="AT585" s="1"/>
      <c r="AU585" s="1"/>
    </row>
    <row r="586" spans="1:47" ht="15" customHeight="1">
      <c r="A586" s="1"/>
      <c r="B586" s="3"/>
      <c r="C586" s="1"/>
      <c r="D586" s="1"/>
      <c r="E586" s="1"/>
      <c r="F586" s="1"/>
      <c r="G586" s="1"/>
      <c r="H586" s="1"/>
      <c r="I586" s="1"/>
      <c r="J586" s="13"/>
      <c r="K586" s="13"/>
      <c r="L586" s="1"/>
      <c r="M586" s="56"/>
      <c r="N586" s="71"/>
      <c r="O586" s="1"/>
      <c r="P586" s="1"/>
      <c r="Q586" s="1"/>
      <c r="R586" s="1"/>
      <c r="S586" s="1"/>
      <c r="T586" s="1"/>
      <c r="U586" s="1"/>
      <c r="V586" s="1"/>
      <c r="W586" s="1"/>
      <c r="X586" s="1"/>
      <c r="Y586" s="1"/>
      <c r="Z586" s="1"/>
      <c r="AA586" s="246"/>
      <c r="AB586" s="13"/>
      <c r="AC586" s="1"/>
      <c r="AD586" s="1"/>
      <c r="AE586" s="1"/>
      <c r="AF586" s="1"/>
      <c r="AG586" s="71"/>
      <c r="AH586" s="1"/>
      <c r="AI586" s="1"/>
      <c r="AJ586" s="1"/>
      <c r="AK586" s="1"/>
      <c r="AL586" s="1"/>
      <c r="AM586" s="1"/>
      <c r="AN586" s="1"/>
      <c r="AO586" s="76"/>
      <c r="AP586" s="76"/>
      <c r="AQ586" s="76"/>
      <c r="AR586" s="1"/>
      <c r="AS586" s="1"/>
      <c r="AT586" s="1"/>
      <c r="AU586" s="1"/>
    </row>
    <row r="587" spans="1:47" ht="15" customHeight="1">
      <c r="A587" s="1"/>
      <c r="B587" s="3"/>
      <c r="C587" s="1"/>
      <c r="D587" s="1"/>
      <c r="E587" s="1"/>
      <c r="F587" s="1"/>
      <c r="G587" s="1"/>
      <c r="H587" s="1"/>
      <c r="I587" s="1"/>
      <c r="J587" s="13"/>
      <c r="K587" s="13"/>
      <c r="L587" s="1"/>
      <c r="M587" s="56"/>
      <c r="N587" s="71"/>
      <c r="O587" s="1"/>
      <c r="P587" s="1"/>
      <c r="Q587" s="1"/>
      <c r="R587" s="1"/>
      <c r="S587" s="1"/>
      <c r="T587" s="1"/>
      <c r="U587" s="1"/>
      <c r="V587" s="1"/>
      <c r="W587" s="1"/>
      <c r="X587" s="1"/>
      <c r="Y587" s="1"/>
      <c r="Z587" s="1"/>
      <c r="AA587" s="246"/>
      <c r="AB587" s="13"/>
      <c r="AC587" s="1"/>
      <c r="AD587" s="1"/>
      <c r="AE587" s="1"/>
      <c r="AF587" s="1"/>
      <c r="AG587" s="71"/>
      <c r="AH587" s="1"/>
      <c r="AI587" s="1"/>
      <c r="AJ587" s="1"/>
      <c r="AK587" s="1"/>
      <c r="AL587" s="1"/>
      <c r="AM587" s="1"/>
      <c r="AN587" s="1"/>
      <c r="AO587" s="76"/>
      <c r="AP587" s="76"/>
      <c r="AQ587" s="76"/>
      <c r="AR587" s="1"/>
      <c r="AS587" s="1"/>
      <c r="AT587" s="1"/>
      <c r="AU587" s="1"/>
    </row>
    <row r="588" spans="1:47" ht="15" customHeight="1">
      <c r="A588" s="1"/>
      <c r="B588" s="3"/>
      <c r="C588" s="1"/>
      <c r="D588" s="1"/>
      <c r="E588" s="1"/>
      <c r="F588" s="1"/>
      <c r="G588" s="1"/>
      <c r="H588" s="1"/>
      <c r="I588" s="1"/>
      <c r="J588" s="13"/>
      <c r="K588" s="13"/>
      <c r="L588" s="1"/>
      <c r="M588" s="56"/>
      <c r="N588" s="71"/>
      <c r="O588" s="1"/>
      <c r="P588" s="1"/>
      <c r="Q588" s="1"/>
      <c r="R588" s="1"/>
      <c r="S588" s="1"/>
      <c r="T588" s="1"/>
      <c r="U588" s="1"/>
      <c r="V588" s="1"/>
      <c r="W588" s="1"/>
      <c r="X588" s="1"/>
      <c r="Y588" s="1"/>
      <c r="Z588" s="1"/>
      <c r="AA588" s="246"/>
      <c r="AB588" s="13"/>
      <c r="AC588" s="1"/>
      <c r="AD588" s="1"/>
      <c r="AE588" s="1"/>
      <c r="AF588" s="1"/>
      <c r="AG588" s="71"/>
      <c r="AH588" s="1"/>
      <c r="AI588" s="1"/>
      <c r="AJ588" s="1"/>
      <c r="AK588" s="1"/>
      <c r="AL588" s="1"/>
      <c r="AM588" s="1"/>
      <c r="AN588" s="1"/>
      <c r="AO588" s="76"/>
      <c r="AP588" s="76"/>
      <c r="AQ588" s="76"/>
      <c r="AR588" s="1"/>
      <c r="AS588" s="1"/>
      <c r="AT588" s="1"/>
      <c r="AU588" s="1"/>
    </row>
    <row r="589" spans="1:47" ht="15" customHeight="1">
      <c r="A589" s="1"/>
      <c r="B589" s="3"/>
      <c r="C589" s="1"/>
      <c r="D589" s="1"/>
      <c r="E589" s="1"/>
      <c r="F589" s="1"/>
      <c r="G589" s="1"/>
      <c r="H589" s="1"/>
      <c r="I589" s="1"/>
      <c r="J589" s="13"/>
      <c r="K589" s="13"/>
      <c r="L589" s="1"/>
      <c r="M589" s="56"/>
      <c r="N589" s="71"/>
      <c r="O589" s="1"/>
      <c r="P589" s="1"/>
      <c r="Q589" s="1"/>
      <c r="R589" s="1"/>
      <c r="S589" s="1"/>
      <c r="T589" s="1"/>
      <c r="U589" s="1"/>
      <c r="V589" s="1"/>
      <c r="W589" s="1"/>
      <c r="X589" s="1"/>
      <c r="Y589" s="1"/>
      <c r="Z589" s="1"/>
      <c r="AA589" s="246"/>
      <c r="AB589" s="13"/>
      <c r="AC589" s="1"/>
      <c r="AD589" s="1"/>
      <c r="AE589" s="1"/>
      <c r="AF589" s="1"/>
      <c r="AG589" s="71"/>
      <c r="AH589" s="1"/>
      <c r="AI589" s="1"/>
      <c r="AJ589" s="1"/>
      <c r="AK589" s="1"/>
      <c r="AL589" s="1"/>
      <c r="AM589" s="1"/>
      <c r="AN589" s="1"/>
      <c r="AO589" s="76"/>
      <c r="AP589" s="76"/>
      <c r="AQ589" s="76"/>
      <c r="AR589" s="1"/>
      <c r="AS589" s="1"/>
      <c r="AT589" s="1"/>
      <c r="AU589" s="1"/>
    </row>
    <row r="590" spans="1:47" ht="15" customHeight="1">
      <c r="A590" s="1"/>
      <c r="B590" s="3"/>
      <c r="C590" s="1"/>
      <c r="D590" s="1"/>
      <c r="E590" s="1"/>
      <c r="F590" s="1"/>
      <c r="G590" s="1"/>
      <c r="H590" s="1"/>
      <c r="I590" s="1"/>
      <c r="J590" s="13"/>
      <c r="K590" s="13"/>
      <c r="L590" s="1"/>
      <c r="M590" s="56"/>
      <c r="N590" s="71"/>
      <c r="O590" s="1"/>
      <c r="P590" s="1"/>
      <c r="Q590" s="1"/>
      <c r="R590" s="1"/>
      <c r="S590" s="1"/>
      <c r="T590" s="1"/>
      <c r="U590" s="1"/>
      <c r="V590" s="1"/>
      <c r="W590" s="1"/>
      <c r="X590" s="1"/>
      <c r="Y590" s="1"/>
      <c r="Z590" s="1"/>
      <c r="AA590" s="246"/>
      <c r="AB590" s="13"/>
      <c r="AC590" s="1"/>
      <c r="AD590" s="1"/>
      <c r="AE590" s="1"/>
      <c r="AF590" s="1"/>
      <c r="AG590" s="71"/>
      <c r="AH590" s="1"/>
      <c r="AI590" s="1"/>
      <c r="AJ590" s="1"/>
      <c r="AK590" s="1"/>
      <c r="AL590" s="1"/>
      <c r="AM590" s="1"/>
      <c r="AN590" s="1"/>
      <c r="AO590" s="76"/>
      <c r="AP590" s="76"/>
      <c r="AQ590" s="76"/>
      <c r="AR590" s="1"/>
      <c r="AS590" s="1"/>
      <c r="AT590" s="1"/>
      <c r="AU590" s="1"/>
    </row>
    <row r="591" spans="1:47" ht="15" customHeight="1">
      <c r="A591" s="1"/>
      <c r="B591" s="3"/>
      <c r="C591" s="1"/>
      <c r="D591" s="1"/>
      <c r="E591" s="1"/>
      <c r="F591" s="1"/>
      <c r="G591" s="1"/>
      <c r="H591" s="1"/>
      <c r="I591" s="1"/>
      <c r="J591" s="13"/>
      <c r="K591" s="13"/>
      <c r="L591" s="1"/>
      <c r="M591" s="56"/>
      <c r="N591" s="71"/>
      <c r="O591" s="1"/>
      <c r="P591" s="1"/>
      <c r="Q591" s="1"/>
      <c r="R591" s="1"/>
      <c r="S591" s="1"/>
      <c r="T591" s="1"/>
      <c r="U591" s="1"/>
      <c r="V591" s="1"/>
      <c r="W591" s="1"/>
      <c r="X591" s="1"/>
      <c r="Y591" s="1"/>
      <c r="Z591" s="1"/>
      <c r="AA591" s="246"/>
      <c r="AB591" s="13"/>
      <c r="AC591" s="1"/>
      <c r="AD591" s="1"/>
      <c r="AE591" s="1"/>
      <c r="AF591" s="1"/>
      <c r="AG591" s="71"/>
      <c r="AH591" s="1"/>
      <c r="AI591" s="1"/>
      <c r="AJ591" s="1"/>
      <c r="AK591" s="1"/>
      <c r="AL591" s="1"/>
      <c r="AM591" s="1"/>
      <c r="AN591" s="1"/>
      <c r="AO591" s="76"/>
      <c r="AP591" s="76"/>
      <c r="AQ591" s="76"/>
      <c r="AR591" s="1"/>
      <c r="AS591" s="1"/>
      <c r="AT591" s="1"/>
      <c r="AU591" s="1"/>
    </row>
    <row r="592" spans="1:47" ht="15" customHeight="1">
      <c r="A592" s="1"/>
      <c r="B592" s="3"/>
      <c r="C592" s="1"/>
      <c r="D592" s="1"/>
      <c r="E592" s="1"/>
      <c r="F592" s="1"/>
      <c r="G592" s="1"/>
      <c r="H592" s="1"/>
      <c r="I592" s="1"/>
      <c r="J592" s="13"/>
      <c r="K592" s="13"/>
      <c r="L592" s="1"/>
      <c r="M592" s="56"/>
      <c r="N592" s="71"/>
      <c r="O592" s="1"/>
      <c r="P592" s="1"/>
      <c r="Q592" s="1"/>
      <c r="R592" s="1"/>
      <c r="S592" s="1"/>
      <c r="T592" s="1"/>
      <c r="U592" s="1"/>
      <c r="V592" s="1"/>
      <c r="W592" s="1"/>
      <c r="X592" s="1"/>
      <c r="Y592" s="1"/>
      <c r="Z592" s="1"/>
      <c r="AA592" s="246"/>
      <c r="AB592" s="13"/>
      <c r="AC592" s="1"/>
      <c r="AD592" s="1"/>
      <c r="AE592" s="1"/>
      <c r="AF592" s="1"/>
      <c r="AG592" s="71"/>
      <c r="AH592" s="1"/>
      <c r="AI592" s="1"/>
      <c r="AJ592" s="1"/>
      <c r="AK592" s="1"/>
      <c r="AL592" s="1"/>
      <c r="AM592" s="1"/>
      <c r="AN592" s="1"/>
      <c r="AO592" s="76"/>
      <c r="AP592" s="76"/>
      <c r="AQ592" s="76"/>
      <c r="AR592" s="1"/>
      <c r="AS592" s="1"/>
      <c r="AT592" s="1"/>
      <c r="AU592" s="1"/>
    </row>
    <row r="593" spans="1:47" ht="15" customHeight="1">
      <c r="A593" s="1"/>
      <c r="B593" s="3"/>
      <c r="C593" s="1"/>
      <c r="D593" s="1"/>
      <c r="E593" s="1"/>
      <c r="F593" s="1"/>
      <c r="G593" s="1"/>
      <c r="H593" s="1"/>
      <c r="I593" s="1"/>
      <c r="J593" s="13"/>
      <c r="K593" s="13"/>
      <c r="L593" s="1"/>
      <c r="M593" s="56"/>
      <c r="N593" s="71"/>
      <c r="O593" s="1"/>
      <c r="P593" s="1"/>
      <c r="Q593" s="1"/>
      <c r="R593" s="1"/>
      <c r="S593" s="1"/>
      <c r="T593" s="1"/>
      <c r="U593" s="1"/>
      <c r="V593" s="1"/>
      <c r="W593" s="1"/>
      <c r="X593" s="1"/>
      <c r="Y593" s="1"/>
      <c r="Z593" s="1"/>
      <c r="AA593" s="246"/>
      <c r="AB593" s="13"/>
      <c r="AC593" s="1"/>
      <c r="AD593" s="1"/>
      <c r="AE593" s="1"/>
      <c r="AF593" s="1"/>
      <c r="AG593" s="71"/>
      <c r="AH593" s="1"/>
      <c r="AI593" s="1"/>
      <c r="AJ593" s="1"/>
      <c r="AK593" s="1"/>
      <c r="AL593" s="1"/>
      <c r="AM593" s="1"/>
      <c r="AN593" s="1"/>
      <c r="AO593" s="76"/>
      <c r="AP593" s="76"/>
      <c r="AQ593" s="76"/>
      <c r="AR593" s="1"/>
      <c r="AS593" s="1"/>
      <c r="AT593" s="1"/>
      <c r="AU593" s="1"/>
    </row>
    <row r="594" spans="1:47" ht="15" customHeight="1">
      <c r="A594" s="1"/>
      <c r="B594" s="3"/>
      <c r="C594" s="1"/>
      <c r="D594" s="1"/>
      <c r="E594" s="1"/>
      <c r="F594" s="1"/>
      <c r="G594" s="1"/>
      <c r="H594" s="1"/>
      <c r="I594" s="1"/>
      <c r="J594" s="13"/>
      <c r="K594" s="13"/>
      <c r="L594" s="1"/>
      <c r="M594" s="56"/>
      <c r="N594" s="71"/>
      <c r="O594" s="1"/>
      <c r="P594" s="1"/>
      <c r="Q594" s="1"/>
      <c r="R594" s="1"/>
      <c r="S594" s="1"/>
      <c r="T594" s="1"/>
      <c r="U594" s="1"/>
      <c r="V594" s="1"/>
      <c r="W594" s="1"/>
      <c r="X594" s="1"/>
      <c r="Y594" s="1"/>
      <c r="Z594" s="1"/>
      <c r="AA594" s="246"/>
      <c r="AB594" s="13"/>
      <c r="AC594" s="1"/>
      <c r="AD594" s="1"/>
      <c r="AE594" s="1"/>
      <c r="AF594" s="1"/>
      <c r="AG594" s="71"/>
      <c r="AH594" s="1"/>
      <c r="AI594" s="1"/>
      <c r="AJ594" s="1"/>
      <c r="AK594" s="1"/>
      <c r="AL594" s="1"/>
      <c r="AM594" s="1"/>
      <c r="AN594" s="1"/>
      <c r="AO594" s="76"/>
      <c r="AP594" s="76"/>
      <c r="AQ594" s="76"/>
      <c r="AR594" s="1"/>
      <c r="AS594" s="1"/>
      <c r="AT594" s="1"/>
      <c r="AU594" s="1"/>
    </row>
    <row r="595" spans="1:47" ht="15" customHeight="1">
      <c r="A595" s="1"/>
      <c r="B595" s="3"/>
      <c r="C595" s="1"/>
      <c r="D595" s="1"/>
      <c r="E595" s="1"/>
      <c r="F595" s="1"/>
      <c r="G595" s="1"/>
      <c r="H595" s="1"/>
      <c r="I595" s="1"/>
      <c r="J595" s="13"/>
      <c r="K595" s="13"/>
      <c r="L595" s="1"/>
      <c r="M595" s="56"/>
      <c r="N595" s="71"/>
      <c r="O595" s="1"/>
      <c r="P595" s="1"/>
      <c r="Q595" s="1"/>
      <c r="R595" s="1"/>
      <c r="S595" s="1"/>
      <c r="T595" s="1"/>
      <c r="U595" s="1"/>
      <c r="V595" s="1"/>
      <c r="W595" s="1"/>
      <c r="X595" s="1"/>
      <c r="Y595" s="1"/>
      <c r="Z595" s="1"/>
      <c r="AA595" s="246"/>
      <c r="AB595" s="13"/>
      <c r="AC595" s="1"/>
      <c r="AD595" s="1"/>
      <c r="AE595" s="1"/>
      <c r="AF595" s="1"/>
      <c r="AG595" s="71"/>
      <c r="AH595" s="1"/>
      <c r="AI595" s="1"/>
      <c r="AJ595" s="1"/>
      <c r="AK595" s="1"/>
      <c r="AL595" s="1"/>
      <c r="AM595" s="1"/>
      <c r="AN595" s="1"/>
      <c r="AO595" s="76"/>
      <c r="AP595" s="76"/>
      <c r="AQ595" s="76"/>
      <c r="AR595" s="1"/>
      <c r="AS595" s="1"/>
      <c r="AT595" s="1"/>
      <c r="AU595" s="1"/>
    </row>
    <row r="596" spans="1:47" ht="15" customHeight="1">
      <c r="A596" s="1"/>
      <c r="B596" s="3"/>
      <c r="C596" s="1"/>
      <c r="D596" s="1"/>
      <c r="E596" s="1"/>
      <c r="F596" s="1"/>
      <c r="G596" s="1"/>
      <c r="H596" s="1"/>
      <c r="I596" s="1"/>
      <c r="J596" s="13"/>
      <c r="K596" s="13"/>
      <c r="L596" s="1"/>
      <c r="M596" s="56"/>
      <c r="N596" s="71"/>
      <c r="O596" s="1"/>
      <c r="P596" s="1"/>
      <c r="Q596" s="1"/>
      <c r="R596" s="1"/>
      <c r="S596" s="1"/>
      <c r="T596" s="1"/>
      <c r="U596" s="1"/>
      <c r="V596" s="1"/>
      <c r="W596" s="1"/>
      <c r="X596" s="1"/>
      <c r="Y596" s="1"/>
      <c r="Z596" s="1"/>
      <c r="AA596" s="246"/>
      <c r="AB596" s="13"/>
      <c r="AC596" s="1"/>
      <c r="AD596" s="1"/>
      <c r="AE596" s="1"/>
      <c r="AF596" s="1"/>
      <c r="AG596" s="71"/>
      <c r="AH596" s="1"/>
      <c r="AI596" s="1"/>
      <c r="AJ596" s="1"/>
      <c r="AK596" s="1"/>
      <c r="AL596" s="1"/>
      <c r="AM596" s="1"/>
      <c r="AN596" s="1"/>
      <c r="AO596" s="76"/>
      <c r="AP596" s="76"/>
      <c r="AQ596" s="76"/>
      <c r="AR596" s="1"/>
      <c r="AS596" s="1"/>
      <c r="AT596" s="1"/>
      <c r="AU596" s="1"/>
    </row>
    <row r="597" spans="1:47" ht="15" customHeight="1">
      <c r="A597" s="1"/>
      <c r="B597" s="3"/>
      <c r="C597" s="1"/>
      <c r="D597" s="1"/>
      <c r="E597" s="1"/>
      <c r="F597" s="1"/>
      <c r="G597" s="1"/>
      <c r="H597" s="1"/>
      <c r="I597" s="1"/>
      <c r="J597" s="13"/>
      <c r="K597" s="13"/>
      <c r="L597" s="1"/>
      <c r="M597" s="56"/>
      <c r="N597" s="71"/>
      <c r="O597" s="1"/>
      <c r="P597" s="1"/>
      <c r="Q597" s="1"/>
      <c r="R597" s="1"/>
      <c r="S597" s="1"/>
      <c r="T597" s="1"/>
      <c r="U597" s="1"/>
      <c r="V597" s="1"/>
      <c r="W597" s="1"/>
      <c r="X597" s="1"/>
      <c r="Y597" s="1"/>
      <c r="Z597" s="1"/>
      <c r="AA597" s="246"/>
      <c r="AB597" s="13"/>
      <c r="AC597" s="1"/>
      <c r="AD597" s="1"/>
      <c r="AE597" s="1"/>
      <c r="AF597" s="1"/>
      <c r="AG597" s="71"/>
      <c r="AH597" s="1"/>
      <c r="AI597" s="1"/>
      <c r="AJ597" s="1"/>
      <c r="AK597" s="1"/>
      <c r="AL597" s="1"/>
      <c r="AM597" s="1"/>
      <c r="AN597" s="1"/>
      <c r="AO597" s="76"/>
      <c r="AP597" s="76"/>
      <c r="AQ597" s="76"/>
      <c r="AR597" s="1"/>
      <c r="AS597" s="1"/>
      <c r="AT597" s="1"/>
      <c r="AU597" s="1"/>
    </row>
    <row r="598" spans="1:47" ht="15" customHeight="1">
      <c r="A598" s="1"/>
      <c r="B598" s="3"/>
      <c r="C598" s="1"/>
      <c r="D598" s="1"/>
      <c r="E598" s="1"/>
      <c r="F598" s="1"/>
      <c r="G598" s="1"/>
      <c r="H598" s="1"/>
      <c r="I598" s="1"/>
      <c r="J598" s="13"/>
      <c r="K598" s="13"/>
      <c r="L598" s="1"/>
      <c r="M598" s="56"/>
      <c r="N598" s="71"/>
      <c r="O598" s="1"/>
      <c r="P598" s="1"/>
      <c r="Q598" s="1"/>
      <c r="R598" s="1"/>
      <c r="S598" s="1"/>
      <c r="T598" s="1"/>
      <c r="U598" s="1"/>
      <c r="V598" s="1"/>
      <c r="W598" s="1"/>
      <c r="X598" s="1"/>
      <c r="Y598" s="1"/>
      <c r="Z598" s="1"/>
      <c r="AA598" s="246"/>
      <c r="AB598" s="13"/>
      <c r="AC598" s="1"/>
      <c r="AD598" s="1"/>
      <c r="AE598" s="1"/>
      <c r="AF598" s="1"/>
      <c r="AG598" s="71"/>
      <c r="AH598" s="1"/>
      <c r="AI598" s="1"/>
      <c r="AJ598" s="1"/>
      <c r="AK598" s="1"/>
      <c r="AL598" s="1"/>
      <c r="AM598" s="1"/>
      <c r="AN598" s="1"/>
      <c r="AO598" s="76"/>
      <c r="AP598" s="76"/>
      <c r="AQ598" s="76"/>
      <c r="AR598" s="1"/>
      <c r="AS598" s="1"/>
      <c r="AT598" s="1"/>
      <c r="AU598" s="1"/>
    </row>
    <row r="599" spans="1:47" ht="15" customHeight="1">
      <c r="A599" s="1"/>
      <c r="B599" s="3"/>
      <c r="C599" s="1"/>
      <c r="D599" s="1"/>
      <c r="E599" s="1"/>
      <c r="F599" s="1"/>
      <c r="G599" s="1"/>
      <c r="H599" s="1"/>
      <c r="I599" s="1"/>
      <c r="J599" s="13"/>
      <c r="K599" s="13"/>
      <c r="L599" s="1"/>
      <c r="M599" s="56"/>
      <c r="N599" s="71"/>
      <c r="O599" s="1"/>
      <c r="P599" s="1"/>
      <c r="Q599" s="1"/>
      <c r="R599" s="1"/>
      <c r="S599" s="1"/>
      <c r="T599" s="1"/>
      <c r="U599" s="1"/>
      <c r="V599" s="1"/>
      <c r="W599" s="1"/>
      <c r="X599" s="1"/>
      <c r="Y599" s="1"/>
      <c r="Z599" s="1"/>
      <c r="AA599" s="246"/>
      <c r="AB599" s="13"/>
      <c r="AC599" s="1"/>
      <c r="AD599" s="1"/>
      <c r="AE599" s="1"/>
      <c r="AF599" s="1"/>
      <c r="AG599" s="71"/>
      <c r="AH599" s="1"/>
      <c r="AI599" s="1"/>
      <c r="AJ599" s="1"/>
      <c r="AK599" s="1"/>
      <c r="AL599" s="1"/>
      <c r="AM599" s="1"/>
      <c r="AN599" s="1"/>
      <c r="AO599" s="76"/>
      <c r="AP599" s="76"/>
      <c r="AQ599" s="76"/>
      <c r="AR599" s="1"/>
      <c r="AS599" s="1"/>
      <c r="AT599" s="1"/>
      <c r="AU599" s="1"/>
    </row>
    <row r="600" spans="1:47" ht="15" customHeight="1">
      <c r="A600" s="1"/>
      <c r="B600" s="3"/>
      <c r="C600" s="1"/>
      <c r="D600" s="1"/>
      <c r="E600" s="1"/>
      <c r="F600" s="1"/>
      <c r="G600" s="1"/>
      <c r="H600" s="1"/>
      <c r="I600" s="1"/>
      <c r="J600" s="13"/>
      <c r="K600" s="13"/>
      <c r="L600" s="1"/>
      <c r="M600" s="56"/>
      <c r="N600" s="71"/>
      <c r="O600" s="1"/>
      <c r="P600" s="1"/>
      <c r="Q600" s="1"/>
      <c r="R600" s="1"/>
      <c r="S600" s="1"/>
      <c r="T600" s="1"/>
      <c r="U600" s="1"/>
      <c r="V600" s="1"/>
      <c r="W600" s="1"/>
      <c r="X600" s="1"/>
      <c r="Y600" s="1"/>
      <c r="Z600" s="1"/>
      <c r="AA600" s="246"/>
      <c r="AB600" s="13"/>
      <c r="AC600" s="1"/>
      <c r="AD600" s="1"/>
      <c r="AE600" s="1"/>
      <c r="AF600" s="1"/>
      <c r="AG600" s="71"/>
      <c r="AH600" s="1"/>
      <c r="AI600" s="1"/>
      <c r="AJ600" s="1"/>
      <c r="AK600" s="1"/>
      <c r="AL600" s="1"/>
      <c r="AM600" s="1"/>
      <c r="AN600" s="1"/>
      <c r="AO600" s="76"/>
      <c r="AP600" s="76"/>
      <c r="AQ600" s="76"/>
      <c r="AR600" s="1"/>
      <c r="AS600" s="1"/>
      <c r="AT600" s="1"/>
      <c r="AU600" s="1"/>
    </row>
    <row r="601" spans="1:47" ht="15" customHeight="1">
      <c r="A601" s="1"/>
      <c r="B601" s="3"/>
      <c r="C601" s="1"/>
      <c r="D601" s="1"/>
      <c r="E601" s="1"/>
      <c r="F601" s="1"/>
      <c r="G601" s="1"/>
      <c r="H601" s="1"/>
      <c r="I601" s="1"/>
      <c r="J601" s="13"/>
      <c r="K601" s="13"/>
      <c r="L601" s="1"/>
      <c r="M601" s="56"/>
      <c r="N601" s="71"/>
      <c r="O601" s="1"/>
      <c r="P601" s="1"/>
      <c r="Q601" s="1"/>
      <c r="R601" s="1"/>
      <c r="S601" s="1"/>
      <c r="T601" s="1"/>
      <c r="U601" s="1"/>
      <c r="V601" s="1"/>
      <c r="W601" s="1"/>
      <c r="X601" s="1"/>
      <c r="Y601" s="1"/>
      <c r="Z601" s="1"/>
      <c r="AA601" s="246"/>
      <c r="AB601" s="13"/>
      <c r="AC601" s="1"/>
      <c r="AD601" s="1"/>
      <c r="AE601" s="1"/>
      <c r="AF601" s="1"/>
      <c r="AG601" s="71"/>
      <c r="AH601" s="1"/>
      <c r="AI601" s="1"/>
      <c r="AJ601" s="1"/>
      <c r="AK601" s="1"/>
      <c r="AL601" s="1"/>
      <c r="AM601" s="1"/>
      <c r="AN601" s="1"/>
      <c r="AO601" s="76"/>
      <c r="AP601" s="76"/>
      <c r="AQ601" s="76"/>
      <c r="AR601" s="1"/>
      <c r="AS601" s="1"/>
      <c r="AT601" s="1"/>
      <c r="AU601" s="1"/>
    </row>
    <row r="602" spans="1:47" ht="15" customHeight="1">
      <c r="A602" s="1"/>
      <c r="B602" s="3"/>
      <c r="C602" s="1"/>
      <c r="D602" s="1"/>
      <c r="E602" s="1"/>
      <c r="F602" s="1"/>
      <c r="G602" s="1"/>
      <c r="H602" s="1"/>
      <c r="I602" s="1"/>
      <c r="J602" s="13"/>
      <c r="K602" s="13"/>
      <c r="L602" s="1"/>
      <c r="M602" s="56"/>
      <c r="N602" s="71"/>
      <c r="O602" s="1"/>
      <c r="P602" s="1"/>
      <c r="Q602" s="1"/>
      <c r="R602" s="1"/>
      <c r="S602" s="1"/>
      <c r="T602" s="1"/>
      <c r="U602" s="1"/>
      <c r="V602" s="1"/>
      <c r="W602" s="1"/>
      <c r="X602" s="1"/>
      <c r="Y602" s="1"/>
      <c r="Z602" s="1"/>
      <c r="AA602" s="246"/>
      <c r="AB602" s="13"/>
      <c r="AC602" s="1"/>
      <c r="AD602" s="1"/>
      <c r="AE602" s="1"/>
      <c r="AF602" s="1"/>
      <c r="AG602" s="71"/>
      <c r="AH602" s="1"/>
      <c r="AI602" s="1"/>
      <c r="AJ602" s="1"/>
      <c r="AK602" s="1"/>
      <c r="AL602" s="1"/>
      <c r="AM602" s="1"/>
      <c r="AN602" s="1"/>
      <c r="AO602" s="76"/>
      <c r="AP602" s="76"/>
      <c r="AQ602" s="76"/>
      <c r="AR602" s="1"/>
      <c r="AS602" s="1"/>
      <c r="AT602" s="1"/>
      <c r="AU602" s="1"/>
    </row>
    <row r="603" spans="1:47" ht="15" customHeight="1">
      <c r="A603" s="1"/>
      <c r="B603" s="3"/>
      <c r="C603" s="1"/>
      <c r="D603" s="1"/>
      <c r="E603" s="1"/>
      <c r="F603" s="1"/>
      <c r="G603" s="1"/>
      <c r="H603" s="1"/>
      <c r="I603" s="1"/>
      <c r="J603" s="13"/>
      <c r="K603" s="13"/>
      <c r="L603" s="1"/>
      <c r="M603" s="56"/>
      <c r="N603" s="71"/>
      <c r="O603" s="1"/>
      <c r="P603" s="1"/>
      <c r="Q603" s="1"/>
      <c r="R603" s="1"/>
      <c r="S603" s="1"/>
      <c r="T603" s="1"/>
      <c r="U603" s="1"/>
      <c r="V603" s="1"/>
      <c r="W603" s="1"/>
      <c r="X603" s="1"/>
      <c r="Y603" s="1"/>
      <c r="Z603" s="1"/>
      <c r="AA603" s="246"/>
      <c r="AB603" s="13"/>
      <c r="AC603" s="1"/>
      <c r="AD603" s="1"/>
      <c r="AE603" s="1"/>
      <c r="AF603" s="1"/>
      <c r="AG603" s="71"/>
      <c r="AH603" s="1"/>
      <c r="AI603" s="1"/>
      <c r="AJ603" s="1"/>
      <c r="AK603" s="1"/>
      <c r="AL603" s="1"/>
      <c r="AM603" s="1"/>
      <c r="AN603" s="1"/>
      <c r="AO603" s="76"/>
      <c r="AP603" s="76"/>
      <c r="AQ603" s="76"/>
      <c r="AR603" s="1"/>
      <c r="AS603" s="1"/>
      <c r="AT603" s="1"/>
      <c r="AU603" s="1"/>
    </row>
    <row r="604" spans="1:47" ht="15" customHeight="1">
      <c r="A604" s="1"/>
      <c r="B604" s="3"/>
      <c r="C604" s="1"/>
      <c r="D604" s="1"/>
      <c r="E604" s="1"/>
      <c r="F604" s="1"/>
      <c r="G604" s="1"/>
      <c r="H604" s="1"/>
      <c r="I604" s="1"/>
      <c r="J604" s="13"/>
      <c r="K604" s="13"/>
      <c r="L604" s="1"/>
      <c r="M604" s="56"/>
      <c r="N604" s="71"/>
      <c r="O604" s="1"/>
      <c r="P604" s="1"/>
      <c r="Q604" s="1"/>
      <c r="R604" s="1"/>
      <c r="S604" s="1"/>
      <c r="T604" s="1"/>
      <c r="U604" s="1"/>
      <c r="V604" s="1"/>
      <c r="W604" s="1"/>
      <c r="X604" s="1"/>
      <c r="Y604" s="1"/>
      <c r="Z604" s="1"/>
      <c r="AA604" s="246"/>
      <c r="AB604" s="13"/>
      <c r="AC604" s="1"/>
      <c r="AD604" s="1"/>
      <c r="AE604" s="1"/>
      <c r="AF604" s="1"/>
      <c r="AG604" s="71"/>
      <c r="AH604" s="1"/>
      <c r="AI604" s="1"/>
      <c r="AJ604" s="1"/>
      <c r="AK604" s="1"/>
      <c r="AL604" s="1"/>
      <c r="AM604" s="1"/>
      <c r="AN604" s="1"/>
      <c r="AO604" s="76"/>
      <c r="AP604" s="76"/>
      <c r="AQ604" s="76"/>
      <c r="AR604" s="1"/>
      <c r="AS604" s="1"/>
      <c r="AT604" s="1"/>
      <c r="AU604" s="1"/>
    </row>
    <row r="605" spans="1:47" ht="15" customHeight="1">
      <c r="A605" s="1"/>
      <c r="B605" s="3"/>
      <c r="C605" s="1"/>
      <c r="D605" s="1"/>
      <c r="E605" s="1"/>
      <c r="F605" s="1"/>
      <c r="G605" s="1"/>
      <c r="H605" s="1"/>
      <c r="I605" s="1"/>
      <c r="J605" s="13"/>
      <c r="K605" s="13"/>
      <c r="L605" s="1"/>
      <c r="M605" s="56"/>
      <c r="N605" s="71"/>
      <c r="O605" s="1"/>
      <c r="P605" s="1"/>
      <c r="Q605" s="1"/>
      <c r="R605" s="1"/>
      <c r="S605" s="1"/>
      <c r="T605" s="1"/>
      <c r="U605" s="1"/>
      <c r="V605" s="1"/>
      <c r="W605" s="1"/>
      <c r="X605" s="1"/>
      <c r="Y605" s="1"/>
      <c r="Z605" s="1"/>
      <c r="AA605" s="246"/>
      <c r="AB605" s="13"/>
      <c r="AC605" s="1"/>
      <c r="AD605" s="1"/>
      <c r="AE605" s="1"/>
      <c r="AF605" s="1"/>
      <c r="AG605" s="71"/>
      <c r="AH605" s="1"/>
      <c r="AI605" s="1"/>
      <c r="AJ605" s="1"/>
      <c r="AK605" s="1"/>
      <c r="AL605" s="1"/>
      <c r="AM605" s="1"/>
      <c r="AN605" s="1"/>
      <c r="AO605" s="76"/>
      <c r="AP605" s="76"/>
      <c r="AQ605" s="76"/>
      <c r="AR605" s="1"/>
      <c r="AS605" s="1"/>
      <c r="AT605" s="1"/>
      <c r="AU605" s="1"/>
    </row>
    <row r="606" spans="1:47" ht="15" customHeight="1">
      <c r="A606" s="1"/>
      <c r="B606" s="3"/>
      <c r="C606" s="1"/>
      <c r="D606" s="1"/>
      <c r="E606" s="1"/>
      <c r="F606" s="1"/>
      <c r="G606" s="1"/>
      <c r="H606" s="1"/>
      <c r="I606" s="1"/>
      <c r="J606" s="13"/>
      <c r="K606" s="13"/>
      <c r="L606" s="1"/>
      <c r="M606" s="56"/>
      <c r="N606" s="71"/>
      <c r="O606" s="1"/>
      <c r="P606" s="1"/>
      <c r="Q606" s="1"/>
      <c r="R606" s="1"/>
      <c r="S606" s="1"/>
      <c r="T606" s="1"/>
      <c r="U606" s="1"/>
      <c r="V606" s="1"/>
      <c r="W606" s="1"/>
      <c r="X606" s="1"/>
      <c r="Y606" s="1"/>
      <c r="Z606" s="1"/>
      <c r="AA606" s="246"/>
      <c r="AB606" s="13"/>
      <c r="AC606" s="1"/>
      <c r="AD606" s="1"/>
      <c r="AE606" s="1"/>
      <c r="AF606" s="1"/>
      <c r="AG606" s="71"/>
      <c r="AH606" s="1"/>
      <c r="AI606" s="1"/>
      <c r="AJ606" s="1"/>
      <c r="AK606" s="1"/>
      <c r="AL606" s="1"/>
      <c r="AM606" s="1"/>
      <c r="AN606" s="1"/>
      <c r="AO606" s="76"/>
      <c r="AP606" s="76"/>
      <c r="AQ606" s="76"/>
      <c r="AR606" s="1"/>
      <c r="AS606" s="1"/>
      <c r="AT606" s="1"/>
      <c r="AU606" s="1"/>
    </row>
    <row r="607" spans="1:47" ht="15" customHeight="1">
      <c r="A607" s="1"/>
      <c r="B607" s="3"/>
      <c r="C607" s="1"/>
      <c r="D607" s="1"/>
      <c r="E607" s="1"/>
      <c r="F607" s="1"/>
      <c r="G607" s="1"/>
      <c r="H607" s="1"/>
      <c r="I607" s="1"/>
      <c r="J607" s="13"/>
      <c r="K607" s="13"/>
      <c r="L607" s="1"/>
      <c r="M607" s="56"/>
      <c r="N607" s="71"/>
      <c r="O607" s="1"/>
      <c r="P607" s="1"/>
      <c r="Q607" s="1"/>
      <c r="R607" s="1"/>
      <c r="S607" s="1"/>
      <c r="T607" s="1"/>
      <c r="U607" s="1"/>
      <c r="V607" s="1"/>
      <c r="W607" s="1"/>
      <c r="X607" s="1"/>
      <c r="Y607" s="1"/>
      <c r="Z607" s="1"/>
      <c r="AA607" s="246"/>
      <c r="AB607" s="13"/>
      <c r="AC607" s="1"/>
      <c r="AD607" s="1"/>
      <c r="AE607" s="1"/>
      <c r="AF607" s="1"/>
      <c r="AG607" s="71"/>
      <c r="AH607" s="1"/>
      <c r="AI607" s="1"/>
      <c r="AJ607" s="1"/>
      <c r="AK607" s="1"/>
      <c r="AL607" s="1"/>
      <c r="AM607" s="1"/>
      <c r="AN607" s="1"/>
      <c r="AO607" s="76"/>
      <c r="AP607" s="76"/>
      <c r="AQ607" s="76"/>
      <c r="AR607" s="1"/>
      <c r="AS607" s="1"/>
      <c r="AT607" s="1"/>
      <c r="AU607" s="1"/>
    </row>
    <row r="608" spans="1:47" ht="15" customHeight="1">
      <c r="A608" s="1"/>
      <c r="B608" s="3"/>
      <c r="C608" s="1"/>
      <c r="D608" s="1"/>
      <c r="E608" s="1"/>
      <c r="F608" s="1"/>
      <c r="G608" s="1"/>
      <c r="H608" s="1"/>
      <c r="I608" s="1"/>
      <c r="J608" s="13"/>
      <c r="K608" s="13"/>
      <c r="L608" s="1"/>
      <c r="M608" s="56"/>
      <c r="N608" s="71"/>
      <c r="O608" s="1"/>
      <c r="P608" s="1"/>
      <c r="Q608" s="1"/>
      <c r="R608" s="1"/>
      <c r="S608" s="1"/>
      <c r="T608" s="1"/>
      <c r="U608" s="1"/>
      <c r="V608" s="1"/>
      <c r="W608" s="1"/>
      <c r="X608" s="1"/>
      <c r="Y608" s="1"/>
      <c r="Z608" s="1"/>
      <c r="AA608" s="246"/>
      <c r="AB608" s="13"/>
      <c r="AC608" s="1"/>
      <c r="AD608" s="1"/>
      <c r="AE608" s="1"/>
      <c r="AF608" s="1"/>
      <c r="AG608" s="71"/>
      <c r="AH608" s="1"/>
      <c r="AI608" s="1"/>
      <c r="AJ608" s="1"/>
      <c r="AK608" s="1"/>
      <c r="AL608" s="1"/>
      <c r="AM608" s="1"/>
      <c r="AN608" s="1"/>
      <c r="AO608" s="76"/>
      <c r="AP608" s="76"/>
      <c r="AQ608" s="76"/>
      <c r="AR608" s="1"/>
      <c r="AS608" s="1"/>
      <c r="AT608" s="1"/>
      <c r="AU608" s="1"/>
    </row>
    <row r="609" spans="1:47" ht="15" customHeight="1">
      <c r="A609" s="1"/>
      <c r="B609" s="3"/>
      <c r="C609" s="1"/>
      <c r="D609" s="1"/>
      <c r="E609" s="1"/>
      <c r="F609" s="1"/>
      <c r="G609" s="1"/>
      <c r="H609" s="1"/>
      <c r="I609" s="1"/>
      <c r="J609" s="13"/>
      <c r="K609" s="13"/>
      <c r="L609" s="1"/>
      <c r="M609" s="56"/>
      <c r="N609" s="71"/>
      <c r="O609" s="1"/>
      <c r="P609" s="1"/>
      <c r="Q609" s="1"/>
      <c r="R609" s="1"/>
      <c r="S609" s="1"/>
      <c r="T609" s="1"/>
      <c r="U609" s="1"/>
      <c r="V609" s="1"/>
      <c r="W609" s="1"/>
      <c r="X609" s="1"/>
      <c r="Y609" s="1"/>
      <c r="Z609" s="1"/>
      <c r="AA609" s="246"/>
      <c r="AB609" s="13"/>
      <c r="AC609" s="1"/>
      <c r="AD609" s="1"/>
      <c r="AE609" s="1"/>
      <c r="AF609" s="1"/>
      <c r="AG609" s="71"/>
      <c r="AH609" s="1"/>
      <c r="AI609" s="1"/>
      <c r="AJ609" s="1"/>
      <c r="AK609" s="1"/>
      <c r="AL609" s="1"/>
      <c r="AM609" s="1"/>
      <c r="AN609" s="1"/>
      <c r="AO609" s="76"/>
      <c r="AP609" s="76"/>
      <c r="AQ609" s="76"/>
      <c r="AR609" s="1"/>
      <c r="AS609" s="1"/>
      <c r="AT609" s="1"/>
      <c r="AU609" s="1"/>
    </row>
    <row r="610" spans="1:47" ht="15" customHeight="1">
      <c r="A610" s="1"/>
      <c r="B610" s="3"/>
      <c r="C610" s="1"/>
      <c r="D610" s="1"/>
      <c r="E610" s="1"/>
      <c r="F610" s="1"/>
      <c r="G610" s="1"/>
      <c r="H610" s="1"/>
      <c r="I610" s="1"/>
      <c r="J610" s="13"/>
      <c r="K610" s="13"/>
      <c r="L610" s="1"/>
      <c r="M610" s="56"/>
      <c r="N610" s="71"/>
      <c r="O610" s="1"/>
      <c r="P610" s="1"/>
      <c r="Q610" s="1"/>
      <c r="R610" s="1"/>
      <c r="S610" s="1"/>
      <c r="T610" s="1"/>
      <c r="U610" s="1"/>
      <c r="V610" s="1"/>
      <c r="W610" s="1"/>
      <c r="X610" s="1"/>
      <c r="Y610" s="1"/>
      <c r="Z610" s="1"/>
      <c r="AA610" s="246"/>
      <c r="AB610" s="13"/>
      <c r="AC610" s="1"/>
      <c r="AD610" s="1"/>
      <c r="AE610" s="1"/>
      <c r="AF610" s="1"/>
      <c r="AG610" s="71"/>
      <c r="AH610" s="1"/>
      <c r="AI610" s="1"/>
      <c r="AJ610" s="1"/>
      <c r="AK610" s="1"/>
      <c r="AL610" s="1"/>
      <c r="AM610" s="1"/>
      <c r="AN610" s="1"/>
      <c r="AO610" s="76"/>
      <c r="AP610" s="76"/>
      <c r="AQ610" s="76"/>
      <c r="AR610" s="1"/>
      <c r="AS610" s="1"/>
      <c r="AT610" s="1"/>
      <c r="AU610" s="1"/>
    </row>
    <row r="611" spans="1:47" ht="15" customHeight="1">
      <c r="A611" s="1"/>
      <c r="B611" s="3"/>
      <c r="C611" s="1"/>
      <c r="D611" s="1"/>
      <c r="E611" s="1"/>
      <c r="F611" s="1"/>
      <c r="G611" s="1"/>
      <c r="H611" s="1"/>
      <c r="I611" s="1"/>
      <c r="J611" s="13"/>
      <c r="K611" s="13"/>
      <c r="L611" s="1"/>
      <c r="M611" s="56"/>
      <c r="N611" s="71"/>
      <c r="O611" s="1"/>
      <c r="P611" s="1"/>
      <c r="Q611" s="1"/>
      <c r="R611" s="1"/>
      <c r="S611" s="1"/>
      <c r="T611" s="1"/>
      <c r="U611" s="1"/>
      <c r="V611" s="1"/>
      <c r="W611" s="1"/>
      <c r="X611" s="1"/>
      <c r="Y611" s="1"/>
      <c r="Z611" s="1"/>
      <c r="AA611" s="246"/>
      <c r="AB611" s="13"/>
      <c r="AC611" s="1"/>
      <c r="AD611" s="1"/>
      <c r="AE611" s="1"/>
      <c r="AF611" s="1"/>
      <c r="AG611" s="71"/>
      <c r="AH611" s="1"/>
      <c r="AI611" s="1"/>
      <c r="AJ611" s="1"/>
      <c r="AK611" s="1"/>
      <c r="AL611" s="1"/>
      <c r="AM611" s="1"/>
      <c r="AN611" s="1"/>
      <c r="AO611" s="76"/>
      <c r="AP611" s="76"/>
      <c r="AQ611" s="76"/>
      <c r="AR611" s="1"/>
      <c r="AS611" s="1"/>
      <c r="AT611" s="1"/>
      <c r="AU611" s="1"/>
    </row>
    <row r="612" spans="1:47" ht="15" customHeight="1">
      <c r="A612" s="1"/>
      <c r="B612" s="3"/>
      <c r="C612" s="1"/>
      <c r="D612" s="1"/>
      <c r="E612" s="1"/>
      <c r="F612" s="1"/>
      <c r="G612" s="1"/>
      <c r="H612" s="1"/>
      <c r="I612" s="1"/>
      <c r="J612" s="13"/>
      <c r="K612" s="13"/>
      <c r="L612" s="1"/>
      <c r="M612" s="56"/>
      <c r="N612" s="71"/>
      <c r="O612" s="1"/>
      <c r="P612" s="1"/>
      <c r="Q612" s="1"/>
      <c r="R612" s="1"/>
      <c r="S612" s="1"/>
      <c r="T612" s="1"/>
      <c r="U612" s="1"/>
      <c r="V612" s="1"/>
      <c r="W612" s="1"/>
      <c r="X612" s="1"/>
      <c r="Y612" s="1"/>
      <c r="Z612" s="1"/>
      <c r="AA612" s="246"/>
      <c r="AB612" s="13"/>
      <c r="AC612" s="1"/>
      <c r="AD612" s="1"/>
      <c r="AE612" s="1"/>
      <c r="AF612" s="1"/>
      <c r="AG612" s="71"/>
      <c r="AH612" s="1"/>
      <c r="AI612" s="1"/>
      <c r="AJ612" s="1"/>
      <c r="AK612" s="1"/>
      <c r="AL612" s="1"/>
      <c r="AM612" s="1"/>
      <c r="AN612" s="1"/>
      <c r="AO612" s="76"/>
      <c r="AP612" s="76"/>
      <c r="AQ612" s="76"/>
      <c r="AR612" s="1"/>
      <c r="AS612" s="1"/>
      <c r="AT612" s="1"/>
      <c r="AU612" s="1"/>
    </row>
    <row r="613" spans="1:47" ht="15" customHeight="1">
      <c r="A613" s="1"/>
      <c r="B613" s="3"/>
      <c r="C613" s="1"/>
      <c r="D613" s="1"/>
      <c r="E613" s="1"/>
      <c r="F613" s="1"/>
      <c r="G613" s="1"/>
      <c r="H613" s="1"/>
      <c r="I613" s="1"/>
      <c r="J613" s="13"/>
      <c r="K613" s="13"/>
      <c r="L613" s="1"/>
      <c r="M613" s="56"/>
      <c r="N613" s="71"/>
      <c r="O613" s="1"/>
      <c r="P613" s="1"/>
      <c r="Q613" s="1"/>
      <c r="R613" s="1"/>
      <c r="S613" s="1"/>
      <c r="T613" s="1"/>
      <c r="U613" s="1"/>
      <c r="V613" s="1"/>
      <c r="W613" s="1"/>
      <c r="X613" s="1"/>
      <c r="Y613" s="1"/>
      <c r="Z613" s="1"/>
      <c r="AA613" s="246"/>
      <c r="AB613" s="13"/>
      <c r="AC613" s="1"/>
      <c r="AD613" s="1"/>
      <c r="AE613" s="1"/>
      <c r="AF613" s="1"/>
      <c r="AG613" s="71"/>
      <c r="AH613" s="1"/>
      <c r="AI613" s="1"/>
      <c r="AJ613" s="1"/>
      <c r="AK613" s="1"/>
      <c r="AL613" s="1"/>
      <c r="AM613" s="1"/>
      <c r="AN613" s="1"/>
      <c r="AO613" s="76"/>
      <c r="AP613" s="76"/>
      <c r="AQ613" s="76"/>
      <c r="AR613" s="1"/>
      <c r="AS613" s="1"/>
      <c r="AT613" s="1"/>
      <c r="AU613" s="1"/>
    </row>
    <row r="614" spans="1:47" ht="15" customHeight="1">
      <c r="A614" s="1"/>
      <c r="B614" s="3"/>
      <c r="C614" s="1"/>
      <c r="D614" s="1"/>
      <c r="E614" s="1"/>
      <c r="F614" s="1"/>
      <c r="G614" s="1"/>
      <c r="H614" s="1"/>
      <c r="I614" s="1"/>
      <c r="J614" s="13"/>
      <c r="K614" s="13"/>
      <c r="L614" s="1"/>
      <c r="M614" s="56"/>
      <c r="N614" s="71"/>
      <c r="O614" s="1"/>
      <c r="P614" s="1"/>
      <c r="Q614" s="1"/>
      <c r="R614" s="1"/>
      <c r="S614" s="1"/>
      <c r="T614" s="1"/>
      <c r="U614" s="1"/>
      <c r="V614" s="1"/>
      <c r="W614" s="1"/>
      <c r="X614" s="1"/>
      <c r="Y614" s="1"/>
      <c r="Z614" s="1"/>
      <c r="AA614" s="246"/>
      <c r="AB614" s="13"/>
      <c r="AC614" s="1"/>
      <c r="AD614" s="1"/>
      <c r="AE614" s="1"/>
      <c r="AF614" s="1"/>
      <c r="AG614" s="71"/>
      <c r="AH614" s="1"/>
      <c r="AI614" s="1"/>
      <c r="AJ614" s="1"/>
      <c r="AK614" s="1"/>
      <c r="AL614" s="1"/>
      <c r="AM614" s="1"/>
      <c r="AN614" s="1"/>
      <c r="AO614" s="76"/>
      <c r="AP614" s="76"/>
      <c r="AQ614" s="76"/>
      <c r="AR614" s="1"/>
      <c r="AS614" s="1"/>
      <c r="AT614" s="1"/>
      <c r="AU614" s="1"/>
    </row>
    <row r="615" spans="1:47" ht="15" customHeight="1">
      <c r="A615" s="1"/>
      <c r="B615" s="3"/>
      <c r="C615" s="1"/>
      <c r="D615" s="1"/>
      <c r="E615" s="1"/>
      <c r="F615" s="1"/>
      <c r="G615" s="1"/>
      <c r="H615" s="1"/>
      <c r="I615" s="1"/>
      <c r="J615" s="13"/>
      <c r="K615" s="13"/>
      <c r="L615" s="1"/>
      <c r="M615" s="56"/>
      <c r="N615" s="71"/>
      <c r="O615" s="1"/>
      <c r="P615" s="1"/>
      <c r="Q615" s="1"/>
      <c r="R615" s="1"/>
      <c r="S615" s="1"/>
      <c r="T615" s="1"/>
      <c r="U615" s="1"/>
      <c r="V615" s="1"/>
      <c r="W615" s="1"/>
      <c r="X615" s="1"/>
      <c r="Y615" s="1"/>
      <c r="Z615" s="1"/>
      <c r="AA615" s="246"/>
      <c r="AB615" s="13"/>
      <c r="AC615" s="1"/>
      <c r="AD615" s="1"/>
      <c r="AE615" s="1"/>
      <c r="AF615" s="1"/>
      <c r="AG615" s="71"/>
      <c r="AH615" s="1"/>
      <c r="AI615" s="1"/>
      <c r="AJ615" s="1"/>
      <c r="AK615" s="1"/>
      <c r="AL615" s="1"/>
      <c r="AM615" s="1"/>
      <c r="AN615" s="1"/>
      <c r="AO615" s="76"/>
      <c r="AP615" s="76"/>
      <c r="AQ615" s="76"/>
      <c r="AR615" s="1"/>
      <c r="AS615" s="1"/>
      <c r="AT615" s="1"/>
      <c r="AU615" s="1"/>
    </row>
    <row r="616" spans="1:47" ht="15" customHeight="1">
      <c r="A616" s="1"/>
      <c r="B616" s="3"/>
      <c r="C616" s="1"/>
      <c r="D616" s="1"/>
      <c r="E616" s="1"/>
      <c r="F616" s="1"/>
      <c r="G616" s="1"/>
      <c r="H616" s="1"/>
      <c r="I616" s="1"/>
      <c r="J616" s="13"/>
      <c r="K616" s="13"/>
      <c r="L616" s="1"/>
      <c r="M616" s="56"/>
      <c r="N616" s="71"/>
      <c r="O616" s="1"/>
      <c r="P616" s="1"/>
      <c r="Q616" s="1"/>
      <c r="R616" s="1"/>
      <c r="S616" s="1"/>
      <c r="T616" s="1"/>
      <c r="U616" s="1"/>
      <c r="V616" s="1"/>
      <c r="W616" s="1"/>
      <c r="X616" s="1"/>
      <c r="Y616" s="1"/>
      <c r="Z616" s="1"/>
      <c r="AA616" s="246"/>
      <c r="AB616" s="13"/>
      <c r="AC616" s="1"/>
      <c r="AD616" s="1"/>
      <c r="AE616" s="1"/>
      <c r="AF616" s="1"/>
      <c r="AG616" s="71"/>
      <c r="AH616" s="1"/>
      <c r="AI616" s="1"/>
      <c r="AJ616" s="1"/>
      <c r="AK616" s="1"/>
      <c r="AL616" s="1"/>
      <c r="AM616" s="1"/>
      <c r="AN616" s="1"/>
      <c r="AO616" s="76"/>
      <c r="AP616" s="76"/>
      <c r="AQ616" s="76"/>
      <c r="AR616" s="1"/>
      <c r="AS616" s="1"/>
      <c r="AT616" s="1"/>
      <c r="AU616" s="1"/>
    </row>
    <row r="617" spans="1:47" ht="15" customHeight="1">
      <c r="A617" s="1"/>
      <c r="B617" s="3"/>
      <c r="C617" s="1"/>
      <c r="D617" s="1"/>
      <c r="E617" s="1"/>
      <c r="F617" s="1"/>
      <c r="G617" s="1"/>
      <c r="H617" s="1"/>
      <c r="I617" s="1"/>
      <c r="J617" s="13"/>
      <c r="K617" s="13"/>
      <c r="L617" s="1"/>
      <c r="M617" s="56"/>
      <c r="N617" s="71"/>
      <c r="O617" s="1"/>
      <c r="P617" s="1"/>
      <c r="Q617" s="1"/>
      <c r="R617" s="1"/>
      <c r="S617" s="1"/>
      <c r="T617" s="1"/>
      <c r="U617" s="1"/>
      <c r="V617" s="1"/>
      <c r="W617" s="1"/>
      <c r="X617" s="1"/>
      <c r="Y617" s="1"/>
      <c r="Z617" s="1"/>
      <c r="AA617" s="246"/>
      <c r="AB617" s="13"/>
      <c r="AC617" s="1"/>
      <c r="AD617" s="1"/>
      <c r="AE617" s="1"/>
      <c r="AF617" s="1"/>
      <c r="AG617" s="71"/>
      <c r="AH617" s="1"/>
      <c r="AI617" s="1"/>
      <c r="AJ617" s="1"/>
      <c r="AK617" s="1"/>
      <c r="AL617" s="1"/>
      <c r="AM617" s="1"/>
      <c r="AN617" s="1"/>
      <c r="AO617" s="76"/>
      <c r="AP617" s="76"/>
      <c r="AQ617" s="76"/>
      <c r="AR617" s="1"/>
      <c r="AS617" s="1"/>
      <c r="AT617" s="1"/>
      <c r="AU617" s="1"/>
    </row>
    <row r="618" spans="1:47" ht="15" customHeight="1">
      <c r="A618" s="1"/>
      <c r="B618" s="3"/>
      <c r="C618" s="1"/>
      <c r="D618" s="1"/>
      <c r="E618" s="1"/>
      <c r="F618" s="1"/>
      <c r="G618" s="1"/>
      <c r="H618" s="1"/>
      <c r="I618" s="1"/>
      <c r="J618" s="13"/>
      <c r="K618" s="13"/>
      <c r="L618" s="1"/>
      <c r="M618" s="56"/>
      <c r="N618" s="71"/>
      <c r="O618" s="1"/>
      <c r="P618" s="1"/>
      <c r="Q618" s="1"/>
      <c r="R618" s="1"/>
      <c r="S618" s="1"/>
      <c r="T618" s="1"/>
      <c r="U618" s="1"/>
      <c r="V618" s="1"/>
      <c r="W618" s="1"/>
      <c r="X618" s="1"/>
      <c r="Y618" s="1"/>
      <c r="Z618" s="1"/>
      <c r="AA618" s="246"/>
      <c r="AB618" s="13"/>
      <c r="AC618" s="1"/>
      <c r="AD618" s="1"/>
      <c r="AE618" s="1"/>
      <c r="AF618" s="1"/>
      <c r="AG618" s="71"/>
      <c r="AH618" s="1"/>
      <c r="AI618" s="1"/>
      <c r="AJ618" s="1"/>
      <c r="AK618" s="1"/>
      <c r="AL618" s="1"/>
      <c r="AM618" s="1"/>
      <c r="AN618" s="1"/>
      <c r="AO618" s="76"/>
      <c r="AP618" s="76"/>
      <c r="AQ618" s="76"/>
      <c r="AR618" s="1"/>
      <c r="AS618" s="1"/>
      <c r="AT618" s="1"/>
      <c r="AU618" s="1"/>
    </row>
    <row r="619" spans="1:47" ht="15" customHeight="1">
      <c r="A619" s="1"/>
      <c r="B619" s="3"/>
      <c r="C619" s="1"/>
      <c r="D619" s="1"/>
      <c r="E619" s="1"/>
      <c r="F619" s="1"/>
      <c r="G619" s="1"/>
      <c r="H619" s="1"/>
      <c r="I619" s="1"/>
      <c r="J619" s="13"/>
      <c r="K619" s="13"/>
      <c r="L619" s="1"/>
      <c r="M619" s="56"/>
      <c r="N619" s="71"/>
      <c r="O619" s="1"/>
      <c r="P619" s="1"/>
      <c r="Q619" s="1"/>
      <c r="R619" s="1"/>
      <c r="S619" s="1"/>
      <c r="T619" s="1"/>
      <c r="U619" s="1"/>
      <c r="V619" s="1"/>
      <c r="W619" s="1"/>
      <c r="X619" s="1"/>
      <c r="Y619" s="1"/>
      <c r="Z619" s="1"/>
      <c r="AA619" s="246"/>
      <c r="AB619" s="13"/>
      <c r="AC619" s="1"/>
      <c r="AD619" s="1"/>
      <c r="AE619" s="1"/>
      <c r="AF619" s="1"/>
      <c r="AG619" s="71"/>
      <c r="AH619" s="1"/>
      <c r="AI619" s="1"/>
      <c r="AJ619" s="1"/>
      <c r="AK619" s="1"/>
      <c r="AL619" s="1"/>
      <c r="AM619" s="1"/>
      <c r="AN619" s="1"/>
      <c r="AO619" s="76"/>
      <c r="AP619" s="76"/>
      <c r="AQ619" s="76"/>
      <c r="AR619" s="1"/>
      <c r="AS619" s="1"/>
      <c r="AT619" s="1"/>
      <c r="AU619" s="1"/>
    </row>
    <row r="620" spans="1:47" ht="15" customHeight="1">
      <c r="A620" s="1"/>
      <c r="B620" s="3"/>
      <c r="C620" s="1"/>
      <c r="D620" s="1"/>
      <c r="E620" s="1"/>
      <c r="F620" s="1"/>
      <c r="G620" s="1"/>
      <c r="H620" s="1"/>
      <c r="I620" s="1"/>
      <c r="J620" s="13"/>
      <c r="K620" s="13"/>
      <c r="L620" s="1"/>
      <c r="M620" s="56"/>
      <c r="N620" s="71"/>
      <c r="O620" s="1"/>
      <c r="P620" s="1"/>
      <c r="Q620" s="1"/>
      <c r="R620" s="1"/>
      <c r="S620" s="1"/>
      <c r="T620" s="1"/>
      <c r="U620" s="1"/>
      <c r="V620" s="1"/>
      <c r="W620" s="1"/>
      <c r="X620" s="1"/>
      <c r="Y620" s="1"/>
      <c r="Z620" s="1"/>
      <c r="AA620" s="246"/>
      <c r="AB620" s="13"/>
      <c r="AC620" s="1"/>
      <c r="AD620" s="1"/>
      <c r="AE620" s="1"/>
      <c r="AF620" s="1"/>
      <c r="AG620" s="71"/>
      <c r="AH620" s="1"/>
      <c r="AI620" s="1"/>
      <c r="AJ620" s="1"/>
      <c r="AK620" s="1"/>
      <c r="AL620" s="1"/>
      <c r="AM620" s="1"/>
      <c r="AN620" s="1"/>
      <c r="AO620" s="76"/>
      <c r="AP620" s="76"/>
      <c r="AQ620" s="76"/>
      <c r="AR620" s="1"/>
      <c r="AS620" s="1"/>
      <c r="AT620" s="1"/>
      <c r="AU620" s="1"/>
    </row>
    <row r="621" spans="1:47" ht="15" customHeight="1">
      <c r="A621" s="1"/>
      <c r="B621" s="3"/>
      <c r="C621" s="1"/>
      <c r="D621" s="1"/>
      <c r="E621" s="1"/>
      <c r="F621" s="1"/>
      <c r="G621" s="1"/>
      <c r="H621" s="1"/>
      <c r="I621" s="1"/>
      <c r="J621" s="13"/>
      <c r="K621" s="13"/>
      <c r="L621" s="1"/>
      <c r="M621" s="56"/>
      <c r="N621" s="71"/>
      <c r="O621" s="1"/>
      <c r="P621" s="1"/>
      <c r="Q621" s="1"/>
      <c r="R621" s="1"/>
      <c r="S621" s="1"/>
      <c r="T621" s="1"/>
      <c r="U621" s="1"/>
      <c r="V621" s="1"/>
      <c r="W621" s="1"/>
      <c r="X621" s="1"/>
      <c r="Y621" s="1"/>
      <c r="Z621" s="1"/>
      <c r="AA621" s="246"/>
      <c r="AB621" s="13"/>
      <c r="AC621" s="1"/>
      <c r="AD621" s="1"/>
      <c r="AE621" s="1"/>
      <c r="AF621" s="1"/>
      <c r="AG621" s="71"/>
      <c r="AH621" s="1"/>
      <c r="AI621" s="1"/>
      <c r="AJ621" s="1"/>
      <c r="AK621" s="1"/>
      <c r="AL621" s="1"/>
      <c r="AM621" s="1"/>
      <c r="AN621" s="1"/>
      <c r="AO621" s="76"/>
      <c r="AP621" s="76"/>
      <c r="AQ621" s="76"/>
      <c r="AR621" s="1"/>
      <c r="AS621" s="1"/>
      <c r="AT621" s="1"/>
      <c r="AU621" s="1"/>
    </row>
    <row r="622" spans="1:47" ht="15" customHeight="1">
      <c r="A622" s="1"/>
      <c r="B622" s="3"/>
      <c r="C622" s="1"/>
      <c r="D622" s="1"/>
      <c r="E622" s="1"/>
      <c r="F622" s="1"/>
      <c r="G622" s="1"/>
      <c r="H622" s="1"/>
      <c r="I622" s="1"/>
      <c r="J622" s="13"/>
      <c r="K622" s="13"/>
      <c r="L622" s="1"/>
      <c r="M622" s="56"/>
      <c r="N622" s="71"/>
      <c r="O622" s="1"/>
      <c r="P622" s="1"/>
      <c r="Q622" s="1"/>
      <c r="R622" s="1"/>
      <c r="S622" s="1"/>
      <c r="T622" s="1"/>
      <c r="U622" s="1"/>
      <c r="V622" s="1"/>
      <c r="W622" s="1"/>
      <c r="X622" s="1"/>
      <c r="Y622" s="1"/>
      <c r="Z622" s="1"/>
      <c r="AA622" s="246"/>
      <c r="AB622" s="13"/>
      <c r="AC622" s="1"/>
      <c r="AD622" s="1"/>
      <c r="AE622" s="1"/>
      <c r="AF622" s="1"/>
      <c r="AG622" s="71"/>
      <c r="AH622" s="1"/>
      <c r="AI622" s="1"/>
      <c r="AJ622" s="1"/>
      <c r="AK622" s="1"/>
      <c r="AL622" s="1"/>
      <c r="AM622" s="1"/>
      <c r="AN622" s="1"/>
      <c r="AO622" s="76"/>
      <c r="AP622" s="76"/>
      <c r="AQ622" s="76"/>
      <c r="AR622" s="1"/>
      <c r="AS622" s="1"/>
      <c r="AT622" s="1"/>
      <c r="AU622" s="1"/>
    </row>
    <row r="623" spans="1:47" ht="15" customHeight="1">
      <c r="A623" s="1"/>
      <c r="B623" s="3"/>
      <c r="C623" s="1"/>
      <c r="D623" s="1"/>
      <c r="E623" s="1"/>
      <c r="F623" s="1"/>
      <c r="G623" s="1"/>
      <c r="H623" s="1"/>
      <c r="I623" s="1"/>
      <c r="J623" s="13"/>
      <c r="K623" s="13"/>
      <c r="L623" s="1"/>
      <c r="M623" s="56"/>
      <c r="N623" s="71"/>
      <c r="O623" s="1"/>
      <c r="P623" s="1"/>
      <c r="Q623" s="1"/>
      <c r="R623" s="1"/>
      <c r="S623" s="1"/>
      <c r="T623" s="1"/>
      <c r="U623" s="1"/>
      <c r="V623" s="1"/>
      <c r="W623" s="1"/>
      <c r="X623" s="1"/>
      <c r="Y623" s="1"/>
      <c r="Z623" s="1"/>
      <c r="AA623" s="246"/>
      <c r="AB623" s="13"/>
      <c r="AC623" s="1"/>
      <c r="AD623" s="1"/>
      <c r="AE623" s="1"/>
      <c r="AF623" s="1"/>
      <c r="AG623" s="71"/>
      <c r="AH623" s="1"/>
      <c r="AI623" s="1"/>
      <c r="AJ623" s="1"/>
      <c r="AK623" s="1"/>
      <c r="AL623" s="1"/>
      <c r="AM623" s="1"/>
      <c r="AN623" s="1"/>
      <c r="AO623" s="76"/>
      <c r="AP623" s="76"/>
      <c r="AQ623" s="76"/>
      <c r="AR623" s="1"/>
      <c r="AS623" s="1"/>
      <c r="AT623" s="1"/>
      <c r="AU623" s="1"/>
    </row>
    <row r="624" spans="1:47" ht="15" customHeight="1">
      <c r="A624" s="1"/>
      <c r="B624" s="3"/>
      <c r="C624" s="1"/>
      <c r="D624" s="1"/>
      <c r="E624" s="1"/>
      <c r="F624" s="1"/>
      <c r="G624" s="1"/>
      <c r="H624" s="1"/>
      <c r="I624" s="1"/>
      <c r="J624" s="13"/>
      <c r="K624" s="13"/>
      <c r="L624" s="1"/>
      <c r="M624" s="56"/>
      <c r="N624" s="71"/>
      <c r="O624" s="1"/>
      <c r="P624" s="1"/>
      <c r="Q624" s="1"/>
      <c r="R624" s="1"/>
      <c r="S624" s="1"/>
      <c r="T624" s="1"/>
      <c r="U624" s="1"/>
      <c r="V624" s="1"/>
      <c r="W624" s="1"/>
      <c r="X624" s="1"/>
      <c r="Y624" s="1"/>
      <c r="Z624" s="1"/>
      <c r="AA624" s="246"/>
      <c r="AB624" s="13"/>
      <c r="AC624" s="1"/>
      <c r="AD624" s="1"/>
      <c r="AE624" s="1"/>
      <c r="AF624" s="1"/>
      <c r="AG624" s="71"/>
      <c r="AH624" s="1"/>
      <c r="AI624" s="1"/>
      <c r="AJ624" s="1"/>
      <c r="AK624" s="1"/>
      <c r="AL624" s="1"/>
      <c r="AM624" s="1"/>
      <c r="AN624" s="1"/>
      <c r="AO624" s="76"/>
      <c r="AP624" s="76"/>
      <c r="AQ624" s="76"/>
      <c r="AR624" s="1"/>
      <c r="AS624" s="1"/>
      <c r="AT624" s="1"/>
      <c r="AU624" s="1"/>
    </row>
    <row r="625" spans="1:47" ht="15" customHeight="1">
      <c r="A625" s="1"/>
      <c r="B625" s="3"/>
      <c r="C625" s="1"/>
      <c r="D625" s="1"/>
      <c r="E625" s="1"/>
      <c r="F625" s="1"/>
      <c r="G625" s="1"/>
      <c r="H625" s="1"/>
      <c r="I625" s="1"/>
      <c r="J625" s="13"/>
      <c r="K625" s="13"/>
      <c r="L625" s="1"/>
      <c r="M625" s="56"/>
      <c r="N625" s="71"/>
      <c r="O625" s="1"/>
      <c r="P625" s="1"/>
      <c r="Q625" s="1"/>
      <c r="R625" s="1"/>
      <c r="S625" s="1"/>
      <c r="T625" s="1"/>
      <c r="U625" s="1"/>
      <c r="V625" s="1"/>
      <c r="W625" s="1"/>
      <c r="X625" s="1"/>
      <c r="Y625" s="1"/>
      <c r="Z625" s="1"/>
      <c r="AA625" s="246"/>
      <c r="AB625" s="13"/>
      <c r="AC625" s="1"/>
      <c r="AD625" s="1"/>
      <c r="AE625" s="1"/>
      <c r="AF625" s="1"/>
      <c r="AG625" s="71"/>
      <c r="AH625" s="1"/>
      <c r="AI625" s="1"/>
      <c r="AJ625" s="1"/>
      <c r="AK625" s="1"/>
      <c r="AL625" s="1"/>
      <c r="AM625" s="1"/>
      <c r="AN625" s="1"/>
      <c r="AO625" s="76"/>
      <c r="AP625" s="76"/>
      <c r="AQ625" s="76"/>
      <c r="AR625" s="1"/>
      <c r="AS625" s="1"/>
      <c r="AT625" s="1"/>
      <c r="AU625" s="1"/>
    </row>
    <row r="626" spans="1:47" ht="15" customHeight="1">
      <c r="A626" s="1"/>
      <c r="B626" s="3"/>
      <c r="C626" s="1"/>
      <c r="D626" s="1"/>
      <c r="E626" s="1"/>
      <c r="F626" s="1"/>
      <c r="G626" s="1"/>
      <c r="H626" s="1"/>
      <c r="I626" s="1"/>
      <c r="J626" s="13"/>
      <c r="K626" s="13"/>
      <c r="L626" s="1"/>
      <c r="M626" s="56"/>
      <c r="N626" s="71"/>
      <c r="O626" s="1"/>
      <c r="P626" s="1"/>
      <c r="Q626" s="1"/>
      <c r="R626" s="1"/>
      <c r="S626" s="1"/>
      <c r="T626" s="1"/>
      <c r="U626" s="1"/>
      <c r="V626" s="1"/>
      <c r="W626" s="1"/>
      <c r="X626" s="1"/>
      <c r="Y626" s="1"/>
      <c r="Z626" s="1"/>
      <c r="AA626" s="246"/>
      <c r="AB626" s="13"/>
      <c r="AC626" s="1"/>
      <c r="AD626" s="1"/>
      <c r="AE626" s="1"/>
      <c r="AF626" s="1"/>
      <c r="AG626" s="71"/>
      <c r="AH626" s="1"/>
      <c r="AI626" s="1"/>
      <c r="AJ626" s="1"/>
      <c r="AK626" s="1"/>
      <c r="AL626" s="1"/>
      <c r="AM626" s="1"/>
      <c r="AN626" s="1"/>
      <c r="AO626" s="76"/>
      <c r="AP626" s="76"/>
      <c r="AQ626" s="76"/>
      <c r="AR626" s="1"/>
      <c r="AS626" s="1"/>
      <c r="AT626" s="1"/>
      <c r="AU626" s="1"/>
    </row>
    <row r="627" spans="1:47" ht="15" customHeight="1">
      <c r="A627" s="1"/>
      <c r="B627" s="3"/>
      <c r="C627" s="1"/>
      <c r="D627" s="1"/>
      <c r="E627" s="1"/>
      <c r="F627" s="1"/>
      <c r="G627" s="1"/>
      <c r="H627" s="1"/>
      <c r="I627" s="1"/>
      <c r="J627" s="13"/>
      <c r="K627" s="13"/>
      <c r="L627" s="1"/>
      <c r="M627" s="56"/>
      <c r="N627" s="71"/>
      <c r="O627" s="1"/>
      <c r="P627" s="1"/>
      <c r="Q627" s="1"/>
      <c r="R627" s="1"/>
      <c r="S627" s="1"/>
      <c r="T627" s="1"/>
      <c r="U627" s="1"/>
      <c r="V627" s="1"/>
      <c r="W627" s="1"/>
      <c r="X627" s="1"/>
      <c r="Y627" s="1"/>
      <c r="Z627" s="1"/>
      <c r="AA627" s="246"/>
      <c r="AB627" s="13"/>
      <c r="AC627" s="1"/>
      <c r="AD627" s="1"/>
      <c r="AE627" s="1"/>
      <c r="AF627" s="1"/>
      <c r="AG627" s="71"/>
      <c r="AH627" s="1"/>
      <c r="AI627" s="1"/>
      <c r="AJ627" s="1"/>
      <c r="AK627" s="1"/>
      <c r="AL627" s="1"/>
      <c r="AM627" s="1"/>
      <c r="AN627" s="1"/>
      <c r="AO627" s="76"/>
      <c r="AP627" s="76"/>
      <c r="AQ627" s="76"/>
      <c r="AR627" s="1"/>
      <c r="AS627" s="1"/>
      <c r="AT627" s="1"/>
      <c r="AU627" s="1"/>
    </row>
    <row r="628" spans="1:47" ht="15" customHeight="1">
      <c r="A628" s="1"/>
      <c r="B628" s="3"/>
      <c r="C628" s="1"/>
      <c r="D628" s="1"/>
      <c r="E628" s="1"/>
      <c r="F628" s="1"/>
      <c r="G628" s="1"/>
      <c r="H628" s="1"/>
      <c r="I628" s="1"/>
      <c r="J628" s="13"/>
      <c r="K628" s="13"/>
      <c r="L628" s="1"/>
      <c r="M628" s="56"/>
      <c r="N628" s="71"/>
      <c r="O628" s="1"/>
      <c r="P628" s="1"/>
      <c r="Q628" s="1"/>
      <c r="R628" s="1"/>
      <c r="S628" s="1"/>
      <c r="T628" s="1"/>
      <c r="U628" s="1"/>
      <c r="V628" s="1"/>
      <c r="W628" s="1"/>
      <c r="X628" s="1"/>
      <c r="Y628" s="1"/>
      <c r="Z628" s="1"/>
      <c r="AA628" s="246"/>
      <c r="AB628" s="13"/>
      <c r="AC628" s="1"/>
      <c r="AD628" s="1"/>
      <c r="AE628" s="1"/>
      <c r="AF628" s="1"/>
      <c r="AG628" s="71"/>
      <c r="AH628" s="1"/>
      <c r="AI628" s="1"/>
      <c r="AJ628" s="1"/>
      <c r="AK628" s="1"/>
      <c r="AL628" s="1"/>
      <c r="AM628" s="1"/>
      <c r="AN628" s="1"/>
      <c r="AO628" s="76"/>
      <c r="AP628" s="76"/>
      <c r="AQ628" s="76"/>
      <c r="AR628" s="1"/>
      <c r="AS628" s="1"/>
      <c r="AT628" s="1"/>
      <c r="AU628" s="1"/>
    </row>
    <row r="629" spans="1:47" ht="15" customHeight="1">
      <c r="A629" s="1"/>
      <c r="B629" s="3"/>
      <c r="C629" s="1"/>
      <c r="D629" s="1"/>
      <c r="E629" s="1"/>
      <c r="F629" s="1"/>
      <c r="G629" s="1"/>
      <c r="H629" s="1"/>
      <c r="I629" s="1"/>
      <c r="J629" s="13"/>
      <c r="K629" s="13"/>
      <c r="L629" s="1"/>
      <c r="M629" s="56"/>
      <c r="N629" s="71"/>
      <c r="O629" s="1"/>
      <c r="P629" s="1"/>
      <c r="Q629" s="1"/>
      <c r="R629" s="1"/>
      <c r="S629" s="1"/>
      <c r="T629" s="1"/>
      <c r="U629" s="1"/>
      <c r="V629" s="1"/>
      <c r="W629" s="1"/>
      <c r="X629" s="1"/>
      <c r="Y629" s="1"/>
      <c r="Z629" s="1"/>
      <c r="AA629" s="246"/>
      <c r="AB629" s="13"/>
      <c r="AC629" s="1"/>
      <c r="AD629" s="1"/>
      <c r="AE629" s="1"/>
      <c r="AF629" s="1"/>
      <c r="AG629" s="71"/>
      <c r="AH629" s="1"/>
      <c r="AI629" s="1"/>
      <c r="AJ629" s="1"/>
      <c r="AK629" s="1"/>
      <c r="AL629" s="1"/>
      <c r="AM629" s="1"/>
      <c r="AN629" s="1"/>
      <c r="AO629" s="76"/>
      <c r="AP629" s="76"/>
      <c r="AQ629" s="76"/>
      <c r="AR629" s="1"/>
      <c r="AS629" s="1"/>
      <c r="AT629" s="1"/>
      <c r="AU629" s="1"/>
    </row>
    <row r="630" spans="1:47" ht="15" customHeight="1">
      <c r="A630" s="1"/>
      <c r="B630" s="3"/>
      <c r="C630" s="1"/>
      <c r="D630" s="1"/>
      <c r="E630" s="1"/>
      <c r="F630" s="1"/>
      <c r="G630" s="1"/>
      <c r="H630" s="1"/>
      <c r="I630" s="1"/>
      <c r="J630" s="13"/>
      <c r="K630" s="13"/>
      <c r="L630" s="1"/>
      <c r="M630" s="56"/>
      <c r="N630" s="71"/>
      <c r="O630" s="1"/>
      <c r="P630" s="1"/>
      <c r="Q630" s="1"/>
      <c r="R630" s="1"/>
      <c r="S630" s="1"/>
      <c r="T630" s="1"/>
      <c r="U630" s="1"/>
      <c r="V630" s="1"/>
      <c r="W630" s="1"/>
      <c r="X630" s="1"/>
      <c r="Y630" s="1"/>
      <c r="Z630" s="1"/>
      <c r="AA630" s="246"/>
      <c r="AB630" s="13"/>
      <c r="AC630" s="1"/>
      <c r="AD630" s="1"/>
      <c r="AE630" s="1"/>
      <c r="AF630" s="1"/>
      <c r="AG630" s="71"/>
      <c r="AH630" s="1"/>
      <c r="AI630" s="1"/>
      <c r="AJ630" s="1"/>
      <c r="AK630" s="1"/>
      <c r="AL630" s="1"/>
      <c r="AM630" s="1"/>
      <c r="AN630" s="1"/>
      <c r="AO630" s="76"/>
      <c r="AP630" s="76"/>
      <c r="AQ630" s="76"/>
      <c r="AR630" s="1"/>
      <c r="AS630" s="1"/>
      <c r="AT630" s="1"/>
      <c r="AU630" s="1"/>
    </row>
    <row r="631" spans="1:47" ht="15" customHeight="1">
      <c r="A631" s="1"/>
      <c r="B631" s="3"/>
      <c r="C631" s="1"/>
      <c r="D631" s="1"/>
      <c r="E631" s="1"/>
      <c r="F631" s="1"/>
      <c r="G631" s="1"/>
      <c r="H631" s="1"/>
      <c r="I631" s="1"/>
      <c r="J631" s="13"/>
      <c r="K631" s="13"/>
      <c r="L631" s="1"/>
      <c r="M631" s="56"/>
      <c r="N631" s="71"/>
      <c r="O631" s="1"/>
      <c r="P631" s="1"/>
      <c r="Q631" s="1"/>
      <c r="R631" s="1"/>
      <c r="S631" s="1"/>
      <c r="T631" s="1"/>
      <c r="U631" s="1"/>
      <c r="V631" s="1"/>
      <c r="W631" s="1"/>
      <c r="X631" s="1"/>
      <c r="Y631" s="1"/>
      <c r="Z631" s="1"/>
      <c r="AA631" s="246"/>
      <c r="AB631" s="13"/>
      <c r="AC631" s="1"/>
      <c r="AD631" s="1"/>
      <c r="AE631" s="1"/>
      <c r="AF631" s="1"/>
      <c r="AG631" s="71"/>
      <c r="AH631" s="1"/>
      <c r="AI631" s="1"/>
      <c r="AJ631" s="1"/>
      <c r="AK631" s="1"/>
      <c r="AL631" s="1"/>
      <c r="AM631" s="1"/>
      <c r="AN631" s="1"/>
      <c r="AO631" s="76"/>
      <c r="AP631" s="76"/>
      <c r="AQ631" s="76"/>
      <c r="AR631" s="1"/>
      <c r="AS631" s="1"/>
      <c r="AT631" s="1"/>
      <c r="AU631" s="1"/>
    </row>
    <row r="632" spans="1:47" ht="15" customHeight="1">
      <c r="A632" s="1"/>
      <c r="B632" s="3"/>
      <c r="C632" s="1"/>
      <c r="D632" s="1"/>
      <c r="E632" s="1"/>
      <c r="F632" s="1"/>
      <c r="G632" s="1"/>
      <c r="H632" s="1"/>
      <c r="I632" s="1"/>
      <c r="J632" s="13"/>
      <c r="K632" s="13"/>
      <c r="L632" s="1"/>
      <c r="M632" s="56"/>
      <c r="N632" s="71"/>
      <c r="O632" s="1"/>
      <c r="P632" s="1"/>
      <c r="Q632" s="1"/>
      <c r="R632" s="1"/>
      <c r="S632" s="1"/>
      <c r="T632" s="1"/>
      <c r="U632" s="1"/>
      <c r="V632" s="1"/>
      <c r="W632" s="1"/>
      <c r="X632" s="1"/>
      <c r="Y632" s="1"/>
      <c r="Z632" s="1"/>
      <c r="AA632" s="246"/>
      <c r="AB632" s="13"/>
      <c r="AC632" s="1"/>
      <c r="AD632" s="1"/>
      <c r="AE632" s="1"/>
      <c r="AF632" s="1"/>
      <c r="AG632" s="71"/>
      <c r="AH632" s="1"/>
      <c r="AI632" s="1"/>
      <c r="AJ632" s="1"/>
      <c r="AK632" s="1"/>
      <c r="AL632" s="1"/>
      <c r="AM632" s="1"/>
      <c r="AN632" s="1"/>
      <c r="AO632" s="76"/>
      <c r="AP632" s="76"/>
      <c r="AQ632" s="76"/>
      <c r="AR632" s="1"/>
      <c r="AS632" s="1"/>
      <c r="AT632" s="1"/>
      <c r="AU632" s="1"/>
    </row>
    <row r="633" spans="1:47" ht="15" customHeight="1">
      <c r="A633" s="1"/>
      <c r="B633" s="3"/>
      <c r="C633" s="1"/>
      <c r="D633" s="1"/>
      <c r="E633" s="1"/>
      <c r="F633" s="1"/>
      <c r="G633" s="1"/>
      <c r="H633" s="1"/>
      <c r="I633" s="1"/>
      <c r="J633" s="13"/>
      <c r="K633" s="13"/>
      <c r="L633" s="1"/>
      <c r="M633" s="56"/>
      <c r="N633" s="71"/>
      <c r="O633" s="1"/>
      <c r="P633" s="1"/>
      <c r="Q633" s="1"/>
      <c r="R633" s="1"/>
      <c r="S633" s="1"/>
      <c r="T633" s="1"/>
      <c r="U633" s="1"/>
      <c r="V633" s="1"/>
      <c r="W633" s="1"/>
      <c r="X633" s="1"/>
      <c r="Y633" s="1"/>
      <c r="Z633" s="1"/>
      <c r="AA633" s="246"/>
      <c r="AB633" s="13"/>
      <c r="AC633" s="1"/>
      <c r="AD633" s="1"/>
      <c r="AE633" s="1"/>
      <c r="AF633" s="1"/>
      <c r="AG633" s="71"/>
      <c r="AH633" s="1"/>
      <c r="AI633" s="1"/>
      <c r="AJ633" s="1"/>
      <c r="AK633" s="1"/>
      <c r="AL633" s="1"/>
      <c r="AM633" s="1"/>
      <c r="AN633" s="1"/>
      <c r="AO633" s="76"/>
      <c r="AP633" s="76"/>
      <c r="AQ633" s="76"/>
      <c r="AR633" s="1"/>
      <c r="AS633" s="1"/>
      <c r="AT633" s="1"/>
      <c r="AU633" s="1"/>
    </row>
    <row r="634" spans="1:47" ht="15" customHeight="1">
      <c r="A634" s="1"/>
      <c r="B634" s="3"/>
      <c r="C634" s="1"/>
      <c r="D634" s="1"/>
      <c r="E634" s="1"/>
      <c r="F634" s="1"/>
      <c r="G634" s="1"/>
      <c r="H634" s="1"/>
      <c r="I634" s="1"/>
      <c r="J634" s="13"/>
      <c r="K634" s="13"/>
      <c r="L634" s="1"/>
      <c r="M634" s="56"/>
      <c r="N634" s="71"/>
      <c r="O634" s="1"/>
      <c r="P634" s="1"/>
      <c r="Q634" s="1"/>
      <c r="R634" s="1"/>
      <c r="S634" s="1"/>
      <c r="T634" s="1"/>
      <c r="U634" s="1"/>
      <c r="V634" s="1"/>
      <c r="W634" s="1"/>
      <c r="X634" s="1"/>
      <c r="Y634" s="1"/>
      <c r="Z634" s="1"/>
      <c r="AA634" s="246"/>
      <c r="AB634" s="13"/>
      <c r="AC634" s="1"/>
      <c r="AD634" s="1"/>
      <c r="AE634" s="1"/>
      <c r="AF634" s="1"/>
      <c r="AG634" s="71"/>
      <c r="AH634" s="1"/>
      <c r="AI634" s="1"/>
      <c r="AJ634" s="1"/>
      <c r="AK634" s="1"/>
      <c r="AL634" s="1"/>
      <c r="AM634" s="1"/>
      <c r="AN634" s="1"/>
      <c r="AO634" s="76"/>
      <c r="AP634" s="76"/>
      <c r="AQ634" s="76"/>
      <c r="AR634" s="1"/>
      <c r="AS634" s="1"/>
      <c r="AT634" s="1"/>
      <c r="AU634" s="1"/>
    </row>
    <row r="635" spans="1:47" ht="15" customHeight="1">
      <c r="A635" s="1"/>
      <c r="B635" s="3"/>
      <c r="C635" s="1"/>
      <c r="D635" s="1"/>
      <c r="E635" s="1"/>
      <c r="F635" s="1"/>
      <c r="G635" s="1"/>
      <c r="H635" s="1"/>
      <c r="I635" s="1"/>
      <c r="J635" s="13"/>
      <c r="K635" s="13"/>
      <c r="L635" s="1"/>
      <c r="M635" s="56"/>
      <c r="N635" s="71"/>
      <c r="O635" s="1"/>
      <c r="P635" s="1"/>
      <c r="Q635" s="1"/>
      <c r="R635" s="1"/>
      <c r="S635" s="1"/>
      <c r="T635" s="1"/>
      <c r="U635" s="1"/>
      <c r="V635" s="1"/>
      <c r="W635" s="1"/>
      <c r="X635" s="1"/>
      <c r="Y635" s="1"/>
      <c r="Z635" s="1"/>
      <c r="AA635" s="246"/>
      <c r="AB635" s="13"/>
      <c r="AC635" s="1"/>
      <c r="AD635" s="1"/>
      <c r="AE635" s="1"/>
      <c r="AF635" s="1"/>
      <c r="AG635" s="71"/>
      <c r="AH635" s="1"/>
      <c r="AI635" s="1"/>
      <c r="AJ635" s="1"/>
      <c r="AK635" s="1"/>
      <c r="AL635" s="1"/>
      <c r="AM635" s="1"/>
      <c r="AN635" s="1"/>
      <c r="AO635" s="76"/>
      <c r="AP635" s="76"/>
      <c r="AQ635" s="76"/>
      <c r="AR635" s="1"/>
      <c r="AS635" s="1"/>
      <c r="AT635" s="1"/>
      <c r="AU635" s="1"/>
    </row>
    <row r="636" spans="1:47" ht="15" customHeight="1">
      <c r="A636" s="1"/>
      <c r="B636" s="3"/>
      <c r="C636" s="1"/>
      <c r="D636" s="1"/>
      <c r="E636" s="1"/>
      <c r="F636" s="1"/>
      <c r="G636" s="1"/>
      <c r="H636" s="1"/>
      <c r="I636" s="1"/>
      <c r="J636" s="13"/>
      <c r="K636" s="13"/>
      <c r="L636" s="1"/>
      <c r="M636" s="56"/>
      <c r="N636" s="71"/>
      <c r="O636" s="1"/>
      <c r="P636" s="1"/>
      <c r="Q636" s="1"/>
      <c r="R636" s="1"/>
      <c r="S636" s="1"/>
      <c r="T636" s="1"/>
      <c r="U636" s="1"/>
      <c r="V636" s="1"/>
      <c r="W636" s="1"/>
      <c r="X636" s="1"/>
      <c r="Y636" s="1"/>
      <c r="Z636" s="1"/>
      <c r="AA636" s="246"/>
      <c r="AB636" s="13"/>
      <c r="AC636" s="1"/>
      <c r="AD636" s="1"/>
      <c r="AE636" s="1"/>
      <c r="AF636" s="1"/>
      <c r="AG636" s="71"/>
      <c r="AH636" s="1"/>
      <c r="AI636" s="1"/>
      <c r="AJ636" s="1"/>
      <c r="AK636" s="1"/>
      <c r="AL636" s="1"/>
      <c r="AM636" s="1"/>
      <c r="AN636" s="1"/>
      <c r="AO636" s="76"/>
      <c r="AP636" s="76"/>
      <c r="AQ636" s="76"/>
      <c r="AR636" s="1"/>
      <c r="AS636" s="1"/>
      <c r="AT636" s="1"/>
      <c r="AU636" s="1"/>
    </row>
    <row r="637" spans="1:47" ht="15" customHeight="1">
      <c r="A637" s="1"/>
      <c r="B637" s="3"/>
      <c r="C637" s="1"/>
      <c r="D637" s="1"/>
      <c r="E637" s="1"/>
      <c r="F637" s="1"/>
      <c r="G637" s="1"/>
      <c r="H637" s="1"/>
      <c r="I637" s="1"/>
      <c r="J637" s="13"/>
      <c r="K637" s="13"/>
      <c r="L637" s="1"/>
      <c r="M637" s="56"/>
      <c r="N637" s="71"/>
      <c r="O637" s="1"/>
      <c r="P637" s="1"/>
      <c r="Q637" s="1"/>
      <c r="R637" s="1"/>
      <c r="S637" s="1"/>
      <c r="T637" s="1"/>
      <c r="U637" s="1"/>
      <c r="V637" s="1"/>
      <c r="W637" s="1"/>
      <c r="X637" s="1"/>
      <c r="Y637" s="1"/>
      <c r="Z637" s="1"/>
      <c r="AA637" s="246"/>
      <c r="AB637" s="13"/>
      <c r="AC637" s="1"/>
      <c r="AD637" s="1"/>
      <c r="AE637" s="1"/>
      <c r="AF637" s="1"/>
      <c r="AG637" s="71"/>
      <c r="AH637" s="1"/>
      <c r="AI637" s="1"/>
      <c r="AJ637" s="1"/>
      <c r="AK637" s="1"/>
      <c r="AL637" s="1"/>
      <c r="AM637" s="1"/>
      <c r="AN637" s="1"/>
      <c r="AO637" s="76"/>
      <c r="AP637" s="76"/>
      <c r="AQ637" s="76"/>
      <c r="AR637" s="1"/>
      <c r="AS637" s="1"/>
      <c r="AT637" s="1"/>
      <c r="AU637" s="1"/>
    </row>
    <row r="638" spans="1:47" ht="15" customHeight="1">
      <c r="A638" s="1"/>
      <c r="B638" s="3"/>
      <c r="C638" s="1"/>
      <c r="D638" s="1"/>
      <c r="E638" s="1"/>
      <c r="F638" s="1"/>
      <c r="G638" s="1"/>
      <c r="H638" s="1"/>
      <c r="I638" s="1"/>
      <c r="J638" s="13"/>
      <c r="K638" s="13"/>
      <c r="L638" s="1"/>
      <c r="M638" s="56"/>
      <c r="N638" s="71"/>
      <c r="O638" s="1"/>
      <c r="P638" s="1"/>
      <c r="Q638" s="1"/>
      <c r="R638" s="1"/>
      <c r="S638" s="1"/>
      <c r="T638" s="1"/>
      <c r="U638" s="1"/>
      <c r="V638" s="1"/>
      <c r="W638" s="1"/>
      <c r="X638" s="1"/>
      <c r="Y638" s="1"/>
      <c r="Z638" s="1"/>
      <c r="AA638" s="246"/>
      <c r="AB638" s="13"/>
      <c r="AC638" s="1"/>
      <c r="AD638" s="1"/>
      <c r="AE638" s="1"/>
      <c r="AF638" s="1"/>
      <c r="AG638" s="71"/>
      <c r="AH638" s="1"/>
      <c r="AI638" s="1"/>
      <c r="AJ638" s="1"/>
      <c r="AK638" s="1"/>
      <c r="AL638" s="1"/>
      <c r="AM638" s="1"/>
      <c r="AN638" s="1"/>
      <c r="AO638" s="76"/>
      <c r="AP638" s="76"/>
      <c r="AQ638" s="76"/>
      <c r="AR638" s="1"/>
      <c r="AS638" s="1"/>
      <c r="AT638" s="1"/>
      <c r="AU638" s="1"/>
    </row>
    <row r="639" spans="1:47" ht="15" customHeight="1">
      <c r="A639" s="1"/>
      <c r="B639" s="3"/>
      <c r="C639" s="1"/>
      <c r="D639" s="1"/>
      <c r="E639" s="1"/>
      <c r="F639" s="1"/>
      <c r="G639" s="1"/>
      <c r="H639" s="1"/>
      <c r="I639" s="1"/>
      <c r="J639" s="13"/>
      <c r="K639" s="13"/>
      <c r="L639" s="1"/>
      <c r="M639" s="56"/>
      <c r="N639" s="71"/>
      <c r="O639" s="1"/>
      <c r="P639" s="1"/>
      <c r="Q639" s="1"/>
      <c r="R639" s="1"/>
      <c r="S639" s="1"/>
      <c r="T639" s="1"/>
      <c r="U639" s="1"/>
      <c r="V639" s="1"/>
      <c r="W639" s="1"/>
      <c r="X639" s="1"/>
      <c r="Y639" s="1"/>
      <c r="Z639" s="1"/>
      <c r="AA639" s="246"/>
      <c r="AB639" s="13"/>
      <c r="AC639" s="1"/>
      <c r="AD639" s="1"/>
      <c r="AE639" s="1"/>
      <c r="AF639" s="1"/>
      <c r="AG639" s="71"/>
      <c r="AH639" s="1"/>
      <c r="AI639" s="1"/>
      <c r="AJ639" s="1"/>
      <c r="AK639" s="1"/>
      <c r="AL639" s="1"/>
      <c r="AM639" s="1"/>
      <c r="AN639" s="1"/>
      <c r="AO639" s="76"/>
      <c r="AP639" s="76"/>
      <c r="AQ639" s="76"/>
      <c r="AR639" s="1"/>
      <c r="AS639" s="1"/>
      <c r="AT639" s="1"/>
      <c r="AU639" s="1"/>
    </row>
    <row r="640" spans="1:47" ht="15" customHeight="1">
      <c r="A640" s="1"/>
      <c r="B640" s="3"/>
      <c r="C640" s="1"/>
      <c r="D640" s="1"/>
      <c r="E640" s="1"/>
      <c r="F640" s="1"/>
      <c r="G640" s="1"/>
      <c r="H640" s="1"/>
      <c r="I640" s="1"/>
      <c r="J640" s="13"/>
      <c r="K640" s="13"/>
      <c r="L640" s="1"/>
      <c r="M640" s="56"/>
      <c r="N640" s="71"/>
      <c r="O640" s="1"/>
      <c r="P640" s="1"/>
      <c r="Q640" s="1"/>
      <c r="R640" s="1"/>
      <c r="S640" s="1"/>
      <c r="T640" s="1"/>
      <c r="U640" s="1"/>
      <c r="V640" s="1"/>
      <c r="W640" s="1"/>
      <c r="X640" s="1"/>
      <c r="Y640" s="1"/>
      <c r="Z640" s="1"/>
      <c r="AA640" s="246"/>
      <c r="AB640" s="13"/>
      <c r="AC640" s="1"/>
      <c r="AD640" s="1"/>
      <c r="AE640" s="1"/>
      <c r="AF640" s="1"/>
      <c r="AG640" s="71"/>
      <c r="AH640" s="1"/>
      <c r="AI640" s="1"/>
      <c r="AJ640" s="1"/>
      <c r="AK640" s="1"/>
      <c r="AL640" s="1"/>
      <c r="AM640" s="1"/>
      <c r="AN640" s="1"/>
      <c r="AO640" s="76"/>
      <c r="AP640" s="76"/>
      <c r="AQ640" s="76"/>
      <c r="AR640" s="1"/>
      <c r="AS640" s="1"/>
      <c r="AT640" s="1"/>
      <c r="AU640" s="1"/>
    </row>
    <row r="641" spans="1:47" ht="15" customHeight="1">
      <c r="A641" s="1"/>
      <c r="B641" s="3"/>
      <c r="C641" s="1"/>
      <c r="D641" s="1"/>
      <c r="E641" s="1"/>
      <c r="F641" s="1"/>
      <c r="G641" s="1"/>
      <c r="H641" s="1"/>
      <c r="I641" s="1"/>
      <c r="J641" s="13"/>
      <c r="K641" s="13"/>
      <c r="L641" s="1"/>
      <c r="M641" s="56"/>
      <c r="N641" s="71"/>
      <c r="O641" s="1"/>
      <c r="P641" s="1"/>
      <c r="Q641" s="1"/>
      <c r="R641" s="1"/>
      <c r="S641" s="1"/>
      <c r="T641" s="1"/>
      <c r="U641" s="1"/>
      <c r="V641" s="1"/>
      <c r="W641" s="1"/>
      <c r="X641" s="1"/>
      <c r="Y641" s="1"/>
      <c r="Z641" s="1"/>
      <c r="AA641" s="246"/>
      <c r="AB641" s="13"/>
      <c r="AC641" s="1"/>
      <c r="AD641" s="1"/>
      <c r="AE641" s="1"/>
      <c r="AF641" s="1"/>
      <c r="AG641" s="71"/>
      <c r="AH641" s="1"/>
      <c r="AI641" s="1"/>
      <c r="AJ641" s="1"/>
      <c r="AK641" s="1"/>
      <c r="AL641" s="1"/>
      <c r="AM641" s="1"/>
      <c r="AN641" s="1"/>
      <c r="AO641" s="76"/>
      <c r="AP641" s="76"/>
      <c r="AQ641" s="76"/>
      <c r="AR641" s="1"/>
      <c r="AS641" s="1"/>
      <c r="AT641" s="1"/>
      <c r="AU641" s="1"/>
    </row>
    <row r="642" spans="1:47" ht="15" customHeight="1">
      <c r="A642" s="1"/>
      <c r="B642" s="3"/>
      <c r="C642" s="1"/>
      <c r="D642" s="1"/>
      <c r="E642" s="1"/>
      <c r="F642" s="1"/>
      <c r="G642" s="1"/>
      <c r="H642" s="1"/>
      <c r="I642" s="1"/>
      <c r="J642" s="13"/>
      <c r="K642" s="13"/>
      <c r="L642" s="1"/>
      <c r="M642" s="56"/>
      <c r="N642" s="71"/>
      <c r="O642" s="1"/>
      <c r="P642" s="1"/>
      <c r="Q642" s="1"/>
      <c r="R642" s="1"/>
      <c r="S642" s="1"/>
      <c r="T642" s="1"/>
      <c r="U642" s="1"/>
      <c r="V642" s="1"/>
      <c r="W642" s="1"/>
      <c r="X642" s="1"/>
      <c r="Y642" s="1"/>
      <c r="Z642" s="1"/>
      <c r="AA642" s="246"/>
      <c r="AB642" s="13"/>
      <c r="AC642" s="1"/>
      <c r="AD642" s="1"/>
      <c r="AE642" s="1"/>
      <c r="AF642" s="1"/>
      <c r="AG642" s="71"/>
      <c r="AH642" s="1"/>
      <c r="AI642" s="1"/>
      <c r="AJ642" s="1"/>
      <c r="AK642" s="1"/>
      <c r="AL642" s="1"/>
      <c r="AM642" s="1"/>
      <c r="AN642" s="1"/>
      <c r="AO642" s="76"/>
      <c r="AP642" s="76"/>
      <c r="AQ642" s="76"/>
      <c r="AR642" s="1"/>
      <c r="AS642" s="1"/>
      <c r="AT642" s="1"/>
      <c r="AU642" s="1"/>
    </row>
    <row r="643" spans="1:47" ht="15" customHeight="1">
      <c r="A643" s="1"/>
      <c r="B643" s="3"/>
      <c r="C643" s="1"/>
      <c r="D643" s="1"/>
      <c r="E643" s="1"/>
      <c r="F643" s="1"/>
      <c r="G643" s="1"/>
      <c r="H643" s="1"/>
      <c r="I643" s="1"/>
      <c r="J643" s="13"/>
      <c r="K643" s="13"/>
      <c r="L643" s="1"/>
      <c r="M643" s="56"/>
      <c r="N643" s="71"/>
      <c r="O643" s="1"/>
      <c r="P643" s="1"/>
      <c r="Q643" s="1"/>
      <c r="R643" s="1"/>
      <c r="S643" s="1"/>
      <c r="T643" s="1"/>
      <c r="U643" s="1"/>
      <c r="V643" s="1"/>
      <c r="W643" s="1"/>
      <c r="X643" s="1"/>
      <c r="Y643" s="1"/>
      <c r="Z643" s="1"/>
      <c r="AA643" s="246"/>
      <c r="AB643" s="13"/>
      <c r="AC643" s="1"/>
      <c r="AD643" s="1"/>
      <c r="AE643" s="1"/>
      <c r="AF643" s="1"/>
      <c r="AG643" s="71"/>
      <c r="AH643" s="1"/>
      <c r="AI643" s="1"/>
      <c r="AJ643" s="1"/>
      <c r="AK643" s="1"/>
      <c r="AL643" s="1"/>
      <c r="AM643" s="1"/>
      <c r="AN643" s="1"/>
      <c r="AO643" s="76"/>
      <c r="AP643" s="76"/>
      <c r="AQ643" s="76"/>
      <c r="AR643" s="1"/>
      <c r="AS643" s="1"/>
      <c r="AT643" s="1"/>
      <c r="AU643" s="1"/>
    </row>
    <row r="644" spans="1:47" ht="15" customHeight="1">
      <c r="A644" s="1"/>
      <c r="B644" s="3"/>
      <c r="C644" s="1"/>
      <c r="D644" s="1"/>
      <c r="E644" s="1"/>
      <c r="F644" s="1"/>
      <c r="G644" s="1"/>
      <c r="H644" s="1"/>
      <c r="I644" s="1"/>
      <c r="J644" s="13"/>
      <c r="K644" s="13"/>
      <c r="L644" s="1"/>
      <c r="M644" s="56"/>
      <c r="N644" s="71"/>
      <c r="O644" s="1"/>
      <c r="P644" s="1"/>
      <c r="Q644" s="1"/>
      <c r="R644" s="1"/>
      <c r="S644" s="1"/>
      <c r="T644" s="1"/>
      <c r="U644" s="1"/>
      <c r="V644" s="1"/>
      <c r="W644" s="1"/>
      <c r="X644" s="1"/>
      <c r="Y644" s="1"/>
      <c r="Z644" s="1"/>
      <c r="AA644" s="246"/>
      <c r="AB644" s="13"/>
      <c r="AC644" s="1"/>
      <c r="AD644" s="1"/>
      <c r="AE644" s="1"/>
      <c r="AF644" s="1"/>
      <c r="AG644" s="71"/>
      <c r="AH644" s="1"/>
      <c r="AI644" s="1"/>
      <c r="AJ644" s="1"/>
      <c r="AK644" s="1"/>
      <c r="AL644" s="1"/>
      <c r="AM644" s="1"/>
      <c r="AN644" s="1"/>
      <c r="AO644" s="76"/>
      <c r="AP644" s="76"/>
      <c r="AQ644" s="76"/>
      <c r="AR644" s="1"/>
      <c r="AS644" s="1"/>
      <c r="AT644" s="1"/>
      <c r="AU644" s="1"/>
    </row>
    <row r="645" spans="1:47" ht="15" customHeight="1">
      <c r="A645" s="1"/>
      <c r="B645" s="3"/>
      <c r="C645" s="1"/>
      <c r="D645" s="1"/>
      <c r="E645" s="1"/>
      <c r="F645" s="1"/>
      <c r="G645" s="1"/>
      <c r="H645" s="1"/>
      <c r="I645" s="1"/>
      <c r="J645" s="13"/>
      <c r="K645" s="13"/>
      <c r="L645" s="1"/>
      <c r="M645" s="56"/>
      <c r="N645" s="71"/>
      <c r="O645" s="1"/>
      <c r="P645" s="1"/>
      <c r="Q645" s="1"/>
      <c r="R645" s="1"/>
      <c r="S645" s="1"/>
      <c r="T645" s="1"/>
      <c r="U645" s="1"/>
      <c r="V645" s="1"/>
      <c r="W645" s="1"/>
      <c r="X645" s="1"/>
      <c r="Y645" s="1"/>
      <c r="Z645" s="1"/>
      <c r="AA645" s="246"/>
      <c r="AB645" s="13"/>
      <c r="AC645" s="1"/>
      <c r="AD645" s="1"/>
      <c r="AE645" s="1"/>
      <c r="AF645" s="1"/>
      <c r="AG645" s="71"/>
      <c r="AH645" s="1"/>
      <c r="AI645" s="1"/>
      <c r="AJ645" s="1"/>
      <c r="AK645" s="1"/>
      <c r="AL645" s="1"/>
      <c r="AM645" s="1"/>
      <c r="AN645" s="1"/>
      <c r="AO645" s="76"/>
      <c r="AP645" s="76"/>
      <c r="AQ645" s="76"/>
      <c r="AR645" s="1"/>
      <c r="AS645" s="1"/>
      <c r="AT645" s="1"/>
      <c r="AU645" s="1"/>
    </row>
    <row r="646" spans="1:47" ht="15" customHeight="1">
      <c r="A646" s="1"/>
      <c r="B646" s="3"/>
      <c r="C646" s="1"/>
      <c r="D646" s="1"/>
      <c r="E646" s="1"/>
      <c r="F646" s="1"/>
      <c r="G646" s="1"/>
      <c r="H646" s="1"/>
      <c r="I646" s="1"/>
      <c r="J646" s="13"/>
      <c r="K646" s="13"/>
      <c r="L646" s="1"/>
      <c r="M646" s="56"/>
      <c r="N646" s="71"/>
      <c r="O646" s="1"/>
      <c r="P646" s="1"/>
      <c r="Q646" s="1"/>
      <c r="R646" s="1"/>
      <c r="S646" s="1"/>
      <c r="T646" s="1"/>
      <c r="U646" s="1"/>
      <c r="V646" s="1"/>
      <c r="W646" s="1"/>
      <c r="X646" s="1"/>
      <c r="Y646" s="1"/>
      <c r="Z646" s="1"/>
      <c r="AA646" s="246"/>
      <c r="AB646" s="13"/>
      <c r="AC646" s="1"/>
      <c r="AD646" s="1"/>
      <c r="AE646" s="1"/>
      <c r="AF646" s="1"/>
      <c r="AG646" s="71"/>
      <c r="AH646" s="1"/>
      <c r="AI646" s="1"/>
      <c r="AJ646" s="1"/>
      <c r="AK646" s="1"/>
      <c r="AL646" s="1"/>
      <c r="AM646" s="1"/>
      <c r="AN646" s="1"/>
      <c r="AO646" s="76"/>
      <c r="AP646" s="76"/>
      <c r="AQ646" s="76"/>
      <c r="AR646" s="1"/>
      <c r="AS646" s="1"/>
      <c r="AT646" s="1"/>
      <c r="AU646" s="1"/>
    </row>
    <row r="647" spans="1:47" ht="15" customHeight="1">
      <c r="A647" s="1"/>
      <c r="B647" s="3"/>
      <c r="C647" s="1"/>
      <c r="D647" s="1"/>
      <c r="E647" s="1"/>
      <c r="F647" s="1"/>
      <c r="G647" s="1"/>
      <c r="H647" s="1"/>
      <c r="I647" s="1"/>
      <c r="J647" s="13"/>
      <c r="K647" s="13"/>
      <c r="L647" s="1"/>
      <c r="M647" s="56"/>
      <c r="N647" s="71"/>
      <c r="O647" s="1"/>
      <c r="P647" s="1"/>
      <c r="Q647" s="1"/>
      <c r="R647" s="1"/>
      <c r="S647" s="1"/>
      <c r="T647" s="1"/>
      <c r="U647" s="1"/>
      <c r="V647" s="1"/>
      <c r="W647" s="1"/>
      <c r="X647" s="1"/>
      <c r="Y647" s="1"/>
      <c r="Z647" s="1"/>
      <c r="AA647" s="246"/>
      <c r="AB647" s="13"/>
      <c r="AC647" s="1"/>
      <c r="AD647" s="1"/>
      <c r="AE647" s="1"/>
      <c r="AF647" s="1"/>
      <c r="AG647" s="71"/>
      <c r="AH647" s="1"/>
      <c r="AI647" s="1"/>
      <c r="AJ647" s="1"/>
      <c r="AK647" s="1"/>
      <c r="AL647" s="1"/>
      <c r="AM647" s="1"/>
      <c r="AN647" s="1"/>
      <c r="AO647" s="76"/>
      <c r="AP647" s="76"/>
      <c r="AQ647" s="76"/>
      <c r="AR647" s="1"/>
      <c r="AS647" s="1"/>
      <c r="AT647" s="1"/>
      <c r="AU647" s="1"/>
    </row>
    <row r="648" spans="1:47" ht="15" customHeight="1">
      <c r="A648" s="1"/>
      <c r="B648" s="3"/>
      <c r="C648" s="1"/>
      <c r="D648" s="1"/>
      <c r="E648" s="1"/>
      <c r="F648" s="1"/>
      <c r="G648" s="1"/>
      <c r="H648" s="1"/>
      <c r="I648" s="1"/>
      <c r="J648" s="13"/>
      <c r="K648" s="13"/>
      <c r="L648" s="1"/>
      <c r="M648" s="56"/>
      <c r="N648" s="71"/>
      <c r="O648" s="1"/>
      <c r="P648" s="1"/>
      <c r="Q648" s="1"/>
      <c r="R648" s="1"/>
      <c r="S648" s="1"/>
      <c r="T648" s="1"/>
      <c r="U648" s="1"/>
      <c r="V648" s="1"/>
      <c r="W648" s="1"/>
      <c r="X648" s="1"/>
      <c r="Y648" s="1"/>
      <c r="Z648" s="1"/>
      <c r="AA648" s="246"/>
      <c r="AB648" s="13"/>
      <c r="AC648" s="1"/>
      <c r="AD648" s="1"/>
      <c r="AE648" s="1"/>
      <c r="AF648" s="1"/>
      <c r="AG648" s="71"/>
      <c r="AH648" s="1"/>
      <c r="AI648" s="1"/>
      <c r="AJ648" s="1"/>
      <c r="AK648" s="1"/>
      <c r="AL648" s="1"/>
      <c r="AM648" s="1"/>
      <c r="AN648" s="1"/>
      <c r="AO648" s="76"/>
      <c r="AP648" s="76"/>
      <c r="AQ648" s="76"/>
      <c r="AR648" s="1"/>
      <c r="AS648" s="1"/>
      <c r="AT648" s="1"/>
      <c r="AU648" s="1"/>
    </row>
    <row r="649" spans="1:47" ht="15" customHeight="1">
      <c r="A649" s="1"/>
      <c r="B649" s="3"/>
      <c r="C649" s="1"/>
      <c r="D649" s="1"/>
      <c r="E649" s="1"/>
      <c r="F649" s="1"/>
      <c r="G649" s="1"/>
      <c r="H649" s="1"/>
      <c r="I649" s="1"/>
      <c r="J649" s="13"/>
      <c r="K649" s="13"/>
      <c r="L649" s="1"/>
      <c r="M649" s="56"/>
      <c r="N649" s="71"/>
      <c r="O649" s="1"/>
      <c r="P649" s="1"/>
      <c r="Q649" s="1"/>
      <c r="R649" s="1"/>
      <c r="S649" s="1"/>
      <c r="T649" s="1"/>
      <c r="U649" s="1"/>
      <c r="V649" s="1"/>
      <c r="W649" s="1"/>
      <c r="X649" s="1"/>
      <c r="Y649" s="1"/>
      <c r="Z649" s="1"/>
      <c r="AA649" s="246"/>
      <c r="AB649" s="13"/>
      <c r="AC649" s="1"/>
      <c r="AD649" s="1"/>
      <c r="AE649" s="1"/>
      <c r="AF649" s="1"/>
      <c r="AG649" s="71"/>
      <c r="AH649" s="1"/>
      <c r="AI649" s="1"/>
      <c r="AJ649" s="1"/>
      <c r="AK649" s="1"/>
      <c r="AL649" s="1"/>
      <c r="AM649" s="1"/>
      <c r="AN649" s="1"/>
      <c r="AO649" s="76"/>
      <c r="AP649" s="76"/>
      <c r="AQ649" s="76"/>
      <c r="AR649" s="1"/>
      <c r="AS649" s="1"/>
      <c r="AT649" s="1"/>
      <c r="AU649" s="1"/>
    </row>
    <row r="650" spans="1:47" ht="15" customHeight="1">
      <c r="A650" s="1"/>
      <c r="B650" s="3"/>
      <c r="C650" s="1"/>
      <c r="D650" s="1"/>
      <c r="E650" s="1"/>
      <c r="F650" s="1"/>
      <c r="G650" s="1"/>
      <c r="H650" s="1"/>
      <c r="I650" s="1"/>
      <c r="J650" s="13"/>
      <c r="K650" s="13"/>
      <c r="L650" s="1"/>
      <c r="M650" s="56"/>
      <c r="N650" s="71"/>
      <c r="O650" s="1"/>
      <c r="P650" s="1"/>
      <c r="Q650" s="1"/>
      <c r="R650" s="1"/>
      <c r="S650" s="1"/>
      <c r="T650" s="1"/>
      <c r="U650" s="1"/>
      <c r="V650" s="1"/>
      <c r="W650" s="1"/>
      <c r="X650" s="1"/>
      <c r="Y650" s="1"/>
      <c r="Z650" s="1"/>
      <c r="AA650" s="246"/>
      <c r="AB650" s="13"/>
      <c r="AC650" s="1"/>
      <c r="AD650" s="1"/>
      <c r="AE650" s="1"/>
      <c r="AF650" s="1"/>
      <c r="AG650" s="71"/>
      <c r="AH650" s="1"/>
      <c r="AI650" s="1"/>
      <c r="AJ650" s="1"/>
      <c r="AK650" s="1"/>
      <c r="AL650" s="1"/>
      <c r="AM650" s="1"/>
      <c r="AN650" s="1"/>
      <c r="AO650" s="76"/>
      <c r="AP650" s="76"/>
      <c r="AQ650" s="76"/>
      <c r="AR650" s="1"/>
      <c r="AS650" s="1"/>
      <c r="AT650" s="1"/>
      <c r="AU650" s="1"/>
    </row>
    <row r="651" spans="1:47" ht="15" customHeight="1">
      <c r="A651" s="1"/>
      <c r="B651" s="3"/>
      <c r="C651" s="1"/>
      <c r="D651" s="1"/>
      <c r="E651" s="1"/>
      <c r="F651" s="1"/>
      <c r="G651" s="1"/>
      <c r="H651" s="1"/>
      <c r="I651" s="1"/>
      <c r="J651" s="13"/>
      <c r="K651" s="13"/>
      <c r="L651" s="1"/>
      <c r="M651" s="56"/>
      <c r="N651" s="71"/>
      <c r="O651" s="1"/>
      <c r="P651" s="1"/>
      <c r="Q651" s="1"/>
      <c r="R651" s="1"/>
      <c r="S651" s="1"/>
      <c r="T651" s="1"/>
      <c r="U651" s="1"/>
      <c r="V651" s="1"/>
      <c r="W651" s="1"/>
      <c r="X651" s="1"/>
      <c r="Y651" s="1"/>
      <c r="Z651" s="1"/>
      <c r="AA651" s="246"/>
      <c r="AB651" s="13"/>
      <c r="AC651" s="1"/>
      <c r="AD651" s="1"/>
      <c r="AE651" s="1"/>
      <c r="AF651" s="1"/>
      <c r="AG651" s="71"/>
      <c r="AH651" s="1"/>
      <c r="AI651" s="1"/>
      <c r="AJ651" s="1"/>
      <c r="AK651" s="1"/>
      <c r="AL651" s="1"/>
      <c r="AM651" s="1"/>
      <c r="AN651" s="1"/>
      <c r="AO651" s="76"/>
      <c r="AP651" s="76"/>
      <c r="AQ651" s="76"/>
      <c r="AR651" s="1"/>
      <c r="AS651" s="1"/>
      <c r="AT651" s="1"/>
      <c r="AU651" s="1"/>
    </row>
    <row r="652" spans="1:47" ht="15" customHeight="1">
      <c r="A652" s="1"/>
      <c r="B652" s="3"/>
      <c r="C652" s="1"/>
      <c r="D652" s="1"/>
      <c r="E652" s="1"/>
      <c r="F652" s="1"/>
      <c r="G652" s="1"/>
      <c r="H652" s="1"/>
      <c r="I652" s="1"/>
      <c r="J652" s="13"/>
      <c r="K652" s="13"/>
      <c r="L652" s="1"/>
      <c r="M652" s="56"/>
      <c r="N652" s="71"/>
      <c r="O652" s="1"/>
      <c r="P652" s="1"/>
      <c r="Q652" s="1"/>
      <c r="R652" s="1"/>
      <c r="S652" s="1"/>
      <c r="T652" s="1"/>
      <c r="U652" s="1"/>
      <c r="V652" s="1"/>
      <c r="W652" s="1"/>
      <c r="X652" s="1"/>
      <c r="Y652" s="1"/>
      <c r="Z652" s="1"/>
      <c r="AA652" s="246"/>
      <c r="AB652" s="13"/>
      <c r="AC652" s="1"/>
      <c r="AD652" s="1"/>
      <c r="AE652" s="1"/>
      <c r="AF652" s="1"/>
      <c r="AG652" s="71"/>
      <c r="AH652" s="1"/>
      <c r="AI652" s="1"/>
      <c r="AJ652" s="1"/>
      <c r="AK652" s="1"/>
      <c r="AL652" s="1"/>
      <c r="AM652" s="1"/>
      <c r="AN652" s="1"/>
      <c r="AO652" s="76"/>
      <c r="AP652" s="76"/>
      <c r="AQ652" s="76"/>
      <c r="AR652" s="1"/>
      <c r="AS652" s="1"/>
      <c r="AT652" s="1"/>
      <c r="AU652" s="1"/>
    </row>
    <row r="653" spans="1:47" ht="15" customHeight="1">
      <c r="A653" s="1"/>
      <c r="B653" s="3"/>
      <c r="C653" s="1"/>
      <c r="D653" s="1"/>
      <c r="E653" s="1"/>
      <c r="F653" s="1"/>
      <c r="G653" s="1"/>
      <c r="H653" s="1"/>
      <c r="I653" s="1"/>
      <c r="J653" s="13"/>
      <c r="K653" s="13"/>
      <c r="L653" s="1"/>
      <c r="M653" s="56"/>
      <c r="N653" s="71"/>
      <c r="O653" s="1"/>
      <c r="P653" s="1"/>
      <c r="Q653" s="1"/>
      <c r="R653" s="1"/>
      <c r="S653" s="1"/>
      <c r="T653" s="1"/>
      <c r="U653" s="1"/>
      <c r="V653" s="1"/>
      <c r="W653" s="1"/>
      <c r="X653" s="1"/>
      <c r="Y653" s="1"/>
      <c r="Z653" s="1"/>
      <c r="AA653" s="246"/>
      <c r="AB653" s="13"/>
      <c r="AC653" s="1"/>
      <c r="AD653" s="1"/>
      <c r="AE653" s="1"/>
      <c r="AF653" s="1"/>
      <c r="AG653" s="71"/>
      <c r="AH653" s="1"/>
      <c r="AI653" s="1"/>
      <c r="AJ653" s="1"/>
      <c r="AK653" s="1"/>
      <c r="AL653" s="1"/>
      <c r="AM653" s="1"/>
      <c r="AN653" s="1"/>
      <c r="AO653" s="76"/>
      <c r="AP653" s="76"/>
      <c r="AQ653" s="76"/>
      <c r="AR653" s="1"/>
      <c r="AS653" s="1"/>
      <c r="AT653" s="1"/>
      <c r="AU653" s="1"/>
    </row>
    <row r="654" spans="1:47" ht="15" customHeight="1">
      <c r="A654" s="1"/>
      <c r="B654" s="3"/>
      <c r="C654" s="1"/>
      <c r="D654" s="1"/>
      <c r="E654" s="1"/>
      <c r="F654" s="1"/>
      <c r="G654" s="1"/>
      <c r="H654" s="1"/>
      <c r="I654" s="1"/>
      <c r="J654" s="13"/>
      <c r="K654" s="13"/>
      <c r="L654" s="1"/>
      <c r="M654" s="56"/>
      <c r="N654" s="71"/>
      <c r="O654" s="1"/>
      <c r="P654" s="1"/>
      <c r="Q654" s="1"/>
      <c r="R654" s="1"/>
      <c r="S654" s="1"/>
      <c r="T654" s="1"/>
      <c r="U654" s="1"/>
      <c r="V654" s="1"/>
      <c r="W654" s="1"/>
      <c r="X654" s="1"/>
      <c r="Y654" s="1"/>
      <c r="Z654" s="1"/>
      <c r="AA654" s="246"/>
      <c r="AB654" s="13"/>
      <c r="AC654" s="1"/>
      <c r="AD654" s="1"/>
      <c r="AE654" s="1"/>
      <c r="AF654" s="1"/>
      <c r="AG654" s="71"/>
      <c r="AH654" s="1"/>
      <c r="AI654" s="1"/>
      <c r="AJ654" s="1"/>
      <c r="AK654" s="1"/>
      <c r="AL654" s="1"/>
      <c r="AM654" s="1"/>
      <c r="AN654" s="1"/>
      <c r="AO654" s="76"/>
      <c r="AP654" s="76"/>
      <c r="AQ654" s="76"/>
      <c r="AR654" s="1"/>
      <c r="AS654" s="1"/>
      <c r="AT654" s="1"/>
      <c r="AU654" s="1"/>
    </row>
    <row r="655" spans="1:47" ht="15" customHeight="1">
      <c r="A655" s="1"/>
      <c r="B655" s="3"/>
      <c r="C655" s="1"/>
      <c r="D655" s="1"/>
      <c r="E655" s="1"/>
      <c r="F655" s="1"/>
      <c r="G655" s="1"/>
      <c r="H655" s="1"/>
      <c r="I655" s="1"/>
      <c r="J655" s="13"/>
      <c r="K655" s="13"/>
      <c r="L655" s="1"/>
      <c r="M655" s="56"/>
      <c r="N655" s="71"/>
      <c r="O655" s="1"/>
      <c r="P655" s="1"/>
      <c r="Q655" s="1"/>
      <c r="R655" s="1"/>
      <c r="S655" s="1"/>
      <c r="T655" s="1"/>
      <c r="U655" s="1"/>
      <c r="V655" s="1"/>
      <c r="W655" s="1"/>
      <c r="X655" s="1"/>
      <c r="Y655" s="1"/>
      <c r="Z655" s="1"/>
      <c r="AA655" s="246"/>
      <c r="AB655" s="13"/>
      <c r="AC655" s="1"/>
      <c r="AD655" s="1"/>
      <c r="AE655" s="1"/>
      <c r="AF655" s="1"/>
      <c r="AG655" s="71"/>
      <c r="AH655" s="1"/>
      <c r="AI655" s="1"/>
      <c r="AJ655" s="1"/>
      <c r="AK655" s="1"/>
      <c r="AL655" s="1"/>
      <c r="AM655" s="1"/>
      <c r="AN655" s="1"/>
      <c r="AO655" s="76"/>
      <c r="AP655" s="76"/>
      <c r="AQ655" s="76"/>
      <c r="AR655" s="1"/>
      <c r="AS655" s="1"/>
      <c r="AT655" s="1"/>
      <c r="AU655" s="1"/>
    </row>
    <row r="656" spans="1:47" ht="15" customHeight="1">
      <c r="A656" s="1"/>
      <c r="B656" s="3"/>
      <c r="C656" s="1"/>
      <c r="D656" s="1"/>
      <c r="E656" s="1"/>
      <c r="F656" s="1"/>
      <c r="G656" s="1"/>
      <c r="H656" s="1"/>
      <c r="I656" s="1"/>
      <c r="J656" s="13"/>
      <c r="K656" s="13"/>
      <c r="L656" s="1"/>
      <c r="M656" s="56"/>
      <c r="N656" s="71"/>
      <c r="O656" s="1"/>
      <c r="P656" s="1"/>
      <c r="Q656" s="1"/>
      <c r="R656" s="1"/>
      <c r="S656" s="1"/>
      <c r="T656" s="1"/>
      <c r="U656" s="1"/>
      <c r="V656" s="1"/>
      <c r="W656" s="1"/>
      <c r="X656" s="1"/>
      <c r="Y656" s="1"/>
      <c r="Z656" s="1"/>
      <c r="AA656" s="246"/>
      <c r="AB656" s="13"/>
      <c r="AC656" s="1"/>
      <c r="AD656" s="1"/>
      <c r="AE656" s="1"/>
      <c r="AF656" s="1"/>
      <c r="AG656" s="71"/>
      <c r="AH656" s="1"/>
      <c r="AI656" s="1"/>
      <c r="AJ656" s="1"/>
      <c r="AK656" s="1"/>
      <c r="AL656" s="1"/>
      <c r="AM656" s="1"/>
      <c r="AN656" s="1"/>
      <c r="AO656" s="76"/>
      <c r="AP656" s="76"/>
      <c r="AQ656" s="76"/>
      <c r="AR656" s="1"/>
      <c r="AS656" s="1"/>
      <c r="AT656" s="1"/>
      <c r="AU656" s="1"/>
    </row>
    <row r="657" spans="1:47" ht="15" customHeight="1">
      <c r="A657" s="1"/>
      <c r="B657" s="3"/>
      <c r="C657" s="1"/>
      <c r="D657" s="1"/>
      <c r="E657" s="1"/>
      <c r="F657" s="1"/>
      <c r="G657" s="1"/>
      <c r="H657" s="1"/>
      <c r="I657" s="1"/>
      <c r="J657" s="13"/>
      <c r="K657" s="13"/>
      <c r="L657" s="1"/>
      <c r="M657" s="56"/>
      <c r="N657" s="71"/>
      <c r="O657" s="1"/>
      <c r="P657" s="1"/>
      <c r="Q657" s="1"/>
      <c r="R657" s="1"/>
      <c r="S657" s="1"/>
      <c r="T657" s="1"/>
      <c r="U657" s="1"/>
      <c r="V657" s="1"/>
      <c r="W657" s="1"/>
      <c r="X657" s="1"/>
      <c r="Y657" s="1"/>
      <c r="Z657" s="1"/>
      <c r="AA657" s="246"/>
      <c r="AB657" s="13"/>
      <c r="AC657" s="1"/>
      <c r="AD657" s="1"/>
      <c r="AE657" s="1"/>
      <c r="AF657" s="1"/>
      <c r="AG657" s="71"/>
      <c r="AH657" s="1"/>
      <c r="AI657" s="1"/>
      <c r="AJ657" s="1"/>
      <c r="AK657" s="1"/>
      <c r="AL657" s="1"/>
      <c r="AM657" s="1"/>
      <c r="AN657" s="1"/>
      <c r="AO657" s="76"/>
      <c r="AP657" s="76"/>
      <c r="AQ657" s="76"/>
      <c r="AR657" s="1"/>
      <c r="AS657" s="1"/>
      <c r="AT657" s="1"/>
      <c r="AU657" s="1"/>
    </row>
    <row r="658" spans="1:47" ht="15" customHeight="1">
      <c r="A658" s="1"/>
      <c r="B658" s="3"/>
      <c r="C658" s="1"/>
      <c r="D658" s="1"/>
      <c r="E658" s="1"/>
      <c r="F658" s="1"/>
      <c r="G658" s="1"/>
      <c r="H658" s="1"/>
      <c r="I658" s="1"/>
      <c r="J658" s="13"/>
      <c r="K658" s="13"/>
      <c r="L658" s="1"/>
      <c r="M658" s="56"/>
      <c r="N658" s="71"/>
      <c r="O658" s="1"/>
      <c r="P658" s="1"/>
      <c r="Q658" s="1"/>
      <c r="R658" s="1"/>
      <c r="S658" s="1"/>
      <c r="T658" s="1"/>
      <c r="U658" s="1"/>
      <c r="V658" s="1"/>
      <c r="W658" s="1"/>
      <c r="X658" s="1"/>
      <c r="Y658" s="1"/>
      <c r="Z658" s="1"/>
      <c r="AA658" s="246"/>
      <c r="AB658" s="13"/>
      <c r="AC658" s="1"/>
      <c r="AD658" s="1"/>
      <c r="AE658" s="1"/>
      <c r="AF658" s="1"/>
      <c r="AG658" s="71"/>
      <c r="AH658" s="1"/>
      <c r="AI658" s="1"/>
      <c r="AJ658" s="1"/>
      <c r="AK658" s="1"/>
      <c r="AL658" s="1"/>
      <c r="AM658" s="1"/>
      <c r="AN658" s="1"/>
      <c r="AO658" s="76"/>
      <c r="AP658" s="76"/>
      <c r="AQ658" s="76"/>
      <c r="AR658" s="1"/>
      <c r="AS658" s="1"/>
      <c r="AT658" s="1"/>
      <c r="AU658" s="1"/>
    </row>
    <row r="659" spans="1:47" ht="15" customHeight="1">
      <c r="A659" s="1"/>
      <c r="B659" s="3"/>
      <c r="C659" s="1"/>
      <c r="D659" s="1"/>
      <c r="E659" s="1"/>
      <c r="F659" s="1"/>
      <c r="G659" s="1"/>
      <c r="H659" s="1"/>
      <c r="I659" s="1"/>
      <c r="J659" s="13"/>
      <c r="K659" s="13"/>
      <c r="L659" s="1"/>
      <c r="M659" s="56"/>
      <c r="N659" s="71"/>
      <c r="O659" s="1"/>
      <c r="P659" s="1"/>
      <c r="Q659" s="1"/>
      <c r="R659" s="1"/>
      <c r="S659" s="1"/>
      <c r="T659" s="1"/>
      <c r="U659" s="1"/>
      <c r="V659" s="1"/>
      <c r="W659" s="1"/>
      <c r="X659" s="1"/>
      <c r="Y659" s="1"/>
      <c r="Z659" s="1"/>
      <c r="AA659" s="246"/>
      <c r="AB659" s="13"/>
      <c r="AC659" s="1"/>
      <c r="AD659" s="1"/>
      <c r="AE659" s="1"/>
      <c r="AF659" s="1"/>
      <c r="AG659" s="71"/>
      <c r="AH659" s="1"/>
      <c r="AI659" s="1"/>
      <c r="AJ659" s="1"/>
      <c r="AK659" s="1"/>
      <c r="AL659" s="1"/>
      <c r="AM659" s="1"/>
      <c r="AN659" s="1"/>
      <c r="AO659" s="76"/>
      <c r="AP659" s="76"/>
      <c r="AQ659" s="76"/>
      <c r="AR659" s="1"/>
      <c r="AS659" s="1"/>
      <c r="AT659" s="1"/>
      <c r="AU659" s="1"/>
    </row>
    <row r="660" spans="1:47" ht="15" customHeight="1">
      <c r="A660" s="1"/>
      <c r="B660" s="3"/>
      <c r="C660" s="1"/>
      <c r="D660" s="1"/>
      <c r="E660" s="1"/>
      <c r="F660" s="1"/>
      <c r="G660" s="1"/>
      <c r="H660" s="1"/>
      <c r="I660" s="1"/>
      <c r="J660" s="13"/>
      <c r="K660" s="13"/>
      <c r="L660" s="1"/>
      <c r="M660" s="56"/>
      <c r="N660" s="71"/>
      <c r="O660" s="1"/>
      <c r="P660" s="1"/>
      <c r="Q660" s="1"/>
      <c r="R660" s="1"/>
      <c r="S660" s="1"/>
      <c r="T660" s="1"/>
      <c r="U660" s="1"/>
      <c r="V660" s="1"/>
      <c r="W660" s="1"/>
      <c r="X660" s="1"/>
      <c r="Y660" s="1"/>
      <c r="Z660" s="1"/>
      <c r="AA660" s="246"/>
      <c r="AB660" s="13"/>
      <c r="AC660" s="1"/>
      <c r="AD660" s="1"/>
      <c r="AE660" s="1"/>
      <c r="AF660" s="1"/>
      <c r="AG660" s="71"/>
      <c r="AH660" s="1"/>
      <c r="AI660" s="1"/>
      <c r="AJ660" s="1"/>
      <c r="AK660" s="1"/>
      <c r="AL660" s="1"/>
      <c r="AM660" s="1"/>
      <c r="AN660" s="1"/>
      <c r="AO660" s="76"/>
      <c r="AP660" s="76"/>
      <c r="AQ660" s="76"/>
      <c r="AR660" s="1"/>
      <c r="AS660" s="1"/>
      <c r="AT660" s="1"/>
      <c r="AU660" s="1"/>
    </row>
    <row r="661" spans="1:47" ht="15" customHeight="1">
      <c r="A661" s="1"/>
      <c r="B661" s="3"/>
      <c r="C661" s="1"/>
      <c r="D661" s="1"/>
      <c r="E661" s="1"/>
      <c r="F661" s="1"/>
      <c r="G661" s="1"/>
      <c r="H661" s="1"/>
      <c r="I661" s="1"/>
      <c r="J661" s="13"/>
      <c r="K661" s="13"/>
      <c r="L661" s="1"/>
      <c r="M661" s="56"/>
      <c r="N661" s="71"/>
      <c r="O661" s="1"/>
      <c r="P661" s="1"/>
      <c r="Q661" s="1"/>
      <c r="R661" s="1"/>
      <c r="S661" s="1"/>
      <c r="T661" s="1"/>
      <c r="U661" s="1"/>
      <c r="V661" s="1"/>
      <c r="W661" s="1"/>
      <c r="X661" s="1"/>
      <c r="Y661" s="1"/>
      <c r="Z661" s="1"/>
      <c r="AA661" s="246"/>
      <c r="AB661" s="13"/>
      <c r="AC661" s="1"/>
      <c r="AD661" s="1"/>
      <c r="AE661" s="1"/>
      <c r="AF661" s="1"/>
      <c r="AG661" s="71"/>
      <c r="AH661" s="1"/>
      <c r="AI661" s="1"/>
      <c r="AJ661" s="1"/>
      <c r="AK661" s="1"/>
      <c r="AL661" s="1"/>
      <c r="AM661" s="1"/>
      <c r="AN661" s="1"/>
      <c r="AO661" s="76"/>
      <c r="AP661" s="76"/>
      <c r="AQ661" s="76"/>
      <c r="AR661" s="1"/>
      <c r="AS661" s="1"/>
      <c r="AT661" s="1"/>
      <c r="AU661" s="1"/>
    </row>
  </sheetData>
  <mergeCells count="9">
    <mergeCell ref="T2:X2"/>
    <mergeCell ref="M2:S2"/>
    <mergeCell ref="AI2:AL2"/>
    <mergeCell ref="AE2:AH2"/>
    <mergeCell ref="AO1:AR1"/>
    <mergeCell ref="AO2:AR2"/>
    <mergeCell ref="AA1:AM1"/>
    <mergeCell ref="J1:Y1"/>
    <mergeCell ref="AA2:AD2"/>
  </mergeCells>
  <pageMargins left="0.7" right="0.7" top="0.75" bottom="0.75" header="0" footer="0"/>
  <pageSetup orientation="portrait"/>
  <ignoredErrors>
    <ignoredError sqref="AO11" formula="1"/>
    <ignoredError sqref="S568" evalError="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F10" sqref="F10"/>
    </sheetView>
  </sheetViews>
  <sheetFormatPr defaultColWidth="14.453125" defaultRowHeight="15" customHeight="1"/>
  <cols>
    <col min="1" max="1" width="44.453125" customWidth="1"/>
    <col min="2" max="2" width="18.453125" customWidth="1"/>
    <col min="3" max="3" width="23.453125" customWidth="1"/>
    <col min="4" max="4" width="20.1796875" customWidth="1"/>
    <col min="5" max="5" width="17.453125" customWidth="1"/>
    <col min="6" max="6" width="18.453125" customWidth="1"/>
    <col min="7" max="26" width="14.453125" customWidth="1"/>
  </cols>
  <sheetData>
    <row r="1" spans="1:26" ht="15" customHeight="1">
      <c r="A1" s="2" t="s">
        <v>299</v>
      </c>
      <c r="B1" s="4"/>
      <c r="C1" s="4"/>
      <c r="D1" s="4"/>
      <c r="E1" s="4"/>
      <c r="F1" s="4"/>
      <c r="G1" s="4"/>
      <c r="H1" s="4"/>
      <c r="I1" s="4"/>
      <c r="J1" s="4"/>
      <c r="K1" s="4"/>
      <c r="L1" s="4"/>
      <c r="M1" s="4"/>
      <c r="N1" s="4"/>
      <c r="O1" s="4"/>
      <c r="P1" s="4"/>
      <c r="Q1" s="4"/>
      <c r="R1" s="4"/>
      <c r="S1" s="4"/>
      <c r="T1" s="4"/>
      <c r="U1" s="4"/>
      <c r="V1" s="4"/>
      <c r="W1" s="4"/>
      <c r="X1" s="4"/>
      <c r="Y1" s="4"/>
      <c r="Z1" s="4"/>
    </row>
    <row r="2" spans="1:26" ht="15" customHeight="1">
      <c r="A2" s="2"/>
      <c r="B2" s="4"/>
      <c r="C2" s="4"/>
      <c r="D2" s="4"/>
      <c r="E2" s="4"/>
      <c r="F2" s="4"/>
      <c r="G2" s="4"/>
      <c r="H2" s="4"/>
      <c r="I2" s="4"/>
      <c r="J2" s="4"/>
      <c r="K2" s="4"/>
      <c r="L2" s="4"/>
      <c r="M2" s="4"/>
      <c r="N2" s="4"/>
      <c r="O2" s="4"/>
      <c r="P2" s="4"/>
      <c r="Q2" s="4"/>
      <c r="R2" s="4"/>
      <c r="S2" s="4"/>
      <c r="T2" s="4"/>
      <c r="U2" s="4"/>
      <c r="V2" s="4"/>
      <c r="W2" s="4"/>
      <c r="X2" s="4"/>
      <c r="Y2" s="4"/>
      <c r="Z2" s="4"/>
    </row>
    <row r="3" spans="1:26" ht="15" customHeight="1">
      <c r="A3" s="7" t="s">
        <v>4</v>
      </c>
      <c r="B3" s="8" t="s">
        <v>6</v>
      </c>
      <c r="C3" s="10" t="s">
        <v>9</v>
      </c>
      <c r="D3" s="12"/>
      <c r="E3" s="14"/>
      <c r="F3" s="4"/>
      <c r="G3" s="4"/>
      <c r="H3" s="4"/>
      <c r="I3" s="4"/>
      <c r="J3" s="4"/>
      <c r="K3" s="4"/>
      <c r="L3" s="4"/>
      <c r="M3" s="4"/>
      <c r="N3" s="4"/>
      <c r="O3" s="4"/>
      <c r="P3" s="4"/>
      <c r="Q3" s="4"/>
      <c r="R3" s="4"/>
      <c r="S3" s="4"/>
      <c r="T3" s="4"/>
      <c r="U3" s="4"/>
      <c r="V3" s="4"/>
      <c r="W3" s="4"/>
      <c r="X3" s="4"/>
      <c r="Y3" s="4"/>
      <c r="Z3" s="4"/>
    </row>
    <row r="4" spans="1:26" ht="15" customHeight="1">
      <c r="A4" s="16" t="s">
        <v>15</v>
      </c>
      <c r="B4" s="18">
        <v>3380</v>
      </c>
      <c r="C4" s="20" t="s">
        <v>18</v>
      </c>
      <c r="D4" s="4"/>
      <c r="E4" s="21"/>
      <c r="F4" s="4"/>
      <c r="G4" s="4"/>
      <c r="H4" s="4"/>
      <c r="I4" s="4"/>
      <c r="J4" s="4"/>
      <c r="K4" s="4"/>
      <c r="L4" s="4"/>
      <c r="M4" s="4"/>
      <c r="N4" s="4"/>
      <c r="O4" s="4"/>
      <c r="P4" s="4"/>
      <c r="Q4" s="4"/>
      <c r="R4" s="4"/>
      <c r="S4" s="4"/>
      <c r="T4" s="4"/>
      <c r="U4" s="4"/>
      <c r="V4" s="4"/>
      <c r="W4" s="4"/>
      <c r="X4" s="4"/>
      <c r="Y4" s="4"/>
      <c r="Z4" s="4"/>
    </row>
    <row r="5" spans="1:26" ht="15" customHeight="1">
      <c r="A5" s="225" t="s">
        <v>300</v>
      </c>
      <c r="B5" s="25">
        <v>64.152000000000001</v>
      </c>
      <c r="C5" s="20" t="s">
        <v>33</v>
      </c>
      <c r="D5" s="4"/>
      <c r="E5" s="29"/>
      <c r="F5" s="4"/>
      <c r="G5" s="4"/>
      <c r="H5" s="4"/>
      <c r="I5" s="4"/>
      <c r="J5" s="4"/>
      <c r="K5" s="4"/>
      <c r="L5" s="4"/>
      <c r="M5" s="4"/>
      <c r="N5" s="4"/>
      <c r="O5" s="4"/>
      <c r="P5" s="4"/>
      <c r="Q5" s="4"/>
      <c r="R5" s="4"/>
      <c r="S5" s="4"/>
      <c r="T5" s="4"/>
      <c r="U5" s="4"/>
      <c r="V5" s="4"/>
      <c r="W5" s="4"/>
      <c r="X5" s="4"/>
      <c r="Y5" s="4"/>
      <c r="Z5" s="4"/>
    </row>
    <row r="6" spans="1:26" ht="14.25" customHeight="1">
      <c r="A6" s="31" t="s">
        <v>42</v>
      </c>
      <c r="B6" s="33">
        <v>0.26100000000000001</v>
      </c>
      <c r="C6" s="34" t="s">
        <v>45</v>
      </c>
      <c r="D6" s="35"/>
      <c r="E6" s="36"/>
      <c r="F6" s="4"/>
      <c r="G6" s="4"/>
      <c r="H6" s="4"/>
      <c r="I6" s="4"/>
      <c r="J6" s="4"/>
      <c r="K6" s="4"/>
      <c r="L6" s="4"/>
      <c r="M6" s="4"/>
      <c r="N6" s="4"/>
      <c r="O6" s="4"/>
      <c r="P6" s="4"/>
      <c r="Q6" s="4"/>
      <c r="R6" s="4"/>
      <c r="S6" s="4"/>
      <c r="T6" s="4"/>
      <c r="U6" s="4"/>
      <c r="V6" s="4"/>
      <c r="W6" s="4"/>
      <c r="X6" s="4"/>
      <c r="Y6" s="4"/>
      <c r="Z6" s="4"/>
    </row>
    <row r="7" spans="1:26" ht="15" customHeight="1">
      <c r="A7" s="4"/>
      <c r="B7" s="4"/>
      <c r="C7" s="4"/>
      <c r="D7" s="4"/>
      <c r="E7" s="4"/>
      <c r="F7" s="4"/>
      <c r="G7" s="4"/>
      <c r="H7" s="4"/>
      <c r="I7" s="4"/>
      <c r="J7" s="4"/>
      <c r="K7" s="4"/>
      <c r="L7" s="4"/>
      <c r="M7" s="4"/>
      <c r="N7" s="4"/>
      <c r="O7" s="4"/>
      <c r="P7" s="4"/>
      <c r="Q7" s="4"/>
      <c r="R7" s="4"/>
      <c r="S7" s="4"/>
      <c r="T7" s="4"/>
      <c r="U7" s="4"/>
      <c r="V7" s="4"/>
      <c r="W7" s="4"/>
      <c r="X7" s="4"/>
      <c r="Y7" s="4"/>
      <c r="Z7" s="4"/>
    </row>
    <row r="8" spans="1:26" ht="15" customHeight="1">
      <c r="A8" s="40"/>
      <c r="B8" s="4"/>
      <c r="C8" s="4"/>
      <c r="D8" s="4"/>
      <c r="E8" s="4"/>
      <c r="F8" s="4"/>
      <c r="G8" s="4"/>
      <c r="H8" s="4"/>
      <c r="I8" s="4"/>
      <c r="J8" s="4"/>
      <c r="K8" s="4"/>
      <c r="L8" s="4"/>
      <c r="M8" s="4"/>
      <c r="N8" s="4"/>
      <c r="O8" s="4"/>
      <c r="P8" s="4"/>
      <c r="Q8" s="4"/>
      <c r="R8" s="4"/>
      <c r="S8" s="4"/>
      <c r="T8" s="4"/>
      <c r="U8" s="4"/>
      <c r="V8" s="4"/>
      <c r="W8" s="4"/>
      <c r="X8" s="4"/>
      <c r="Y8" s="4"/>
      <c r="Z8" s="4"/>
    </row>
    <row r="9" spans="1:26" ht="29">
      <c r="A9" s="43" t="s">
        <v>62</v>
      </c>
      <c r="B9" s="44" t="s">
        <v>66</v>
      </c>
      <c r="C9" s="12" t="s">
        <v>68</v>
      </c>
      <c r="D9" s="12" t="s">
        <v>69</v>
      </c>
      <c r="E9" s="46" t="s">
        <v>70</v>
      </c>
      <c r="F9" s="48" t="s">
        <v>72</v>
      </c>
      <c r="G9" s="4"/>
      <c r="H9" s="4"/>
      <c r="I9" s="4"/>
      <c r="J9" s="4"/>
      <c r="K9" s="4"/>
      <c r="L9" s="4"/>
      <c r="M9" s="4"/>
      <c r="N9" s="4"/>
      <c r="O9" s="4"/>
      <c r="P9" s="4"/>
      <c r="Q9" s="4"/>
      <c r="R9" s="4"/>
      <c r="S9" s="4"/>
      <c r="T9" s="4"/>
      <c r="U9" s="4"/>
      <c r="V9" s="4"/>
      <c r="W9" s="4"/>
      <c r="X9" s="4"/>
      <c r="Y9" s="4"/>
      <c r="Z9" s="4"/>
    </row>
    <row r="10" spans="1:26" ht="15" customHeight="1">
      <c r="A10" s="16" t="s">
        <v>73</v>
      </c>
      <c r="B10" s="53">
        <f>37752210283-1549593642</f>
        <v>36202616641</v>
      </c>
      <c r="C10" s="60">
        <f>B10/B5</f>
        <v>564325611.68786633</v>
      </c>
      <c r="D10" s="60">
        <f>C10*Variables!C10</f>
        <v>575612123.92162371</v>
      </c>
      <c r="E10" s="61">
        <f>D10/$B$4</f>
        <v>170299.44494722594</v>
      </c>
      <c r="F10" s="63">
        <f>E10/B6</f>
        <v>652488.29481695767</v>
      </c>
      <c r="G10" s="4"/>
      <c r="H10" s="4"/>
      <c r="I10" s="4"/>
      <c r="J10" s="4"/>
      <c r="K10" s="4"/>
      <c r="L10" s="4"/>
      <c r="M10" s="4"/>
      <c r="N10" s="4"/>
      <c r="O10" s="4"/>
      <c r="P10" s="4"/>
      <c r="Q10" s="4"/>
      <c r="R10" s="4"/>
      <c r="S10" s="4"/>
      <c r="T10" s="4"/>
      <c r="U10" s="4"/>
      <c r="V10" s="4"/>
      <c r="W10" s="4"/>
      <c r="X10" s="4"/>
      <c r="Y10" s="4"/>
      <c r="Z10" s="4"/>
    </row>
    <row r="11" spans="1:26" ht="57" customHeight="1">
      <c r="A11" s="260"/>
      <c r="B11" s="258" t="s">
        <v>77</v>
      </c>
      <c r="C11" s="259"/>
      <c r="D11" s="259"/>
      <c r="E11" s="65"/>
      <c r="F11" s="262"/>
      <c r="G11" s="4"/>
      <c r="H11" s="4"/>
      <c r="I11" s="4"/>
      <c r="J11" s="4"/>
      <c r="K11" s="4"/>
      <c r="L11" s="4"/>
      <c r="M11" s="4"/>
      <c r="N11" s="4"/>
      <c r="O11" s="4"/>
      <c r="P11" s="4"/>
      <c r="Q11" s="4"/>
      <c r="R11" s="4"/>
      <c r="S11" s="4"/>
      <c r="T11" s="4"/>
      <c r="U11" s="4"/>
      <c r="V11" s="4"/>
      <c r="W11" s="4"/>
      <c r="X11" s="4"/>
      <c r="Y11" s="4"/>
      <c r="Z11" s="4"/>
    </row>
    <row r="12" spans="1:26" ht="15" customHeight="1">
      <c r="A12" s="261"/>
      <c r="B12" s="67" t="s">
        <v>78</v>
      </c>
      <c r="C12" s="68"/>
      <c r="D12" s="69"/>
      <c r="E12" s="70"/>
      <c r="F12" s="263"/>
      <c r="G12" s="4"/>
      <c r="H12" s="4"/>
      <c r="I12" s="4"/>
      <c r="J12" s="4"/>
      <c r="K12" s="4"/>
      <c r="L12" s="4"/>
      <c r="M12" s="4"/>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72" t="s">
        <v>79</v>
      </c>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B11:D11"/>
    <mergeCell ref="A11:A12"/>
    <mergeCell ref="F11:F12"/>
  </mergeCells>
  <hyperlinks>
    <hyperlink ref="C4" r:id="rId1" xr:uid="{00000000-0004-0000-0200-000000000000}"/>
    <hyperlink ref="C5" r:id="rId2" xr:uid="{00000000-0004-0000-0200-000001000000}"/>
    <hyperlink ref="B12" r:id="rId3" xr:uid="{00000000-0004-0000-02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53125" defaultRowHeight="15" customHeight="1"/>
  <cols>
    <col min="1" max="1" width="18.453125" customWidth="1"/>
    <col min="2" max="2" width="8.453125" customWidth="1"/>
    <col min="3" max="3" width="11.81640625" customWidth="1"/>
    <col min="4" max="4" width="12.453125" customWidth="1"/>
    <col min="5" max="5" width="26" customWidth="1"/>
    <col min="6" max="6" width="11" customWidth="1"/>
    <col min="7" max="25" width="8.453125" customWidth="1"/>
  </cols>
  <sheetData>
    <row r="1" spans="1:26" ht="15" customHeight="1">
      <c r="A1" s="74" t="s">
        <v>80</v>
      </c>
      <c r="B1" s="4"/>
      <c r="C1" s="4"/>
      <c r="D1" s="4"/>
      <c r="E1" s="4"/>
      <c r="F1" s="4"/>
      <c r="G1" s="4"/>
      <c r="H1" s="4"/>
      <c r="I1" s="4"/>
      <c r="J1" s="4"/>
      <c r="K1" s="4"/>
      <c r="L1" s="4"/>
      <c r="M1" s="4"/>
      <c r="N1" s="4"/>
      <c r="O1" s="4"/>
      <c r="P1" s="4"/>
      <c r="Q1" s="4"/>
      <c r="R1" s="4"/>
      <c r="S1" s="4"/>
      <c r="T1" s="4"/>
      <c r="U1" s="4"/>
      <c r="V1" s="4"/>
      <c r="W1" s="4"/>
      <c r="X1" s="4"/>
      <c r="Y1" s="4"/>
    </row>
    <row r="2" spans="1:26" ht="15" customHeight="1">
      <c r="A2" s="4" t="s">
        <v>81</v>
      </c>
      <c r="B2" s="4" t="s">
        <v>82</v>
      </c>
      <c r="C2" s="4"/>
      <c r="D2" s="4"/>
      <c r="E2" s="4"/>
      <c r="F2" s="4"/>
      <c r="G2" s="4"/>
      <c r="H2" s="4"/>
      <c r="I2" s="4"/>
      <c r="J2" s="4"/>
      <c r="K2" s="4"/>
      <c r="L2" s="4"/>
      <c r="M2" s="4"/>
      <c r="N2" s="4"/>
      <c r="O2" s="4"/>
      <c r="P2" s="4"/>
      <c r="Q2" s="4"/>
      <c r="R2" s="4"/>
      <c r="S2" s="4"/>
      <c r="T2" s="4"/>
      <c r="U2" s="4"/>
      <c r="V2" s="4"/>
      <c r="W2" s="4"/>
      <c r="X2" s="4"/>
      <c r="Y2" s="4"/>
    </row>
    <row r="3" spans="1:26" ht="15" customHeight="1">
      <c r="A3" s="4" t="s">
        <v>83</v>
      </c>
      <c r="B3" s="77" t="s">
        <v>84</v>
      </c>
      <c r="C3" s="4"/>
      <c r="D3" s="4"/>
      <c r="E3" s="4"/>
      <c r="F3" s="4"/>
      <c r="G3" s="4"/>
      <c r="H3" s="4"/>
      <c r="I3" s="4"/>
      <c r="J3" s="4"/>
      <c r="K3" s="4"/>
      <c r="L3" s="4"/>
      <c r="M3" s="4"/>
      <c r="N3" s="4"/>
      <c r="O3" s="4"/>
      <c r="P3" s="4"/>
      <c r="Q3" s="4"/>
      <c r="R3" s="4"/>
      <c r="S3" s="4"/>
      <c r="T3" s="4"/>
      <c r="U3" s="4"/>
      <c r="V3" s="4"/>
      <c r="W3" s="4"/>
      <c r="X3" s="4"/>
      <c r="Y3" s="4"/>
    </row>
    <row r="4" spans="1:26" ht="14.25" customHeight="1">
      <c r="A4" s="74"/>
      <c r="B4" s="4"/>
      <c r="C4" s="4"/>
      <c r="D4" s="4"/>
      <c r="E4" s="4"/>
      <c r="F4" s="4"/>
      <c r="G4" s="4"/>
      <c r="H4" s="4"/>
      <c r="I4" s="4"/>
      <c r="J4" s="4"/>
      <c r="K4" s="4"/>
      <c r="L4" s="4"/>
      <c r="M4" s="4"/>
      <c r="N4" s="4"/>
      <c r="O4" s="4"/>
      <c r="P4" s="4"/>
      <c r="Q4" s="4"/>
      <c r="R4" s="4"/>
      <c r="S4" s="4"/>
      <c r="T4" s="4"/>
      <c r="U4" s="4"/>
      <c r="V4" s="4"/>
      <c r="W4" s="4"/>
      <c r="X4" s="4"/>
      <c r="Y4" s="4"/>
    </row>
    <row r="5" spans="1:26" ht="14.25" customHeight="1">
      <c r="A5" s="78" t="s">
        <v>28</v>
      </c>
      <c r="B5" s="80" t="s">
        <v>30</v>
      </c>
      <c r="C5" s="81" t="s">
        <v>85</v>
      </c>
      <c r="D5" s="80" t="s">
        <v>86</v>
      </c>
      <c r="E5" s="82" t="s">
        <v>88</v>
      </c>
      <c r="F5" s="83"/>
      <c r="G5" s="83"/>
      <c r="H5" s="83"/>
      <c r="I5" s="4"/>
      <c r="J5" s="84"/>
      <c r="K5" s="84"/>
      <c r="L5" s="85"/>
      <c r="M5" s="85"/>
      <c r="N5" s="85"/>
      <c r="O5" s="85"/>
      <c r="P5" s="85"/>
      <c r="Q5" s="85"/>
      <c r="R5" s="85"/>
      <c r="S5" s="85"/>
      <c r="T5" s="85"/>
      <c r="U5" s="85"/>
      <c r="V5" s="85"/>
      <c r="W5" s="85"/>
      <c r="X5" s="85"/>
      <c r="Y5" s="85"/>
    </row>
    <row r="6" spans="1:26" ht="14.25" customHeight="1">
      <c r="A6" s="86" t="s">
        <v>89</v>
      </c>
      <c r="B6" s="87">
        <v>2007</v>
      </c>
      <c r="C6" s="88">
        <v>44994</v>
      </c>
      <c r="D6" s="88">
        <v>13126760</v>
      </c>
      <c r="E6" s="89">
        <v>3.4299999999999999E-3</v>
      </c>
      <c r="F6" s="90"/>
      <c r="G6" s="90"/>
      <c r="H6" s="90"/>
      <c r="I6" s="4"/>
      <c r="J6" s="91"/>
      <c r="K6" s="91"/>
      <c r="L6" s="74"/>
      <c r="M6" s="74"/>
      <c r="N6" s="74"/>
      <c r="O6" s="74"/>
      <c r="P6" s="74"/>
      <c r="Q6" s="74"/>
      <c r="R6" s="74"/>
      <c r="S6" s="74"/>
      <c r="T6" s="74"/>
      <c r="U6" s="74"/>
      <c r="V6" s="74"/>
      <c r="W6" s="74"/>
      <c r="X6" s="74"/>
      <c r="Y6" s="74"/>
    </row>
    <row r="7" spans="1:26" ht="15" customHeight="1">
      <c r="A7" s="4"/>
      <c r="B7" s="4"/>
      <c r="C7" s="4"/>
      <c r="D7" s="4"/>
      <c r="E7" s="4"/>
      <c r="F7" s="4"/>
      <c r="G7" s="4"/>
      <c r="H7" s="4"/>
      <c r="I7" s="4"/>
      <c r="J7" s="4"/>
      <c r="K7" s="4"/>
      <c r="L7" s="4"/>
      <c r="M7" s="4"/>
      <c r="N7" s="4"/>
      <c r="O7" s="4"/>
      <c r="P7" s="4"/>
      <c r="Q7" s="4"/>
      <c r="R7" s="4"/>
      <c r="S7" s="4"/>
      <c r="T7" s="4"/>
      <c r="U7" s="4"/>
      <c r="V7" s="4"/>
      <c r="W7" s="4"/>
      <c r="X7" s="4"/>
      <c r="Y7" s="4"/>
    </row>
    <row r="8" spans="1:26" ht="39" customHeight="1">
      <c r="A8" s="92"/>
      <c r="B8" s="92"/>
      <c r="C8" s="92"/>
      <c r="D8" s="92"/>
      <c r="E8" s="92"/>
      <c r="F8" s="92"/>
      <c r="G8" s="92"/>
      <c r="H8" s="92"/>
      <c r="I8" s="92"/>
      <c r="J8" s="92"/>
      <c r="K8" s="92"/>
      <c r="L8" s="92"/>
      <c r="M8" s="92"/>
      <c r="N8" s="92"/>
      <c r="O8" s="92"/>
      <c r="P8" s="92"/>
      <c r="Q8" s="92"/>
      <c r="R8" s="92"/>
      <c r="S8" s="92"/>
      <c r="T8" s="92"/>
      <c r="U8" s="92"/>
      <c r="V8" s="92"/>
      <c r="W8" s="92"/>
      <c r="X8" s="92"/>
      <c r="Y8" s="92"/>
    </row>
    <row r="9" spans="1:26" ht="14.25" customHeight="1">
      <c r="A9" s="4"/>
      <c r="B9" s="4"/>
      <c r="C9" s="4"/>
      <c r="D9" s="4"/>
      <c r="E9" s="4"/>
      <c r="F9" s="4"/>
      <c r="G9" s="4"/>
      <c r="H9" s="4"/>
      <c r="I9" s="4"/>
      <c r="J9" s="4"/>
      <c r="K9" s="4"/>
      <c r="L9" s="4"/>
      <c r="M9" s="4"/>
      <c r="N9" s="4"/>
      <c r="O9" s="4"/>
      <c r="P9" s="4"/>
      <c r="Q9" s="4"/>
      <c r="R9" s="4"/>
      <c r="S9" s="4"/>
      <c r="T9" s="4"/>
      <c r="U9" s="4"/>
      <c r="V9" s="4"/>
      <c r="W9" s="4"/>
      <c r="X9" s="4"/>
      <c r="Y9" s="4"/>
    </row>
    <row r="10" spans="1:26" ht="14.25" customHeight="1">
      <c r="A10" s="74" t="s">
        <v>90</v>
      </c>
      <c r="B10" s="4"/>
      <c r="C10" s="4"/>
      <c r="D10" s="4"/>
      <c r="E10" s="4"/>
      <c r="F10" s="4"/>
      <c r="G10" s="4"/>
      <c r="H10" s="4"/>
      <c r="I10" s="4"/>
      <c r="J10" s="4"/>
      <c r="K10" s="4"/>
      <c r="L10" s="4"/>
      <c r="M10" s="4"/>
      <c r="N10" s="4"/>
      <c r="O10" s="4"/>
      <c r="P10" s="4"/>
      <c r="Q10" s="4"/>
      <c r="R10" s="4"/>
      <c r="S10" s="4"/>
      <c r="T10" s="4"/>
      <c r="U10" s="4"/>
      <c r="V10" s="4"/>
      <c r="W10" s="4"/>
      <c r="X10" s="4"/>
      <c r="Y10" s="4"/>
    </row>
    <row r="11" spans="1:26" ht="14.25" customHeight="1">
      <c r="A11" s="74"/>
      <c r="B11" s="4"/>
      <c r="C11" s="4"/>
      <c r="D11" s="4"/>
      <c r="E11" s="4"/>
      <c r="F11" s="4"/>
      <c r="G11" s="4"/>
      <c r="H11" s="4"/>
      <c r="I11" s="4"/>
      <c r="J11" s="4"/>
      <c r="K11" s="4"/>
      <c r="L11" s="4"/>
      <c r="M11" s="4"/>
      <c r="N11" s="4"/>
      <c r="O11" s="4"/>
      <c r="P11" s="4"/>
      <c r="Q11" s="4"/>
      <c r="R11" s="4"/>
      <c r="S11" s="4"/>
      <c r="T11" s="4"/>
      <c r="U11" s="4"/>
      <c r="V11" s="4"/>
      <c r="W11" s="4"/>
      <c r="X11" s="4"/>
      <c r="Y11" s="4"/>
      <c r="Z11" s="4"/>
    </row>
    <row r="12" spans="1:26" ht="14.25" customHeight="1">
      <c r="A12" s="266" t="s">
        <v>91</v>
      </c>
      <c r="B12" s="265"/>
      <c r="C12" s="265"/>
      <c r="D12" s="77" t="s">
        <v>92</v>
      </c>
      <c r="E12" s="4"/>
      <c r="F12" s="4"/>
      <c r="G12" s="4"/>
      <c r="H12" s="4"/>
      <c r="I12" s="4"/>
      <c r="J12" s="4"/>
      <c r="K12" s="4"/>
      <c r="L12" s="4"/>
      <c r="M12" s="4"/>
      <c r="N12" s="4"/>
      <c r="O12" s="4"/>
      <c r="P12" s="4"/>
      <c r="Q12" s="4"/>
      <c r="R12" s="4"/>
      <c r="S12" s="4"/>
      <c r="T12" s="4"/>
      <c r="U12" s="4"/>
      <c r="V12" s="4"/>
      <c r="W12" s="4"/>
      <c r="X12" s="4"/>
      <c r="Y12" s="4"/>
    </row>
    <row r="13" spans="1:26" ht="27.75" customHeight="1">
      <c r="A13" s="264" t="s">
        <v>93</v>
      </c>
      <c r="B13" s="265"/>
      <c r="C13" s="265"/>
      <c r="D13" s="265"/>
      <c r="E13" s="265"/>
      <c r="F13" s="265"/>
      <c r="G13" s="4"/>
      <c r="H13" s="4"/>
      <c r="I13" s="4"/>
      <c r="J13" s="4"/>
      <c r="K13" s="4"/>
      <c r="L13" s="4"/>
      <c r="M13" s="4"/>
      <c r="N13" s="4"/>
      <c r="O13" s="4"/>
      <c r="P13" s="4"/>
      <c r="Q13" s="4"/>
      <c r="R13" s="4"/>
      <c r="S13" s="4"/>
      <c r="T13" s="4"/>
      <c r="U13" s="4"/>
      <c r="V13" s="4"/>
      <c r="W13" s="4"/>
      <c r="X13" s="4"/>
      <c r="Y13" s="4"/>
    </row>
    <row r="14" spans="1:26" ht="14.25" customHeight="1">
      <c r="A14" s="266" t="s">
        <v>94</v>
      </c>
      <c r="B14" s="265"/>
      <c r="C14" s="265"/>
      <c r="D14" s="4"/>
      <c r="E14" s="4"/>
      <c r="F14" s="4"/>
      <c r="G14" s="4"/>
      <c r="H14" s="4"/>
      <c r="I14" s="4"/>
      <c r="J14" s="4"/>
      <c r="K14" s="4"/>
      <c r="L14" s="4"/>
      <c r="M14" s="4"/>
      <c r="N14" s="4"/>
      <c r="O14" s="4"/>
      <c r="P14" s="4"/>
      <c r="Q14" s="4"/>
      <c r="R14" s="4"/>
      <c r="S14" s="4"/>
      <c r="T14" s="4"/>
      <c r="U14" s="4"/>
      <c r="V14" s="4"/>
      <c r="W14" s="4"/>
      <c r="X14" s="4"/>
      <c r="Y14" s="4"/>
    </row>
    <row r="15" spans="1:26" ht="14.25" customHeight="1">
      <c r="A15" s="4"/>
      <c r="B15" s="4"/>
      <c r="C15" s="4"/>
      <c r="D15" s="4"/>
      <c r="E15" s="93"/>
      <c r="F15" s="4"/>
      <c r="G15" s="4"/>
      <c r="H15" s="4"/>
      <c r="I15" s="4"/>
      <c r="J15" s="4"/>
      <c r="K15" s="4"/>
      <c r="L15" s="4"/>
      <c r="M15" s="4"/>
      <c r="N15" s="4"/>
      <c r="O15" s="4"/>
      <c r="P15" s="4"/>
      <c r="Q15" s="4"/>
      <c r="R15" s="4"/>
      <c r="S15" s="4"/>
      <c r="T15" s="4"/>
      <c r="U15" s="4"/>
      <c r="V15" s="4"/>
      <c r="W15" s="4"/>
      <c r="X15" s="4"/>
      <c r="Y15" s="4"/>
    </row>
    <row r="16" spans="1:26" ht="14.25" customHeight="1">
      <c r="A16" s="94"/>
      <c r="B16" s="95" t="s">
        <v>95</v>
      </c>
      <c r="C16" s="96" t="s">
        <v>96</v>
      </c>
      <c r="D16" s="4"/>
      <c r="E16" s="4"/>
      <c r="F16" s="4"/>
      <c r="G16" s="4"/>
      <c r="H16" s="4"/>
      <c r="I16" s="4"/>
      <c r="J16" s="4"/>
      <c r="K16" s="4"/>
      <c r="L16" s="4"/>
      <c r="M16" s="4"/>
      <c r="N16" s="4"/>
      <c r="O16" s="4"/>
      <c r="P16" s="4"/>
      <c r="Q16" s="4"/>
      <c r="R16" s="4"/>
      <c r="S16" s="4"/>
      <c r="T16" s="4"/>
      <c r="U16" s="4"/>
      <c r="V16" s="4"/>
      <c r="W16" s="4"/>
      <c r="X16" s="4"/>
      <c r="Y16" s="4"/>
    </row>
    <row r="17" spans="1:25" ht="14.25" customHeight="1">
      <c r="A17" s="98" t="s">
        <v>97</v>
      </c>
      <c r="B17" s="99">
        <v>1.2</v>
      </c>
      <c r="C17" s="100">
        <f t="shared" ref="C17:C22" si="0">100*(B17/$B$22)</f>
        <v>5.4298642533936645</v>
      </c>
      <c r="D17" s="4"/>
      <c r="E17" s="4"/>
      <c r="F17" s="4"/>
      <c r="G17" s="4"/>
      <c r="H17" s="4"/>
      <c r="I17" s="4"/>
      <c r="J17" s="4"/>
      <c r="K17" s="4"/>
      <c r="L17" s="4"/>
      <c r="M17" s="4"/>
      <c r="N17" s="4"/>
      <c r="O17" s="4"/>
      <c r="P17" s="4"/>
      <c r="Q17" s="4"/>
      <c r="R17" s="4"/>
      <c r="S17" s="4"/>
      <c r="T17" s="4"/>
      <c r="U17" s="4"/>
      <c r="V17" s="4"/>
      <c r="W17" s="4"/>
      <c r="X17" s="4"/>
      <c r="Y17" s="4"/>
    </row>
    <row r="18" spans="1:25" ht="14.25" customHeight="1">
      <c r="A18" s="102" t="s">
        <v>98</v>
      </c>
      <c r="B18" s="99">
        <v>2.1</v>
      </c>
      <c r="C18" s="100">
        <f t="shared" si="0"/>
        <v>9.502262443438914</v>
      </c>
      <c r="D18" s="4"/>
      <c r="E18" s="4"/>
      <c r="F18" s="4"/>
      <c r="G18" s="4"/>
      <c r="H18" s="4"/>
      <c r="I18" s="4"/>
      <c r="J18" s="4"/>
      <c r="K18" s="4"/>
      <c r="L18" s="4"/>
      <c r="M18" s="4"/>
      <c r="N18" s="4"/>
      <c r="O18" s="4"/>
      <c r="P18" s="4"/>
      <c r="Q18" s="4"/>
      <c r="R18" s="4"/>
      <c r="S18" s="4"/>
      <c r="T18" s="4"/>
      <c r="U18" s="4"/>
      <c r="V18" s="4"/>
      <c r="W18" s="4"/>
      <c r="X18" s="4"/>
      <c r="Y18" s="4"/>
    </row>
    <row r="19" spans="1:25" ht="14.25" customHeight="1">
      <c r="A19" s="102" t="s">
        <v>99</v>
      </c>
      <c r="B19" s="99">
        <v>2.2000000000000002</v>
      </c>
      <c r="C19" s="100">
        <f t="shared" si="0"/>
        <v>9.9547511312217196</v>
      </c>
      <c r="D19" s="4"/>
      <c r="E19" s="4"/>
      <c r="F19" s="4"/>
      <c r="G19" s="4"/>
      <c r="H19" s="4"/>
      <c r="I19" s="4"/>
      <c r="J19" s="4"/>
      <c r="K19" s="4"/>
      <c r="L19" s="4"/>
      <c r="M19" s="4"/>
      <c r="N19" s="4"/>
      <c r="O19" s="4"/>
      <c r="P19" s="4"/>
      <c r="Q19" s="4"/>
      <c r="R19" s="4"/>
      <c r="S19" s="4"/>
      <c r="T19" s="4"/>
      <c r="U19" s="4"/>
      <c r="V19" s="4"/>
      <c r="W19" s="4"/>
      <c r="X19" s="4"/>
      <c r="Y19" s="4"/>
    </row>
    <row r="20" spans="1:25" ht="14.25" customHeight="1">
      <c r="A20" s="102" t="s">
        <v>100</v>
      </c>
      <c r="B20" s="99">
        <v>0</v>
      </c>
      <c r="C20" s="100">
        <f t="shared" si="0"/>
        <v>0</v>
      </c>
      <c r="D20" s="4"/>
      <c r="E20" s="4"/>
      <c r="F20" s="4"/>
      <c r="G20" s="4"/>
      <c r="H20" s="4"/>
      <c r="I20" s="4"/>
      <c r="J20" s="4"/>
      <c r="K20" s="4"/>
      <c r="L20" s="4"/>
      <c r="M20" s="4"/>
      <c r="N20" s="4"/>
      <c r="O20" s="4"/>
      <c r="P20" s="4"/>
      <c r="Q20" s="4"/>
      <c r="R20" s="4"/>
      <c r="S20" s="4"/>
      <c r="T20" s="4"/>
      <c r="U20" s="4"/>
      <c r="V20" s="4"/>
      <c r="W20" s="4"/>
      <c r="X20" s="4"/>
      <c r="Y20" s="4"/>
    </row>
    <row r="21" spans="1:25" ht="14.25" customHeight="1">
      <c r="A21" s="102" t="s">
        <v>101</v>
      </c>
      <c r="B21" s="99">
        <v>16</v>
      </c>
      <c r="C21" s="100">
        <f t="shared" si="0"/>
        <v>72.398190045248867</v>
      </c>
      <c r="D21" s="4"/>
      <c r="E21" s="4"/>
      <c r="F21" s="4"/>
      <c r="G21" s="4"/>
      <c r="H21" s="4"/>
      <c r="I21" s="4"/>
      <c r="J21" s="4"/>
      <c r="K21" s="4"/>
      <c r="L21" s="4"/>
      <c r="M21" s="4"/>
      <c r="N21" s="4"/>
      <c r="O21" s="4"/>
      <c r="P21" s="4"/>
      <c r="Q21" s="4"/>
      <c r="R21" s="4"/>
      <c r="S21" s="4"/>
      <c r="T21" s="4"/>
      <c r="U21" s="4"/>
      <c r="V21" s="4"/>
      <c r="W21" s="4"/>
      <c r="X21" s="4"/>
      <c r="Y21" s="4"/>
    </row>
    <row r="22" spans="1:25" ht="14.25" customHeight="1">
      <c r="A22" s="103" t="s">
        <v>102</v>
      </c>
      <c r="B22" s="104">
        <v>22.1</v>
      </c>
      <c r="C22" s="105">
        <f t="shared" si="0"/>
        <v>100</v>
      </c>
      <c r="D22" s="4"/>
      <c r="E22" s="4"/>
      <c r="F22" s="4"/>
      <c r="G22" s="4"/>
      <c r="H22" s="4"/>
      <c r="I22" s="4"/>
      <c r="J22" s="4"/>
      <c r="K22" s="4"/>
      <c r="L22" s="4"/>
      <c r="M22" s="4"/>
      <c r="N22" s="4"/>
      <c r="O22" s="4"/>
      <c r="P22" s="4"/>
      <c r="Q22" s="4"/>
      <c r="R22" s="4"/>
      <c r="S22" s="4"/>
      <c r="T22" s="4"/>
      <c r="U22" s="4"/>
      <c r="V22" s="4"/>
      <c r="W22" s="4"/>
      <c r="X22" s="4"/>
      <c r="Y22" s="4"/>
    </row>
    <row r="23" spans="1:25" ht="14.25" customHeight="1">
      <c r="A23" s="4"/>
      <c r="B23" s="4"/>
      <c r="C23" s="4"/>
      <c r="D23" s="4"/>
      <c r="E23" s="4"/>
      <c r="F23" s="4"/>
      <c r="G23" s="4"/>
      <c r="H23" s="4"/>
      <c r="I23" s="4"/>
      <c r="J23" s="4"/>
      <c r="K23" s="4"/>
      <c r="L23" s="4"/>
      <c r="M23" s="4"/>
      <c r="N23" s="4"/>
      <c r="O23" s="4"/>
      <c r="P23" s="4"/>
      <c r="Q23" s="4"/>
      <c r="R23" s="4"/>
      <c r="S23" s="4"/>
      <c r="T23" s="4"/>
      <c r="U23" s="4"/>
      <c r="V23" s="4"/>
      <c r="W23" s="4"/>
      <c r="X23" s="4"/>
      <c r="Y23" s="4"/>
    </row>
    <row r="24" spans="1:25" ht="14.25" customHeight="1">
      <c r="A24" s="4"/>
      <c r="B24" s="4"/>
      <c r="C24" s="4"/>
      <c r="D24" s="4"/>
      <c r="E24" s="4"/>
      <c r="F24" s="4"/>
      <c r="G24" s="4"/>
      <c r="H24" s="4"/>
      <c r="I24" s="4"/>
      <c r="J24" s="4"/>
      <c r="K24" s="4"/>
      <c r="L24" s="4"/>
      <c r="M24" s="4"/>
      <c r="N24" s="4"/>
      <c r="O24" s="4"/>
      <c r="P24" s="4"/>
      <c r="Q24" s="4"/>
      <c r="R24" s="4"/>
      <c r="S24" s="4"/>
      <c r="T24" s="4"/>
      <c r="U24" s="4"/>
      <c r="V24" s="4"/>
      <c r="W24" s="4"/>
      <c r="X24" s="4"/>
      <c r="Y24" s="4"/>
    </row>
    <row r="25" spans="1:25" ht="14.25" customHeight="1">
      <c r="A25" s="4"/>
      <c r="B25" s="4"/>
      <c r="C25" s="4"/>
      <c r="D25" s="4"/>
      <c r="E25" s="4"/>
      <c r="F25" s="4"/>
      <c r="G25" s="4"/>
      <c r="H25" s="4"/>
      <c r="I25" s="4"/>
      <c r="J25" s="4"/>
      <c r="K25" s="4"/>
      <c r="L25" s="4"/>
      <c r="M25" s="4"/>
      <c r="N25" s="4"/>
      <c r="O25" s="4"/>
      <c r="P25" s="4"/>
      <c r="Q25" s="4"/>
      <c r="R25" s="4"/>
      <c r="S25" s="4"/>
      <c r="T25" s="4"/>
      <c r="U25" s="4"/>
      <c r="V25" s="4"/>
      <c r="W25" s="4"/>
      <c r="X25" s="4"/>
      <c r="Y25" s="4"/>
    </row>
    <row r="26" spans="1:25" ht="14.25" customHeight="1">
      <c r="A26" s="4"/>
      <c r="B26" s="4"/>
      <c r="C26" s="4"/>
      <c r="D26" s="4"/>
      <c r="E26" s="4"/>
      <c r="F26" s="4"/>
      <c r="G26" s="4"/>
      <c r="H26" s="4"/>
      <c r="I26" s="4"/>
      <c r="J26" s="4"/>
      <c r="K26" s="4"/>
      <c r="L26" s="4"/>
      <c r="M26" s="4"/>
      <c r="N26" s="4"/>
      <c r="O26" s="4"/>
      <c r="P26" s="4"/>
      <c r="Q26" s="4"/>
      <c r="R26" s="4"/>
      <c r="S26" s="4"/>
      <c r="T26" s="4"/>
      <c r="U26" s="4"/>
      <c r="V26" s="4"/>
      <c r="W26" s="4"/>
      <c r="X26" s="4"/>
      <c r="Y26" s="4"/>
    </row>
    <row r="27" spans="1:25" ht="14.25" customHeight="1">
      <c r="A27" s="4"/>
      <c r="B27" s="4"/>
      <c r="C27" s="4"/>
      <c r="D27" s="4"/>
      <c r="E27" s="4"/>
      <c r="F27" s="4"/>
      <c r="G27" s="4"/>
      <c r="H27" s="4"/>
      <c r="I27" s="4"/>
      <c r="J27" s="4"/>
      <c r="K27" s="4"/>
      <c r="L27" s="4"/>
      <c r="M27" s="4"/>
      <c r="N27" s="4"/>
      <c r="O27" s="4"/>
      <c r="P27" s="4"/>
      <c r="Q27" s="4"/>
      <c r="R27" s="4"/>
      <c r="S27" s="4"/>
      <c r="T27" s="4"/>
      <c r="U27" s="4"/>
      <c r="V27" s="4"/>
      <c r="W27" s="4"/>
      <c r="X27" s="4"/>
      <c r="Y27" s="4"/>
    </row>
    <row r="28" spans="1:25" ht="14.25" customHeight="1">
      <c r="A28" s="4"/>
      <c r="B28" s="4"/>
      <c r="C28" s="4"/>
      <c r="D28" s="4"/>
      <c r="E28" s="4"/>
      <c r="F28" s="4"/>
      <c r="G28" s="4"/>
      <c r="H28" s="4"/>
      <c r="I28" s="4"/>
      <c r="J28" s="4"/>
      <c r="K28" s="4"/>
      <c r="L28" s="4"/>
      <c r="M28" s="4"/>
      <c r="N28" s="4"/>
      <c r="O28" s="4"/>
      <c r="P28" s="4"/>
      <c r="Q28" s="4"/>
      <c r="R28" s="4"/>
      <c r="S28" s="4"/>
      <c r="T28" s="4"/>
      <c r="U28" s="4"/>
      <c r="V28" s="4"/>
      <c r="W28" s="4"/>
      <c r="X28" s="4"/>
      <c r="Y28" s="4"/>
    </row>
    <row r="29" spans="1:25" ht="14.25" customHeight="1">
      <c r="A29" s="4"/>
      <c r="B29" s="4"/>
      <c r="C29" s="4"/>
      <c r="D29" s="4"/>
      <c r="E29" s="4"/>
      <c r="F29" s="4"/>
      <c r="G29" s="4"/>
      <c r="H29" s="4"/>
      <c r="I29" s="4"/>
      <c r="J29" s="4"/>
      <c r="K29" s="4"/>
      <c r="L29" s="4"/>
      <c r="M29" s="4"/>
      <c r="N29" s="4"/>
      <c r="O29" s="4"/>
      <c r="P29" s="4"/>
      <c r="Q29" s="4"/>
      <c r="R29" s="4"/>
      <c r="S29" s="4"/>
      <c r="T29" s="4"/>
      <c r="U29" s="4"/>
      <c r="V29" s="4"/>
      <c r="W29" s="4"/>
      <c r="X29" s="4"/>
      <c r="Y29" s="4"/>
    </row>
    <row r="30" spans="1:25" ht="14.25" customHeight="1">
      <c r="A30" s="4"/>
      <c r="B30" s="4"/>
      <c r="C30" s="4"/>
      <c r="D30" s="4"/>
      <c r="E30" s="4"/>
      <c r="F30" s="4"/>
      <c r="G30" s="4"/>
      <c r="H30" s="4"/>
      <c r="I30" s="4"/>
      <c r="J30" s="4"/>
      <c r="K30" s="4"/>
      <c r="L30" s="4"/>
      <c r="M30" s="4"/>
      <c r="N30" s="4"/>
      <c r="O30" s="4"/>
      <c r="P30" s="4"/>
      <c r="Q30" s="4"/>
      <c r="R30" s="4"/>
      <c r="S30" s="4"/>
      <c r="T30" s="4"/>
      <c r="U30" s="4"/>
      <c r="V30" s="4"/>
      <c r="W30" s="4"/>
      <c r="X30" s="4"/>
      <c r="Y30" s="4"/>
    </row>
    <row r="31" spans="1:25" ht="14.2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4.2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4.2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4.2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4.2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4.2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4.2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4.2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4.2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4.2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4.2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4.2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4.2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4.2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4.2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4.2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4.2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4.2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4.2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4.2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4.2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4.2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4.2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4.2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4.2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4.2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4.2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4.2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4.2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4.2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4.2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4.2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4.2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4.2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4.2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4.2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4.2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4.2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4.2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4.2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4.2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4.2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4.2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4.2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4.2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4.2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4.2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4.2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4.2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4.2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4.2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4.2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4.2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4.2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4.2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4.2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4.2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4.2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4.2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4.2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4.2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4.2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4.2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4.2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4.2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4.2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4.2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4.2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4.2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3:F13"/>
    <mergeCell ref="A12:C12"/>
    <mergeCell ref="A14:C1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999"/>
  <sheetViews>
    <sheetView topLeftCell="A35" workbookViewId="0">
      <selection activeCell="E53" sqref="E53"/>
    </sheetView>
  </sheetViews>
  <sheetFormatPr defaultColWidth="14.453125" defaultRowHeight="15" customHeight="1"/>
  <cols>
    <col min="1" max="1" width="82.453125" customWidth="1"/>
    <col min="2" max="2" width="12.453125" customWidth="1"/>
    <col min="3" max="3" width="18.453125" customWidth="1"/>
    <col min="4" max="4" width="9.453125" customWidth="1"/>
    <col min="5" max="5" width="15.453125" customWidth="1"/>
    <col min="6" max="6" width="255.453125" customWidth="1"/>
    <col min="7" max="7" width="206" customWidth="1"/>
    <col min="8" max="26" width="8.453125" customWidth="1"/>
  </cols>
  <sheetData>
    <row r="1" spans="1:26" ht="14.25" customHeight="1">
      <c r="A1" s="109" t="s">
        <v>111</v>
      </c>
      <c r="B1" s="109" t="s">
        <v>112</v>
      </c>
      <c r="C1" s="110" t="s">
        <v>113</v>
      </c>
      <c r="D1" s="109" t="s">
        <v>114</v>
      </c>
      <c r="E1" s="111" t="s">
        <v>115</v>
      </c>
      <c r="F1" s="109" t="s">
        <v>116</v>
      </c>
      <c r="G1" s="109" t="s">
        <v>117</v>
      </c>
      <c r="H1" s="109"/>
      <c r="I1" s="109"/>
      <c r="J1" s="109"/>
      <c r="K1" s="109"/>
      <c r="L1" s="109"/>
      <c r="M1" s="109"/>
      <c r="N1" s="109"/>
      <c r="O1" s="109"/>
      <c r="P1" s="109"/>
      <c r="Q1" s="109"/>
      <c r="R1" s="109"/>
      <c r="S1" s="109"/>
      <c r="T1" s="109"/>
      <c r="U1" s="109"/>
      <c r="V1" s="109"/>
      <c r="W1" s="109"/>
      <c r="X1" s="109"/>
      <c r="Y1" s="109"/>
      <c r="Z1" s="109"/>
    </row>
    <row r="2" spans="1:26" ht="14.25" customHeight="1">
      <c r="A2" s="4" t="s">
        <v>118</v>
      </c>
      <c r="B2" s="4" t="s">
        <v>119</v>
      </c>
      <c r="C2" s="112">
        <v>0.1</v>
      </c>
      <c r="D2" s="4"/>
      <c r="E2" s="15"/>
      <c r="F2" s="4" t="s">
        <v>120</v>
      </c>
      <c r="G2" s="4"/>
      <c r="H2" s="4"/>
      <c r="I2" s="4"/>
      <c r="J2" s="4"/>
      <c r="K2" s="4"/>
      <c r="L2" s="4"/>
      <c r="M2" s="4"/>
      <c r="N2" s="4"/>
      <c r="O2" s="4"/>
      <c r="P2" s="4"/>
      <c r="Q2" s="4"/>
      <c r="R2" s="4"/>
      <c r="S2" s="4"/>
      <c r="T2" s="4"/>
      <c r="U2" s="4"/>
      <c r="V2" s="4"/>
      <c r="W2" s="4"/>
      <c r="X2" s="4"/>
      <c r="Y2" s="4"/>
      <c r="Z2" s="4"/>
    </row>
    <row r="3" spans="1:26" ht="14.25" customHeight="1">
      <c r="A3" s="4"/>
      <c r="B3" s="4"/>
      <c r="C3" s="112"/>
      <c r="D3" s="4"/>
      <c r="E3" s="15"/>
      <c r="F3" s="4"/>
      <c r="G3" s="4"/>
      <c r="H3" s="4"/>
      <c r="I3" s="4"/>
      <c r="J3" s="4"/>
      <c r="K3" s="4"/>
      <c r="L3" s="4"/>
      <c r="M3" s="4"/>
      <c r="N3" s="4"/>
      <c r="O3" s="4"/>
      <c r="P3" s="4"/>
      <c r="Q3" s="4"/>
      <c r="R3" s="4"/>
      <c r="S3" s="4"/>
      <c r="T3" s="4"/>
      <c r="U3" s="4"/>
      <c r="V3" s="4"/>
      <c r="W3" s="4"/>
      <c r="X3" s="4"/>
      <c r="Y3" s="4"/>
      <c r="Z3" s="4"/>
    </row>
    <row r="4" spans="1:26" ht="14.25" customHeight="1">
      <c r="A4" s="99" t="s">
        <v>121</v>
      </c>
      <c r="B4" s="99" t="s">
        <v>122</v>
      </c>
      <c r="C4" s="112">
        <v>1.4999999999999999E-2</v>
      </c>
      <c r="D4" s="4" t="s">
        <v>123</v>
      </c>
      <c r="E4" s="15"/>
      <c r="F4" s="40" t="s">
        <v>124</v>
      </c>
      <c r="G4" s="99"/>
      <c r="H4" s="99"/>
      <c r="I4" s="99"/>
      <c r="J4" s="99"/>
      <c r="K4" s="99"/>
      <c r="L4" s="99"/>
      <c r="M4" s="99"/>
      <c r="N4" s="99"/>
      <c r="O4" s="99"/>
      <c r="P4" s="99"/>
      <c r="Q4" s="99"/>
      <c r="R4" s="99"/>
      <c r="S4" s="99"/>
      <c r="T4" s="99"/>
      <c r="U4" s="99"/>
      <c r="V4" s="99"/>
      <c r="W4" s="99"/>
      <c r="X4" s="99"/>
      <c r="Y4" s="99"/>
      <c r="Z4" s="99"/>
    </row>
    <row r="5" spans="1:26" ht="14.25" customHeight="1">
      <c r="A5" s="4" t="s">
        <v>126</v>
      </c>
      <c r="B5" s="4" t="s">
        <v>122</v>
      </c>
      <c r="C5" s="112">
        <v>10000000</v>
      </c>
      <c r="D5" s="4"/>
      <c r="E5" s="15"/>
      <c r="F5" s="4" t="s">
        <v>127</v>
      </c>
      <c r="G5" s="4"/>
      <c r="H5" s="4"/>
      <c r="I5" s="4"/>
      <c r="J5" s="4"/>
      <c r="K5" s="4"/>
      <c r="L5" s="4"/>
      <c r="M5" s="4"/>
      <c r="N5" s="4"/>
      <c r="O5" s="4"/>
      <c r="P5" s="4"/>
      <c r="Q5" s="4"/>
      <c r="R5" s="4"/>
      <c r="S5" s="4"/>
      <c r="T5" s="4"/>
      <c r="U5" s="4"/>
      <c r="V5" s="4"/>
      <c r="W5" s="4"/>
      <c r="X5" s="4"/>
      <c r="Y5" s="4"/>
      <c r="Z5" s="4"/>
    </row>
    <row r="6" spans="1:26" ht="14.25" customHeight="1">
      <c r="A6" s="4" t="s">
        <v>128</v>
      </c>
      <c r="B6" s="4" t="s">
        <v>122</v>
      </c>
      <c r="C6" s="112">
        <v>100000</v>
      </c>
      <c r="D6" s="4"/>
      <c r="E6" s="15"/>
      <c r="F6" s="4" t="s">
        <v>127</v>
      </c>
      <c r="G6" s="4"/>
      <c r="H6" s="4"/>
      <c r="I6" s="4"/>
      <c r="J6" s="4"/>
      <c r="K6" s="4"/>
      <c r="L6" s="4"/>
      <c r="M6" s="4"/>
      <c r="N6" s="4"/>
      <c r="O6" s="4"/>
      <c r="P6" s="4"/>
      <c r="Q6" s="4"/>
      <c r="R6" s="4"/>
      <c r="S6" s="4"/>
      <c r="T6" s="4"/>
      <c r="U6" s="4"/>
      <c r="V6" s="4"/>
      <c r="W6" s="4"/>
      <c r="X6" s="4"/>
      <c r="Y6" s="4"/>
      <c r="Z6" s="4"/>
    </row>
    <row r="7" spans="1:26" ht="14.25" customHeight="1">
      <c r="A7" s="4" t="s">
        <v>129</v>
      </c>
      <c r="B7" s="4" t="s">
        <v>122</v>
      </c>
      <c r="C7" s="112">
        <v>50000</v>
      </c>
      <c r="D7" s="4"/>
      <c r="E7" s="15"/>
      <c r="F7" s="4" t="s">
        <v>127</v>
      </c>
      <c r="G7" s="4"/>
      <c r="H7" s="4"/>
      <c r="I7" s="4"/>
      <c r="J7" s="4"/>
      <c r="K7" s="4"/>
      <c r="L7" s="4"/>
      <c r="M7" s="4"/>
      <c r="N7" s="4"/>
      <c r="O7" s="4"/>
      <c r="P7" s="4"/>
      <c r="Q7" s="4"/>
      <c r="R7" s="4"/>
      <c r="S7" s="4"/>
      <c r="T7" s="4"/>
      <c r="U7" s="4"/>
      <c r="V7" s="4"/>
      <c r="W7" s="4"/>
      <c r="X7" s="4"/>
      <c r="Y7" s="4"/>
      <c r="Z7" s="4"/>
    </row>
    <row r="8" spans="1:26" ht="14.25" customHeight="1">
      <c r="A8" s="4" t="s">
        <v>130</v>
      </c>
      <c r="B8" s="4" t="s">
        <v>122</v>
      </c>
      <c r="C8" s="113">
        <v>-1.7000000000000001E-2</v>
      </c>
      <c r="D8" s="4" t="s">
        <v>131</v>
      </c>
      <c r="E8" s="15"/>
      <c r="F8" s="40" t="s">
        <v>132</v>
      </c>
      <c r="G8" s="4" t="s">
        <v>133</v>
      </c>
      <c r="H8" s="4"/>
      <c r="I8" s="4"/>
      <c r="J8" s="4"/>
      <c r="K8" s="4"/>
      <c r="L8" s="4"/>
      <c r="M8" s="4"/>
      <c r="N8" s="4"/>
      <c r="O8" s="4"/>
      <c r="P8" s="4"/>
      <c r="Q8" s="4"/>
      <c r="R8" s="4"/>
      <c r="S8" s="4"/>
      <c r="T8" s="4"/>
      <c r="U8" s="4"/>
      <c r="V8" s="4"/>
      <c r="W8" s="4"/>
      <c r="X8" s="4"/>
      <c r="Y8" s="4"/>
      <c r="Z8" s="4"/>
    </row>
    <row r="9" spans="1:26" ht="14.25" customHeight="1">
      <c r="A9" s="4" t="s">
        <v>134</v>
      </c>
      <c r="B9" s="4" t="s">
        <v>122</v>
      </c>
      <c r="C9" s="113">
        <v>3.3000000000000002E-2</v>
      </c>
      <c r="D9" s="4" t="s">
        <v>131</v>
      </c>
      <c r="E9" s="15"/>
      <c r="F9" s="40" t="s">
        <v>132</v>
      </c>
      <c r="G9" s="4"/>
      <c r="H9" s="4"/>
      <c r="I9" s="4"/>
      <c r="J9" s="4"/>
      <c r="K9" s="4"/>
      <c r="L9" s="4"/>
      <c r="M9" s="4"/>
      <c r="N9" s="4"/>
      <c r="O9" s="4"/>
      <c r="P9" s="4"/>
      <c r="Q9" s="4"/>
      <c r="R9" s="4"/>
      <c r="S9" s="4"/>
      <c r="T9" s="4"/>
      <c r="U9" s="4"/>
      <c r="V9" s="4"/>
      <c r="W9" s="4"/>
      <c r="X9" s="4"/>
      <c r="Y9" s="4"/>
      <c r="Z9" s="4"/>
    </row>
    <row r="10" spans="1:26" ht="14.25" customHeight="1">
      <c r="A10" s="4" t="s">
        <v>135</v>
      </c>
      <c r="B10" s="4" t="s">
        <v>122</v>
      </c>
      <c r="C10" s="112">
        <v>1.02</v>
      </c>
      <c r="D10" s="4"/>
      <c r="E10" s="15"/>
      <c r="F10" s="4" t="s">
        <v>136</v>
      </c>
      <c r="G10" s="4"/>
      <c r="H10" s="4"/>
      <c r="I10" s="4"/>
      <c r="J10" s="4"/>
      <c r="K10" s="4"/>
      <c r="L10" s="4"/>
      <c r="M10" s="4"/>
      <c r="N10" s="4"/>
      <c r="O10" s="4"/>
      <c r="P10" s="4"/>
      <c r="Q10" s="4"/>
      <c r="R10" s="4"/>
      <c r="S10" s="4"/>
      <c r="T10" s="4"/>
      <c r="U10" s="4"/>
      <c r="V10" s="4"/>
      <c r="W10" s="4"/>
      <c r="X10" s="4"/>
      <c r="Y10" s="4"/>
      <c r="Z10" s="4"/>
    </row>
    <row r="11" spans="1:26" ht="14.25" customHeight="1">
      <c r="A11" s="4" t="s">
        <v>137</v>
      </c>
      <c r="B11" s="4" t="s">
        <v>122</v>
      </c>
      <c r="C11" s="112">
        <v>1.08</v>
      </c>
      <c r="D11" s="4"/>
      <c r="E11" s="15"/>
      <c r="F11" s="4" t="s">
        <v>136</v>
      </c>
      <c r="G11" s="4"/>
      <c r="H11" s="4"/>
      <c r="I11" s="4"/>
      <c r="J11" s="4"/>
      <c r="K11" s="4"/>
      <c r="L11" s="4"/>
      <c r="M11" s="4"/>
      <c r="N11" s="4"/>
      <c r="O11" s="4"/>
      <c r="P11" s="4"/>
      <c r="Q11" s="4"/>
      <c r="R11" s="4"/>
      <c r="S11" s="4"/>
      <c r="T11" s="4"/>
      <c r="U11" s="4"/>
      <c r="V11" s="4"/>
      <c r="W11" s="4"/>
      <c r="X11" s="4"/>
      <c r="Y11" s="4"/>
      <c r="Z11" s="4"/>
    </row>
    <row r="12" spans="1:26" ht="14.25" customHeight="1">
      <c r="A12" s="99" t="s">
        <v>138</v>
      </c>
      <c r="B12" s="99" t="s">
        <v>122</v>
      </c>
      <c r="C12" s="114">
        <v>1.08</v>
      </c>
      <c r="D12" s="99"/>
      <c r="E12" s="115"/>
      <c r="F12" s="99"/>
      <c r="G12" s="99"/>
      <c r="H12" s="99"/>
      <c r="I12" s="99"/>
      <c r="J12" s="99"/>
      <c r="K12" s="99"/>
      <c r="L12" s="99"/>
      <c r="M12" s="99"/>
      <c r="N12" s="99"/>
      <c r="O12" s="99"/>
      <c r="P12" s="99"/>
      <c r="Q12" s="99"/>
      <c r="R12" s="99"/>
      <c r="S12" s="99"/>
      <c r="T12" s="99"/>
      <c r="U12" s="99"/>
      <c r="V12" s="99"/>
      <c r="W12" s="99"/>
      <c r="X12" s="99"/>
      <c r="Y12" s="99"/>
      <c r="Z12" s="99"/>
    </row>
    <row r="13" spans="1:26" ht="14.25" customHeight="1">
      <c r="A13" s="4" t="s">
        <v>139</v>
      </c>
      <c r="B13" s="4" t="s">
        <v>122</v>
      </c>
      <c r="C13" s="112">
        <v>1.1000000000000001</v>
      </c>
      <c r="D13" s="4"/>
      <c r="E13" s="15"/>
      <c r="F13" s="4" t="s">
        <v>136</v>
      </c>
      <c r="G13" s="4"/>
      <c r="H13" s="4"/>
      <c r="I13" s="4"/>
      <c r="J13" s="4"/>
      <c r="K13" s="4"/>
      <c r="L13" s="4"/>
      <c r="M13" s="4"/>
      <c r="N13" s="4"/>
      <c r="O13" s="4"/>
      <c r="P13" s="4"/>
      <c r="Q13" s="4"/>
      <c r="R13" s="4"/>
      <c r="S13" s="4"/>
      <c r="T13" s="4"/>
      <c r="U13" s="4"/>
      <c r="V13" s="4"/>
      <c r="W13" s="4"/>
      <c r="X13" s="4"/>
      <c r="Y13" s="4"/>
      <c r="Z13" s="4"/>
    </row>
    <row r="14" spans="1:26" ht="14.25" customHeight="1">
      <c r="A14" s="4" t="s">
        <v>140</v>
      </c>
      <c r="B14" s="4" t="s">
        <v>122</v>
      </c>
      <c r="C14" s="112">
        <v>1.1200000000000001</v>
      </c>
      <c r="D14" s="4"/>
      <c r="E14" s="15"/>
      <c r="F14" s="4" t="s">
        <v>136</v>
      </c>
      <c r="G14" s="4"/>
      <c r="H14" s="4"/>
      <c r="I14" s="4"/>
      <c r="J14" s="4"/>
      <c r="K14" s="4"/>
      <c r="L14" s="4"/>
      <c r="M14" s="4"/>
      <c r="N14" s="4"/>
      <c r="O14" s="4"/>
      <c r="P14" s="4"/>
      <c r="Q14" s="4"/>
      <c r="R14" s="4"/>
      <c r="S14" s="4"/>
      <c r="T14" s="4"/>
      <c r="U14" s="4"/>
      <c r="V14" s="4"/>
      <c r="W14" s="4"/>
      <c r="X14" s="4"/>
      <c r="Y14" s="4"/>
      <c r="Z14" s="4"/>
    </row>
    <row r="15" spans="1:26" ht="14.25" customHeight="1">
      <c r="A15" s="4" t="s">
        <v>141</v>
      </c>
      <c r="B15" s="4" t="s">
        <v>122</v>
      </c>
      <c r="C15" s="112">
        <v>1.31</v>
      </c>
      <c r="D15" s="4"/>
      <c r="E15" s="15"/>
      <c r="F15" s="4" t="s">
        <v>136</v>
      </c>
      <c r="G15" s="4"/>
      <c r="H15" s="4"/>
      <c r="I15" s="4"/>
      <c r="J15" s="4"/>
      <c r="K15" s="4"/>
      <c r="L15" s="4"/>
      <c r="M15" s="4"/>
      <c r="N15" s="4"/>
      <c r="O15" s="4"/>
      <c r="P15" s="4"/>
      <c r="Q15" s="4"/>
      <c r="R15" s="4"/>
      <c r="S15" s="4"/>
      <c r="T15" s="4"/>
      <c r="U15" s="4"/>
      <c r="V15" s="4"/>
      <c r="W15" s="4"/>
      <c r="X15" s="4"/>
      <c r="Y15" s="4"/>
      <c r="Z15" s="4"/>
    </row>
    <row r="16" spans="1:26" ht="14.25" customHeight="1">
      <c r="A16" s="4" t="s">
        <v>142</v>
      </c>
      <c r="B16" s="4" t="s">
        <v>122</v>
      </c>
      <c r="C16" s="112">
        <v>1.6</v>
      </c>
      <c r="D16" s="4"/>
      <c r="E16" s="15"/>
      <c r="F16" s="4" t="s">
        <v>136</v>
      </c>
      <c r="G16" s="4"/>
      <c r="H16" s="4"/>
      <c r="I16" s="4"/>
      <c r="J16" s="4"/>
      <c r="K16" s="4"/>
      <c r="L16" s="4"/>
      <c r="M16" s="4"/>
      <c r="N16" s="4"/>
      <c r="O16" s="4"/>
      <c r="P16" s="4"/>
      <c r="Q16" s="4"/>
      <c r="R16" s="4"/>
      <c r="S16" s="4"/>
      <c r="T16" s="4"/>
      <c r="U16" s="4"/>
      <c r="V16" s="4"/>
      <c r="W16" s="4"/>
      <c r="X16" s="4"/>
      <c r="Y16" s="4"/>
      <c r="Z16" s="4"/>
    </row>
    <row r="17" spans="1:26" ht="14.25" customHeight="1">
      <c r="A17" s="4" t="s">
        <v>143</v>
      </c>
      <c r="B17" s="4" t="s">
        <v>122</v>
      </c>
      <c r="C17" s="112">
        <v>1.63</v>
      </c>
      <c r="D17" s="4"/>
      <c r="E17" s="15"/>
      <c r="F17" s="4" t="s">
        <v>136</v>
      </c>
      <c r="G17" s="4"/>
      <c r="H17" s="4"/>
      <c r="I17" s="4"/>
      <c r="J17" s="4"/>
      <c r="K17" s="4"/>
      <c r="L17" s="4"/>
      <c r="M17" s="4"/>
      <c r="N17" s="4"/>
      <c r="O17" s="4"/>
      <c r="P17" s="4"/>
      <c r="Q17" s="4"/>
      <c r="R17" s="4"/>
      <c r="S17" s="4"/>
      <c r="T17" s="4"/>
      <c r="U17" s="4"/>
      <c r="V17" s="4"/>
      <c r="W17" s="4"/>
      <c r="X17" s="4"/>
      <c r="Y17" s="4"/>
      <c r="Z17" s="4"/>
    </row>
    <row r="18" spans="1:26" ht="14.25" customHeight="1">
      <c r="A18" s="99" t="s">
        <v>144</v>
      </c>
      <c r="B18" s="4" t="s">
        <v>122</v>
      </c>
      <c r="C18" s="112">
        <v>0.443</v>
      </c>
      <c r="D18" s="4"/>
      <c r="E18" s="15"/>
      <c r="F18" s="4" t="s">
        <v>145</v>
      </c>
      <c r="G18" s="4"/>
      <c r="H18" s="4"/>
      <c r="I18" s="4"/>
      <c r="J18" s="4"/>
      <c r="K18" s="4"/>
      <c r="L18" s="4"/>
      <c r="M18" s="4"/>
      <c r="N18" s="4"/>
      <c r="O18" s="4"/>
      <c r="P18" s="4"/>
      <c r="Q18" s="4"/>
      <c r="R18" s="4"/>
      <c r="S18" s="4"/>
      <c r="T18" s="4"/>
      <c r="U18" s="4"/>
      <c r="V18" s="4"/>
      <c r="W18" s="4"/>
      <c r="X18" s="4"/>
      <c r="Y18" s="4"/>
      <c r="Z18" s="4"/>
    </row>
    <row r="19" spans="1:26" ht="14.25" customHeight="1">
      <c r="A19" s="4" t="s">
        <v>146</v>
      </c>
      <c r="B19" s="4" t="s">
        <v>122</v>
      </c>
      <c r="C19" s="112">
        <v>2164</v>
      </c>
      <c r="D19" s="4"/>
      <c r="E19" s="15"/>
      <c r="F19" s="4"/>
      <c r="G19" s="4"/>
      <c r="H19" s="4"/>
      <c r="I19" s="4"/>
      <c r="J19" s="4"/>
      <c r="K19" s="4"/>
      <c r="L19" s="4"/>
      <c r="M19" s="4"/>
      <c r="N19" s="4"/>
      <c r="O19" s="4"/>
      <c r="P19" s="4"/>
      <c r="Q19" s="4"/>
      <c r="R19" s="4"/>
      <c r="S19" s="4"/>
      <c r="T19" s="4"/>
      <c r="U19" s="4"/>
      <c r="V19" s="4"/>
      <c r="W19" s="4"/>
      <c r="X19" s="4"/>
      <c r="Y19" s="4"/>
      <c r="Z19" s="4"/>
    </row>
    <row r="20" spans="1:26" ht="14.25" customHeight="1">
      <c r="A20" s="4"/>
      <c r="B20" s="4"/>
      <c r="C20" s="112"/>
      <c r="D20" s="4"/>
      <c r="E20" s="15"/>
      <c r="F20" s="4"/>
      <c r="G20" s="4"/>
      <c r="H20" s="4"/>
      <c r="I20" s="4"/>
      <c r="J20" s="4"/>
      <c r="K20" s="4"/>
      <c r="L20" s="4"/>
      <c r="M20" s="4"/>
      <c r="N20" s="4"/>
      <c r="O20" s="4"/>
      <c r="P20" s="4"/>
      <c r="Q20" s="4"/>
      <c r="R20" s="4"/>
      <c r="S20" s="4"/>
      <c r="T20" s="4"/>
      <c r="U20" s="4"/>
      <c r="V20" s="4"/>
      <c r="W20" s="4"/>
      <c r="X20" s="4"/>
      <c r="Y20" s="4"/>
      <c r="Z20" s="4"/>
    </row>
    <row r="21" spans="1:26" ht="14.25" customHeight="1">
      <c r="A21" s="4" t="s">
        <v>147</v>
      </c>
      <c r="B21" s="4" t="s">
        <v>148</v>
      </c>
      <c r="C21" s="116">
        <v>18</v>
      </c>
      <c r="D21" s="4">
        <v>2014</v>
      </c>
      <c r="E21" s="15"/>
      <c r="F21" s="117" t="s">
        <v>149</v>
      </c>
      <c r="G21" s="4"/>
      <c r="H21" s="4"/>
      <c r="I21" s="4"/>
      <c r="J21" s="4"/>
      <c r="K21" s="4"/>
      <c r="L21" s="4"/>
      <c r="M21" s="4"/>
      <c r="N21" s="4"/>
      <c r="O21" s="4"/>
      <c r="P21" s="4"/>
      <c r="Q21" s="4"/>
      <c r="R21" s="4"/>
      <c r="S21" s="4"/>
      <c r="T21" s="4"/>
      <c r="U21" s="4"/>
      <c r="V21" s="4"/>
      <c r="W21" s="4"/>
      <c r="X21" s="4"/>
      <c r="Y21" s="4"/>
      <c r="Z21" s="4"/>
    </row>
    <row r="22" spans="1:26" ht="14.25" customHeight="1">
      <c r="A22" s="4" t="s">
        <v>150</v>
      </c>
      <c r="B22" s="4" t="s">
        <v>148</v>
      </c>
      <c r="C22" s="112">
        <f>'Road data'!C17</f>
        <v>5.4298642533936645</v>
      </c>
      <c r="D22" s="4">
        <v>2013</v>
      </c>
      <c r="E22" s="15"/>
      <c r="F22" s="40" t="s">
        <v>151</v>
      </c>
      <c r="G22" s="4" t="s">
        <v>153</v>
      </c>
      <c r="H22" s="4"/>
      <c r="I22" s="4"/>
      <c r="J22" s="4"/>
      <c r="K22" s="4"/>
      <c r="L22" s="4"/>
      <c r="M22" s="4"/>
      <c r="N22" s="4"/>
      <c r="O22" s="4"/>
      <c r="P22" s="4"/>
      <c r="Q22" s="4"/>
      <c r="R22" s="4"/>
      <c r="S22" s="4"/>
      <c r="T22" s="4"/>
      <c r="U22" s="4"/>
      <c r="V22" s="4"/>
      <c r="W22" s="4"/>
      <c r="X22" s="4"/>
      <c r="Y22" s="4"/>
      <c r="Z22" s="4"/>
    </row>
    <row r="23" spans="1:26" ht="14.25" customHeight="1">
      <c r="A23" s="4" t="s">
        <v>154</v>
      </c>
      <c r="B23" s="4" t="s">
        <v>148</v>
      </c>
      <c r="C23" s="112">
        <f>'Road data'!C18</f>
        <v>9.502262443438914</v>
      </c>
      <c r="D23" s="4">
        <v>2013</v>
      </c>
      <c r="E23" s="15"/>
      <c r="F23" s="4" t="s">
        <v>151</v>
      </c>
      <c r="G23" s="4" t="s">
        <v>153</v>
      </c>
      <c r="H23" s="4"/>
      <c r="I23" s="4"/>
      <c r="J23" s="4"/>
      <c r="K23" s="4"/>
      <c r="L23" s="4"/>
      <c r="M23" s="4"/>
      <c r="N23" s="4"/>
      <c r="O23" s="4"/>
      <c r="P23" s="4"/>
      <c r="Q23" s="4"/>
      <c r="R23" s="4"/>
      <c r="S23" s="4"/>
      <c r="T23" s="4"/>
      <c r="U23" s="4"/>
      <c r="V23" s="4"/>
      <c r="W23" s="4"/>
      <c r="X23" s="4"/>
      <c r="Y23" s="4"/>
      <c r="Z23" s="4"/>
    </row>
    <row r="24" spans="1:26" ht="14.25" customHeight="1">
      <c r="A24" s="4" t="s">
        <v>155</v>
      </c>
      <c r="B24" s="4" t="s">
        <v>148</v>
      </c>
      <c r="C24" s="112">
        <f>'Road data'!C19</f>
        <v>9.9547511312217196</v>
      </c>
      <c r="D24" s="4">
        <v>2013</v>
      </c>
      <c r="E24" s="15"/>
      <c r="F24" s="4" t="s">
        <v>151</v>
      </c>
      <c r="G24" s="4" t="s">
        <v>153</v>
      </c>
      <c r="H24" s="4"/>
      <c r="I24" s="4"/>
      <c r="J24" s="4"/>
      <c r="K24" s="4"/>
      <c r="L24" s="4"/>
      <c r="M24" s="4"/>
      <c r="N24" s="4"/>
      <c r="O24" s="4"/>
      <c r="P24" s="4"/>
      <c r="Q24" s="4"/>
      <c r="R24" s="4"/>
      <c r="S24" s="4"/>
      <c r="T24" s="4"/>
      <c r="U24" s="4"/>
      <c r="V24" s="4"/>
      <c r="W24" s="4"/>
      <c r="X24" s="4"/>
      <c r="Y24" s="4"/>
      <c r="Z24" s="4"/>
    </row>
    <row r="25" spans="1:26" ht="14.25" customHeight="1">
      <c r="A25" s="4" t="s">
        <v>156</v>
      </c>
      <c r="B25" s="4" t="s">
        <v>148</v>
      </c>
      <c r="C25" s="112">
        <f>'Road data'!C21</f>
        <v>72.398190045248867</v>
      </c>
      <c r="D25" s="4">
        <v>2013</v>
      </c>
      <c r="E25" s="15"/>
      <c r="F25" s="4" t="s">
        <v>151</v>
      </c>
      <c r="G25" s="4" t="s">
        <v>153</v>
      </c>
      <c r="H25" s="4"/>
      <c r="I25" s="4"/>
      <c r="J25" s="4"/>
      <c r="K25" s="4"/>
      <c r="L25" s="4"/>
      <c r="M25" s="4"/>
      <c r="N25" s="4"/>
      <c r="O25" s="4"/>
      <c r="P25" s="4"/>
      <c r="Q25" s="4"/>
      <c r="R25" s="4"/>
      <c r="S25" s="4"/>
      <c r="T25" s="4"/>
      <c r="U25" s="4"/>
      <c r="V25" s="4"/>
      <c r="W25" s="4"/>
      <c r="X25" s="4"/>
      <c r="Y25" s="4"/>
      <c r="Z25" s="4"/>
    </row>
    <row r="26" spans="1:26" ht="14.25" customHeight="1">
      <c r="A26" s="4" t="s">
        <v>157</v>
      </c>
      <c r="B26" s="4" t="s">
        <v>148</v>
      </c>
      <c r="C26" s="114">
        <f>C27*2</f>
        <v>6350000</v>
      </c>
      <c r="D26" s="4">
        <v>2014</v>
      </c>
      <c r="E26" s="15">
        <f t="shared" ref="E26:E29" si="0">$C$12*C26</f>
        <v>6858000</v>
      </c>
      <c r="F26" s="4" t="s">
        <v>151</v>
      </c>
      <c r="G26" s="4" t="s">
        <v>158</v>
      </c>
      <c r="H26" s="4"/>
      <c r="I26" s="4"/>
      <c r="J26" s="4"/>
      <c r="K26" s="4"/>
      <c r="L26" s="4"/>
      <c r="M26" s="4"/>
      <c r="N26" s="4"/>
      <c r="O26" s="4"/>
      <c r="P26" s="4"/>
      <c r="Q26" s="4"/>
      <c r="R26" s="4"/>
      <c r="S26" s="4"/>
      <c r="T26" s="4"/>
      <c r="U26" s="4"/>
      <c r="V26" s="4"/>
      <c r="W26" s="4"/>
      <c r="X26" s="4"/>
      <c r="Y26" s="4"/>
      <c r="Z26" s="4"/>
    </row>
    <row r="27" spans="1:26" ht="14.25" customHeight="1">
      <c r="A27" s="4" t="s">
        <v>159</v>
      </c>
      <c r="B27" s="4" t="s">
        <v>148</v>
      </c>
      <c r="C27" s="114">
        <v>3175000</v>
      </c>
      <c r="D27" s="4">
        <v>2014</v>
      </c>
      <c r="E27" s="15">
        <f t="shared" si="0"/>
        <v>3429000</v>
      </c>
      <c r="F27" s="4" t="s">
        <v>160</v>
      </c>
      <c r="G27" s="4" t="s">
        <v>161</v>
      </c>
      <c r="H27" s="4"/>
      <c r="I27" s="4"/>
      <c r="J27" s="4"/>
      <c r="K27" s="4"/>
      <c r="L27" s="4"/>
      <c r="M27" s="4"/>
      <c r="N27" s="4"/>
      <c r="O27" s="4"/>
      <c r="P27" s="4"/>
      <c r="Q27" s="4"/>
      <c r="R27" s="4"/>
      <c r="S27" s="4"/>
      <c r="T27" s="4"/>
      <c r="U27" s="4"/>
      <c r="V27" s="4"/>
      <c r="W27" s="4"/>
      <c r="X27" s="4"/>
      <c r="Y27" s="4"/>
      <c r="Z27" s="4"/>
    </row>
    <row r="28" spans="1:26" ht="14.25" customHeight="1">
      <c r="A28" s="4" t="s">
        <v>162</v>
      </c>
      <c r="B28" s="4" t="s">
        <v>148</v>
      </c>
      <c r="C28" s="114">
        <v>2100000</v>
      </c>
      <c r="D28" s="4">
        <v>2014</v>
      </c>
      <c r="E28" s="15">
        <f t="shared" si="0"/>
        <v>2268000</v>
      </c>
      <c r="F28" s="4" t="s">
        <v>160</v>
      </c>
      <c r="G28" s="4" t="s">
        <v>163</v>
      </c>
      <c r="H28" s="4"/>
      <c r="I28" s="4"/>
      <c r="J28" s="4"/>
      <c r="K28" s="4"/>
      <c r="L28" s="4"/>
      <c r="M28" s="4"/>
      <c r="N28" s="4"/>
      <c r="O28" s="4"/>
      <c r="P28" s="4"/>
      <c r="Q28" s="4"/>
      <c r="R28" s="4"/>
      <c r="S28" s="4"/>
      <c r="T28" s="4"/>
      <c r="U28" s="4"/>
      <c r="V28" s="4"/>
      <c r="W28" s="4"/>
      <c r="X28" s="4"/>
      <c r="Y28" s="4"/>
      <c r="Z28" s="4"/>
    </row>
    <row r="29" spans="1:26" ht="14.25" customHeight="1">
      <c r="A29" s="4" t="s">
        <v>164</v>
      </c>
      <c r="B29" s="4" t="s">
        <v>148</v>
      </c>
      <c r="C29" s="114">
        <v>2100000</v>
      </c>
      <c r="D29" s="4">
        <v>2014</v>
      </c>
      <c r="E29" s="15">
        <f t="shared" si="0"/>
        <v>2268000</v>
      </c>
      <c r="F29" s="4"/>
      <c r="G29" s="4" t="s">
        <v>165</v>
      </c>
      <c r="H29" s="4"/>
      <c r="I29" s="4"/>
      <c r="J29" s="4"/>
      <c r="K29" s="4"/>
      <c r="L29" s="4"/>
      <c r="M29" s="4"/>
      <c r="N29" s="4"/>
      <c r="O29" s="4"/>
      <c r="P29" s="4"/>
      <c r="Q29" s="4"/>
      <c r="R29" s="4"/>
      <c r="S29" s="4"/>
      <c r="T29" s="4"/>
      <c r="U29" s="4"/>
      <c r="V29" s="4"/>
      <c r="W29" s="4"/>
      <c r="X29" s="4"/>
      <c r="Y29" s="4"/>
      <c r="Z29" s="4"/>
    </row>
    <row r="30" spans="1:26" ht="14.25" customHeight="1">
      <c r="A30" s="4" t="s">
        <v>166</v>
      </c>
      <c r="B30" s="4" t="s">
        <v>148</v>
      </c>
      <c r="C30" s="112">
        <v>500</v>
      </c>
      <c r="D30" s="4">
        <v>2005</v>
      </c>
      <c r="E30" s="15">
        <f>C15*C30</f>
        <v>655</v>
      </c>
      <c r="F30" s="40" t="s">
        <v>167</v>
      </c>
      <c r="G30" s="4" t="s">
        <v>168</v>
      </c>
      <c r="H30" s="4"/>
      <c r="I30" s="4"/>
      <c r="J30" s="4"/>
      <c r="K30" s="4"/>
      <c r="L30" s="4"/>
      <c r="M30" s="4"/>
      <c r="N30" s="4"/>
      <c r="O30" s="4"/>
      <c r="P30" s="4"/>
      <c r="Q30" s="4"/>
      <c r="R30" s="4"/>
      <c r="S30" s="4"/>
      <c r="T30" s="4"/>
      <c r="U30" s="4"/>
      <c r="V30" s="4"/>
      <c r="W30" s="4"/>
      <c r="X30" s="4"/>
      <c r="Y30" s="4"/>
      <c r="Z30" s="4"/>
    </row>
    <row r="31" spans="1:26" ht="14.25" customHeight="1">
      <c r="A31" s="4" t="s">
        <v>169</v>
      </c>
      <c r="B31" s="4" t="s">
        <v>148</v>
      </c>
      <c r="C31" s="114">
        <f>C32*2</f>
        <v>38696</v>
      </c>
      <c r="D31" s="4">
        <v>1997</v>
      </c>
      <c r="E31" s="15">
        <f t="shared" ref="E31:E33" si="1">$C$16*C31</f>
        <v>61913.600000000006</v>
      </c>
      <c r="F31" s="4" t="s">
        <v>170</v>
      </c>
      <c r="G31" s="4" t="s">
        <v>171</v>
      </c>
      <c r="H31" s="4"/>
      <c r="I31" s="4"/>
      <c r="J31" s="4"/>
      <c r="K31" s="4"/>
      <c r="L31" s="4"/>
      <c r="M31" s="4"/>
      <c r="N31" s="4"/>
      <c r="O31" s="4"/>
      <c r="P31" s="4"/>
      <c r="Q31" s="4"/>
      <c r="R31" s="4"/>
      <c r="S31" s="4"/>
      <c r="T31" s="4"/>
      <c r="U31" s="4"/>
      <c r="V31" s="4"/>
      <c r="W31" s="4"/>
      <c r="X31" s="4"/>
      <c r="Y31" s="4"/>
      <c r="Z31" s="4"/>
    </row>
    <row r="32" spans="1:26" ht="14.25" customHeight="1">
      <c r="A32" s="4" t="s">
        <v>172</v>
      </c>
      <c r="B32" s="4" t="s">
        <v>148</v>
      </c>
      <c r="C32" s="114">
        <v>19348</v>
      </c>
      <c r="D32" s="4">
        <v>1997</v>
      </c>
      <c r="E32" s="15">
        <f t="shared" si="1"/>
        <v>30956.800000000003</v>
      </c>
      <c r="F32" s="4" t="s">
        <v>170</v>
      </c>
      <c r="G32" s="4" t="s">
        <v>173</v>
      </c>
      <c r="H32" s="4"/>
      <c r="I32" s="4"/>
      <c r="J32" s="4"/>
      <c r="K32" s="4"/>
      <c r="L32" s="4"/>
      <c r="M32" s="4"/>
      <c r="N32" s="4"/>
      <c r="O32" s="4"/>
      <c r="P32" s="4"/>
      <c r="Q32" s="4"/>
      <c r="R32" s="4"/>
      <c r="S32" s="4"/>
      <c r="T32" s="4"/>
      <c r="U32" s="4"/>
      <c r="V32" s="4"/>
      <c r="W32" s="4"/>
      <c r="X32" s="4"/>
      <c r="Y32" s="4"/>
      <c r="Z32" s="4"/>
    </row>
    <row r="33" spans="1:26" ht="14.25" customHeight="1">
      <c r="A33" s="4" t="s">
        <v>174</v>
      </c>
      <c r="B33" s="4" t="s">
        <v>148</v>
      </c>
      <c r="C33" s="114">
        <v>7609</v>
      </c>
      <c r="D33" s="4">
        <v>1997</v>
      </c>
      <c r="E33" s="15">
        <f t="shared" si="1"/>
        <v>12174.400000000001</v>
      </c>
      <c r="F33" s="4" t="s">
        <v>170</v>
      </c>
      <c r="G33" s="4"/>
      <c r="H33" s="4"/>
      <c r="I33" s="4"/>
      <c r="J33" s="4"/>
      <c r="K33" s="4"/>
      <c r="L33" s="4"/>
      <c r="M33" s="4"/>
      <c r="N33" s="4"/>
      <c r="O33" s="4"/>
      <c r="P33" s="4"/>
      <c r="Q33" s="4"/>
      <c r="R33" s="4"/>
      <c r="S33" s="4"/>
      <c r="T33" s="4"/>
      <c r="U33" s="4"/>
      <c r="V33" s="4"/>
      <c r="W33" s="4"/>
      <c r="X33" s="4"/>
      <c r="Y33" s="4"/>
      <c r="Z33" s="4"/>
    </row>
    <row r="34" spans="1:26" ht="14.25" customHeight="1">
      <c r="A34" s="4"/>
      <c r="B34" s="4"/>
      <c r="C34" s="112"/>
      <c r="D34" s="4"/>
      <c r="E34" s="15"/>
      <c r="F34" s="4"/>
      <c r="G34" s="4"/>
      <c r="H34" s="4"/>
      <c r="I34" s="4"/>
      <c r="J34" s="4"/>
      <c r="K34" s="4"/>
      <c r="L34" s="4"/>
      <c r="M34" s="4"/>
      <c r="N34" s="4"/>
      <c r="O34" s="4"/>
      <c r="P34" s="4"/>
      <c r="Q34" s="4"/>
      <c r="R34" s="4"/>
      <c r="S34" s="4"/>
      <c r="T34" s="4"/>
      <c r="U34" s="4"/>
      <c r="V34" s="4"/>
      <c r="W34" s="4"/>
      <c r="X34" s="4"/>
      <c r="Y34" s="4"/>
      <c r="Z34" s="4"/>
    </row>
    <row r="35" spans="1:26" ht="14.25" customHeight="1">
      <c r="A35" s="4" t="s">
        <v>175</v>
      </c>
      <c r="B35" s="4" t="s">
        <v>176</v>
      </c>
      <c r="C35" s="112">
        <v>0.5</v>
      </c>
      <c r="D35" s="4"/>
      <c r="E35" s="15"/>
      <c r="F35" s="4" t="s">
        <v>177</v>
      </c>
      <c r="G35" s="4"/>
      <c r="H35" s="4"/>
      <c r="I35" s="4"/>
      <c r="J35" s="4"/>
      <c r="K35" s="4"/>
      <c r="L35" s="4"/>
      <c r="M35" s="4"/>
      <c r="N35" s="4"/>
      <c r="O35" s="4"/>
      <c r="P35" s="4"/>
      <c r="Q35" s="4"/>
      <c r="R35" s="4"/>
      <c r="S35" s="4"/>
      <c r="T35" s="4"/>
      <c r="U35" s="4"/>
      <c r="V35" s="4"/>
      <c r="W35" s="4"/>
      <c r="X35" s="4"/>
      <c r="Y35" s="4"/>
      <c r="Z35" s="4"/>
    </row>
    <row r="36" spans="1:26" ht="14.25" customHeight="1">
      <c r="A36" s="4" t="s">
        <v>178</v>
      </c>
      <c r="B36" s="4" t="s">
        <v>176</v>
      </c>
      <c r="C36" s="118">
        <v>1.1999999999999999E-3</v>
      </c>
      <c r="D36" s="4"/>
      <c r="E36" s="15"/>
      <c r="F36" s="4" t="s">
        <v>179</v>
      </c>
      <c r="G36" s="4" t="s">
        <v>180</v>
      </c>
      <c r="H36" s="4"/>
      <c r="I36" s="4"/>
      <c r="J36" s="4"/>
      <c r="K36" s="4"/>
      <c r="L36" s="4"/>
      <c r="M36" s="4"/>
      <c r="N36" s="4"/>
      <c r="O36" s="4"/>
      <c r="P36" s="4"/>
      <c r="Q36" s="4"/>
      <c r="R36" s="4"/>
      <c r="S36" s="4"/>
      <c r="T36" s="4"/>
      <c r="U36" s="4"/>
      <c r="V36" s="4"/>
      <c r="W36" s="4"/>
      <c r="X36" s="4"/>
      <c r="Y36" s="4"/>
      <c r="Z36" s="4"/>
    </row>
    <row r="37" spans="1:26" ht="14.25" customHeight="1">
      <c r="A37" s="4" t="s">
        <v>182</v>
      </c>
      <c r="B37" s="4" t="s">
        <v>176</v>
      </c>
      <c r="C37" s="118">
        <v>8.0000000000000004E-4</v>
      </c>
      <c r="D37" s="4"/>
      <c r="E37" s="15"/>
      <c r="F37" s="4" t="s">
        <v>179</v>
      </c>
      <c r="G37" s="4" t="s">
        <v>180</v>
      </c>
      <c r="H37" s="4"/>
      <c r="I37" s="4"/>
      <c r="J37" s="4"/>
      <c r="K37" s="4"/>
      <c r="L37" s="4"/>
      <c r="M37" s="4"/>
      <c r="N37" s="4"/>
      <c r="O37" s="4"/>
      <c r="P37" s="4"/>
      <c r="Q37" s="4"/>
      <c r="R37" s="4"/>
      <c r="S37" s="4"/>
      <c r="T37" s="4"/>
      <c r="U37" s="4"/>
      <c r="V37" s="4"/>
      <c r="W37" s="4"/>
      <c r="X37" s="4"/>
      <c r="Y37" s="4"/>
      <c r="Z37" s="4"/>
    </row>
    <row r="38" spans="1:26" ht="14.25" customHeight="1">
      <c r="A38" s="4" t="s">
        <v>183</v>
      </c>
      <c r="B38" s="4" t="s">
        <v>176</v>
      </c>
      <c r="C38" s="118">
        <v>5.0000000000000001E-4</v>
      </c>
      <c r="D38" s="4"/>
      <c r="E38" s="15"/>
      <c r="F38" s="4" t="s">
        <v>179</v>
      </c>
      <c r="G38" s="4" t="s">
        <v>180</v>
      </c>
      <c r="H38" s="4"/>
      <c r="I38" s="4"/>
      <c r="J38" s="4"/>
      <c r="K38" s="4"/>
      <c r="L38" s="4"/>
      <c r="M38" s="4"/>
      <c r="N38" s="4"/>
      <c r="O38" s="4"/>
      <c r="P38" s="4"/>
      <c r="Q38" s="4"/>
      <c r="R38" s="4"/>
      <c r="S38" s="4"/>
      <c r="T38" s="4"/>
      <c r="U38" s="4"/>
      <c r="V38" s="4"/>
      <c r="W38" s="4"/>
      <c r="X38" s="4"/>
      <c r="Y38" s="4"/>
      <c r="Z38" s="4"/>
    </row>
    <row r="39" spans="1:26" ht="14.25" customHeight="1">
      <c r="A39" s="4" t="s">
        <v>184</v>
      </c>
      <c r="B39" s="4" t="s">
        <v>176</v>
      </c>
      <c r="C39" s="112">
        <f>Budget!B10</f>
        <v>36202616641</v>
      </c>
      <c r="D39" s="4">
        <v>2016</v>
      </c>
      <c r="E39" s="15">
        <f>Budget!F10</f>
        <v>652488.29481695767</v>
      </c>
      <c r="F39" s="4" t="s">
        <v>185</v>
      </c>
      <c r="G39" s="4" t="s">
        <v>186</v>
      </c>
      <c r="H39" s="4"/>
      <c r="I39" s="4"/>
      <c r="J39" s="4"/>
      <c r="K39" s="4"/>
      <c r="L39" s="4"/>
      <c r="M39" s="4"/>
      <c r="N39" s="4"/>
      <c r="O39" s="4"/>
      <c r="P39" s="4"/>
      <c r="Q39" s="4"/>
      <c r="R39" s="4"/>
      <c r="S39" s="4"/>
      <c r="T39" s="4"/>
      <c r="U39" s="4"/>
      <c r="V39" s="4"/>
      <c r="W39" s="4"/>
      <c r="X39" s="4"/>
      <c r="Y39" s="4"/>
      <c r="Z39" s="4"/>
    </row>
    <row r="40" spans="1:26" ht="14.25" customHeight="1">
      <c r="A40" s="4" t="s">
        <v>187</v>
      </c>
      <c r="B40" s="4" t="s">
        <v>17</v>
      </c>
      <c r="C40" s="112">
        <f>ROUND(3380/27,0)</f>
        <v>125</v>
      </c>
      <c r="D40" s="4"/>
      <c r="E40" s="15"/>
      <c r="F40" s="4" t="s">
        <v>188</v>
      </c>
      <c r="G40" s="4" t="s">
        <v>189</v>
      </c>
      <c r="H40" s="4"/>
      <c r="I40" s="4"/>
      <c r="J40" s="4"/>
      <c r="K40" s="4"/>
      <c r="L40" s="4"/>
      <c r="M40" s="4"/>
      <c r="N40" s="4"/>
      <c r="O40" s="4"/>
      <c r="P40" s="4"/>
      <c r="Q40" s="4"/>
      <c r="R40" s="4"/>
      <c r="S40" s="4"/>
      <c r="T40" s="4"/>
      <c r="U40" s="4"/>
      <c r="V40" s="4"/>
      <c r="W40" s="4"/>
      <c r="X40" s="4"/>
      <c r="Y40" s="4"/>
      <c r="Z40" s="4"/>
    </row>
    <row r="41" spans="1:26" ht="15.75" customHeight="1">
      <c r="A41" s="4" t="s">
        <v>190</v>
      </c>
      <c r="B41" s="4" t="s">
        <v>17</v>
      </c>
      <c r="C41" s="4">
        <v>480000</v>
      </c>
      <c r="D41" s="4">
        <v>2012</v>
      </c>
      <c r="E41" s="15">
        <f>C41*1.12</f>
        <v>537600</v>
      </c>
      <c r="F41" s="40" t="s">
        <v>191</v>
      </c>
      <c r="G41" s="4"/>
      <c r="H41" s="4"/>
      <c r="I41" s="4"/>
      <c r="J41" s="4"/>
      <c r="K41" s="4"/>
      <c r="L41" s="4"/>
      <c r="M41" s="4"/>
      <c r="N41" s="4"/>
      <c r="O41" s="4"/>
      <c r="P41" s="4"/>
      <c r="Q41" s="4"/>
      <c r="R41" s="4"/>
      <c r="S41" s="4"/>
      <c r="T41" s="4"/>
      <c r="U41" s="4"/>
      <c r="V41" s="4"/>
      <c r="W41" s="4"/>
      <c r="X41" s="4"/>
      <c r="Y41" s="4"/>
      <c r="Z41" s="4"/>
    </row>
    <row r="42" spans="1:26" ht="14.25" customHeight="1">
      <c r="A42" s="4" t="s">
        <v>192</v>
      </c>
      <c r="B42" s="4" t="s">
        <v>17</v>
      </c>
      <c r="C42" s="112">
        <f>1200+1200</f>
        <v>2400</v>
      </c>
      <c r="D42" s="4">
        <v>2015</v>
      </c>
      <c r="E42" s="15">
        <f>C42*C11</f>
        <v>2592</v>
      </c>
      <c r="F42" s="4" t="s">
        <v>193</v>
      </c>
      <c r="G42" s="4" t="s">
        <v>194</v>
      </c>
      <c r="H42" s="4"/>
      <c r="I42" s="4"/>
      <c r="J42" s="4"/>
      <c r="K42" s="4"/>
      <c r="L42" s="4"/>
      <c r="M42" s="4"/>
      <c r="N42" s="4"/>
      <c r="O42" s="4"/>
      <c r="P42" s="4"/>
      <c r="Q42" s="4"/>
      <c r="R42" s="4"/>
      <c r="S42" s="4"/>
      <c r="T42" s="4"/>
      <c r="U42" s="4"/>
      <c r="V42" s="4"/>
      <c r="W42" s="4"/>
      <c r="X42" s="4"/>
      <c r="Y42" s="4"/>
      <c r="Z42" s="4"/>
    </row>
    <row r="43" spans="1:26" ht="14.25" customHeight="1">
      <c r="A43" s="4" t="s">
        <v>195</v>
      </c>
      <c r="B43" s="4" t="s">
        <v>17</v>
      </c>
      <c r="C43" s="112">
        <f>114.12*17000</f>
        <v>1940040</v>
      </c>
      <c r="D43" s="4">
        <v>2013</v>
      </c>
      <c r="E43" s="15">
        <f>C43*C13</f>
        <v>2134044</v>
      </c>
      <c r="F43" s="4" t="s">
        <v>196</v>
      </c>
      <c r="G43" s="4" t="s">
        <v>197</v>
      </c>
      <c r="H43" s="4"/>
      <c r="I43" s="4"/>
      <c r="J43" s="4"/>
      <c r="K43" s="4"/>
      <c r="L43" s="4"/>
      <c r="M43" s="4"/>
      <c r="N43" s="4"/>
      <c r="O43" s="4"/>
      <c r="P43" s="4"/>
      <c r="Q43" s="4"/>
      <c r="R43" s="4"/>
      <c r="S43" s="4"/>
      <c r="T43" s="4"/>
      <c r="U43" s="4"/>
      <c r="V43" s="4"/>
      <c r="W43" s="4"/>
      <c r="X43" s="4"/>
      <c r="Y43" s="4"/>
      <c r="Z43" s="4"/>
    </row>
    <row r="44" spans="1:26" ht="14.25" customHeight="1">
      <c r="A44" s="4"/>
      <c r="B44" s="4"/>
      <c r="C44" s="112"/>
      <c r="D44" s="4"/>
      <c r="E44" s="15"/>
      <c r="F44" s="4"/>
      <c r="G44" s="4"/>
      <c r="H44" s="4"/>
      <c r="I44" s="4"/>
      <c r="J44" s="4"/>
      <c r="K44" s="4"/>
      <c r="L44" s="4"/>
      <c r="M44" s="4"/>
      <c r="N44" s="4"/>
      <c r="O44" s="4"/>
      <c r="P44" s="4"/>
      <c r="Q44" s="4"/>
      <c r="R44" s="4"/>
      <c r="S44" s="4"/>
      <c r="T44" s="4"/>
      <c r="U44" s="4"/>
      <c r="V44" s="4"/>
      <c r="W44" s="4"/>
      <c r="X44" s="4"/>
      <c r="Y44" s="4"/>
      <c r="Z44" s="4"/>
    </row>
    <row r="45" spans="1:26" ht="14.25" customHeight="1">
      <c r="A45" s="4" t="s">
        <v>198</v>
      </c>
      <c r="B45" s="4" t="s">
        <v>40</v>
      </c>
      <c r="C45" s="112">
        <v>0.15</v>
      </c>
      <c r="D45" s="4"/>
      <c r="E45" s="15"/>
      <c r="F45" s="40" t="s">
        <v>199</v>
      </c>
      <c r="G45" s="4"/>
      <c r="H45" s="4"/>
      <c r="I45" s="4"/>
      <c r="J45" s="4"/>
      <c r="K45" s="4"/>
      <c r="L45" s="4"/>
      <c r="M45" s="4"/>
      <c r="N45" s="4"/>
      <c r="O45" s="4"/>
      <c r="P45" s="4"/>
      <c r="Q45" s="4"/>
      <c r="R45" s="4"/>
      <c r="S45" s="4"/>
      <c r="T45" s="4"/>
      <c r="U45" s="4"/>
      <c r="V45" s="4"/>
      <c r="W45" s="4"/>
      <c r="X45" s="4"/>
      <c r="Y45" s="4"/>
      <c r="Z45" s="4"/>
    </row>
    <row r="46" spans="1:26" ht="14.25" customHeight="1">
      <c r="A46" s="4" t="s">
        <v>200</v>
      </c>
      <c r="B46" s="4" t="s">
        <v>201</v>
      </c>
      <c r="C46" s="4"/>
      <c r="D46" s="4">
        <v>2018</v>
      </c>
      <c r="E46" s="15">
        <f>AVERAGE('Household Information'!E2:E9,'Household Information'!E11,'Household Information'!E13,'Household Information'!E14,'Household Information'!E18)</f>
        <v>65.935833333333335</v>
      </c>
      <c r="F46" s="4" t="s">
        <v>202</v>
      </c>
      <c r="G46" s="4"/>
      <c r="H46" s="4"/>
      <c r="I46" s="4"/>
      <c r="J46" s="4"/>
      <c r="K46" s="4"/>
      <c r="L46" s="4"/>
      <c r="M46" s="4"/>
      <c r="N46" s="4"/>
      <c r="O46" s="4"/>
      <c r="P46" s="4"/>
      <c r="Q46" s="4"/>
      <c r="R46" s="4"/>
      <c r="S46" s="4"/>
      <c r="T46" s="4"/>
      <c r="U46" s="4"/>
      <c r="V46" s="4"/>
      <c r="W46" s="4"/>
      <c r="X46" s="4"/>
      <c r="Y46" s="4"/>
      <c r="Z46" s="4"/>
    </row>
    <row r="47" spans="1:26" ht="14.25" customHeight="1">
      <c r="A47" s="4" t="s">
        <v>203</v>
      </c>
      <c r="B47" s="4" t="s">
        <v>201</v>
      </c>
      <c r="C47" s="4"/>
      <c r="D47" s="4">
        <v>2018</v>
      </c>
      <c r="E47" s="15">
        <f>AVERAGE(27.28,54.24)</f>
        <v>40.760000000000005</v>
      </c>
      <c r="F47" s="4" t="s">
        <v>204</v>
      </c>
      <c r="G47" s="4"/>
      <c r="H47" s="4"/>
      <c r="I47" s="4"/>
      <c r="J47" s="4"/>
      <c r="K47" s="4"/>
      <c r="L47" s="4"/>
      <c r="M47" s="4"/>
      <c r="N47" s="4"/>
      <c r="O47" s="4"/>
      <c r="P47" s="4"/>
      <c r="Q47" s="4"/>
      <c r="R47" s="4"/>
      <c r="S47" s="4"/>
      <c r="T47" s="4"/>
      <c r="U47" s="4"/>
      <c r="V47" s="4"/>
      <c r="W47" s="4"/>
      <c r="X47" s="4"/>
      <c r="Y47" s="4"/>
      <c r="Z47" s="4"/>
    </row>
    <row r="48" spans="1:26" ht="14.25" customHeight="1">
      <c r="A48" s="4" t="s">
        <v>205</v>
      </c>
      <c r="B48" s="4" t="s">
        <v>201</v>
      </c>
      <c r="C48" s="112"/>
      <c r="D48" s="4">
        <v>2019</v>
      </c>
      <c r="E48" s="15">
        <f>AVERAGE('Cost Calculations'!AO4:AO9,'Cost Calculations'!AO11)</f>
        <v>0.67714285714285716</v>
      </c>
      <c r="F48" s="4"/>
      <c r="G48" s="4"/>
      <c r="H48" s="4"/>
      <c r="I48" s="4"/>
      <c r="J48" s="4"/>
      <c r="K48" s="4"/>
      <c r="L48" s="4"/>
      <c r="M48" s="4"/>
      <c r="N48" s="4"/>
      <c r="O48" s="4"/>
      <c r="P48" s="4"/>
      <c r="Q48" s="4"/>
      <c r="R48" s="4"/>
      <c r="S48" s="4"/>
      <c r="T48" s="4"/>
      <c r="U48" s="4"/>
      <c r="V48" s="4"/>
      <c r="W48" s="4"/>
      <c r="X48" s="4"/>
      <c r="Y48" s="4"/>
      <c r="Z48" s="4"/>
    </row>
    <row r="49" spans="1:26" ht="14.25" customHeight="1">
      <c r="A49" s="4"/>
      <c r="B49" s="4"/>
      <c r="C49" s="112"/>
      <c r="D49" s="4"/>
      <c r="E49" s="15"/>
      <c r="F49" s="4"/>
      <c r="G49" s="4"/>
      <c r="H49" s="4"/>
      <c r="I49" s="4"/>
      <c r="J49" s="4"/>
      <c r="K49" s="4"/>
      <c r="L49" s="4"/>
      <c r="M49" s="4"/>
      <c r="N49" s="4"/>
      <c r="O49" s="4"/>
      <c r="P49" s="4"/>
      <c r="Q49" s="4"/>
      <c r="R49" s="4"/>
      <c r="S49" s="4"/>
      <c r="T49" s="4"/>
      <c r="U49" s="4"/>
      <c r="V49" s="4"/>
      <c r="W49" s="4"/>
      <c r="X49" s="4"/>
      <c r="Y49" s="4"/>
      <c r="Z49" s="4"/>
    </row>
    <row r="50" spans="1:26" ht="14.25" customHeight="1">
      <c r="A50" s="4"/>
      <c r="B50" s="4"/>
      <c r="C50" s="112"/>
      <c r="D50" s="4"/>
      <c r="E50" s="15"/>
      <c r="F50" s="4"/>
      <c r="G50" s="4"/>
      <c r="H50" s="4"/>
      <c r="I50" s="4"/>
      <c r="J50" s="4"/>
      <c r="K50" s="4"/>
      <c r="L50" s="4"/>
      <c r="M50" s="4"/>
      <c r="N50" s="4"/>
      <c r="O50" s="4"/>
      <c r="P50" s="4"/>
      <c r="Q50" s="4"/>
      <c r="R50" s="4"/>
      <c r="S50" s="4"/>
      <c r="T50" s="4"/>
      <c r="U50" s="4"/>
      <c r="V50" s="4"/>
      <c r="W50" s="4"/>
      <c r="X50" s="4"/>
      <c r="Y50" s="4"/>
      <c r="Z50" s="4"/>
    </row>
    <row r="51" spans="1:26" ht="14.25" customHeight="1">
      <c r="A51" s="4"/>
      <c r="B51" s="4"/>
      <c r="C51" s="112"/>
      <c r="D51" s="4"/>
      <c r="E51" s="15"/>
      <c r="F51" s="4"/>
      <c r="G51" s="4"/>
      <c r="H51" s="4"/>
      <c r="I51" s="4"/>
      <c r="J51" s="4"/>
      <c r="K51" s="4"/>
      <c r="L51" s="4"/>
      <c r="M51" s="4"/>
      <c r="N51" s="4"/>
      <c r="O51" s="4"/>
      <c r="P51" s="4"/>
      <c r="Q51" s="4"/>
      <c r="R51" s="4"/>
      <c r="S51" s="4"/>
      <c r="T51" s="4"/>
      <c r="U51" s="4"/>
      <c r="V51" s="4"/>
      <c r="W51" s="4"/>
      <c r="X51" s="4"/>
      <c r="Y51" s="4"/>
      <c r="Z51" s="4"/>
    </row>
    <row r="52" spans="1:26" ht="14.25" customHeight="1">
      <c r="A52" s="4"/>
      <c r="B52" s="4"/>
      <c r="C52" s="112"/>
      <c r="D52" s="4"/>
      <c r="E52" s="15"/>
      <c r="F52" s="4"/>
      <c r="G52" s="4"/>
      <c r="H52" s="4"/>
      <c r="I52" s="4"/>
      <c r="J52" s="4"/>
      <c r="K52" s="4"/>
      <c r="L52" s="4"/>
      <c r="M52" s="4"/>
      <c r="N52" s="4"/>
      <c r="O52" s="4"/>
      <c r="P52" s="4"/>
      <c r="Q52" s="4"/>
      <c r="R52" s="4"/>
      <c r="S52" s="4"/>
      <c r="T52" s="4"/>
      <c r="U52" s="4"/>
      <c r="V52" s="4"/>
      <c r="W52" s="4"/>
      <c r="X52" s="4"/>
      <c r="Y52" s="4"/>
      <c r="Z52" s="4"/>
    </row>
    <row r="53" spans="1:26" ht="14.25" customHeight="1">
      <c r="A53" s="4"/>
      <c r="B53" s="4"/>
      <c r="C53" s="112"/>
      <c r="D53" s="4"/>
      <c r="E53" s="15"/>
      <c r="F53" s="4"/>
      <c r="G53" s="4"/>
      <c r="H53" s="4"/>
      <c r="I53" s="4"/>
      <c r="J53" s="4"/>
      <c r="K53" s="4"/>
      <c r="L53" s="4"/>
      <c r="M53" s="4"/>
      <c r="N53" s="4"/>
      <c r="O53" s="4"/>
      <c r="P53" s="4"/>
      <c r="Q53" s="4"/>
      <c r="R53" s="4"/>
      <c r="S53" s="4"/>
      <c r="T53" s="4"/>
      <c r="U53" s="4"/>
      <c r="V53" s="4"/>
      <c r="W53" s="4"/>
      <c r="X53" s="4"/>
      <c r="Y53" s="4"/>
      <c r="Z53" s="4"/>
    </row>
    <row r="54" spans="1:26" ht="14.25" customHeight="1">
      <c r="A54" s="4"/>
      <c r="B54" s="4"/>
      <c r="C54" s="112"/>
      <c r="D54" s="4"/>
      <c r="E54" s="15"/>
      <c r="F54" s="4"/>
      <c r="G54" s="4"/>
      <c r="H54" s="4"/>
      <c r="I54" s="4"/>
      <c r="J54" s="4"/>
      <c r="K54" s="4"/>
      <c r="L54" s="4"/>
      <c r="M54" s="4"/>
      <c r="N54" s="4"/>
      <c r="O54" s="4"/>
      <c r="P54" s="4"/>
      <c r="Q54" s="4"/>
      <c r="R54" s="4"/>
      <c r="S54" s="4"/>
      <c r="T54" s="4"/>
      <c r="U54" s="4"/>
      <c r="V54" s="4"/>
      <c r="W54" s="4"/>
      <c r="X54" s="4"/>
      <c r="Y54" s="4"/>
      <c r="Z54" s="4"/>
    </row>
    <row r="55" spans="1:26" ht="14.25" customHeight="1">
      <c r="A55" s="4"/>
      <c r="B55" s="4"/>
      <c r="C55" s="112"/>
      <c r="D55" s="4"/>
      <c r="E55" s="15"/>
      <c r="F55" s="4"/>
      <c r="G55" s="4"/>
      <c r="H55" s="4"/>
      <c r="I55" s="4"/>
      <c r="J55" s="4"/>
      <c r="K55" s="4"/>
      <c r="L55" s="4"/>
      <c r="M55" s="4"/>
      <c r="N55" s="4"/>
      <c r="O55" s="4"/>
      <c r="P55" s="4"/>
      <c r="Q55" s="4"/>
      <c r="R55" s="4"/>
      <c r="S55" s="4"/>
      <c r="T55" s="4"/>
      <c r="U55" s="4"/>
      <c r="V55" s="4"/>
      <c r="W55" s="4"/>
      <c r="X55" s="4"/>
      <c r="Y55" s="4"/>
      <c r="Z55" s="4"/>
    </row>
    <row r="56" spans="1:26" ht="14.25" customHeight="1">
      <c r="A56" s="4"/>
      <c r="B56" s="4"/>
      <c r="C56" s="112"/>
      <c r="D56" s="4"/>
      <c r="E56" s="15"/>
      <c r="F56" s="4"/>
      <c r="G56" s="4"/>
      <c r="H56" s="4"/>
      <c r="I56" s="4"/>
      <c r="J56" s="4"/>
      <c r="K56" s="4"/>
      <c r="L56" s="4"/>
      <c r="M56" s="4"/>
      <c r="N56" s="4"/>
      <c r="O56" s="4"/>
      <c r="P56" s="4"/>
      <c r="Q56" s="4"/>
      <c r="R56" s="4"/>
      <c r="S56" s="4"/>
      <c r="T56" s="4"/>
      <c r="U56" s="4"/>
      <c r="V56" s="4"/>
      <c r="W56" s="4"/>
      <c r="X56" s="4"/>
      <c r="Y56" s="4"/>
      <c r="Z56" s="4"/>
    </row>
    <row r="57" spans="1:26" ht="14.25" customHeight="1">
      <c r="A57" s="4"/>
      <c r="B57" s="4"/>
      <c r="C57" s="112"/>
      <c r="D57" s="4"/>
      <c r="E57" s="15"/>
      <c r="F57" s="4"/>
      <c r="G57" s="4"/>
      <c r="H57" s="4"/>
      <c r="I57" s="4"/>
      <c r="J57" s="4"/>
      <c r="K57" s="4"/>
      <c r="L57" s="4"/>
      <c r="M57" s="4"/>
      <c r="N57" s="4"/>
      <c r="O57" s="4"/>
      <c r="P57" s="4"/>
      <c r="Q57" s="4"/>
      <c r="R57" s="4"/>
      <c r="S57" s="4"/>
      <c r="T57" s="4"/>
      <c r="U57" s="4"/>
      <c r="V57" s="4"/>
      <c r="W57" s="4"/>
      <c r="X57" s="4"/>
      <c r="Y57" s="4"/>
      <c r="Z57" s="4"/>
    </row>
    <row r="58" spans="1:26" ht="14.25" customHeight="1">
      <c r="A58" s="4"/>
      <c r="B58" s="4"/>
      <c r="C58" s="112"/>
      <c r="D58" s="4"/>
      <c r="E58" s="15"/>
      <c r="F58" s="4"/>
      <c r="G58" s="4"/>
      <c r="H58" s="4"/>
      <c r="I58" s="4"/>
      <c r="J58" s="4"/>
      <c r="K58" s="4"/>
      <c r="L58" s="4"/>
      <c r="M58" s="4"/>
      <c r="N58" s="4"/>
      <c r="O58" s="4"/>
      <c r="P58" s="4"/>
      <c r="Q58" s="4"/>
      <c r="R58" s="4"/>
      <c r="S58" s="4"/>
      <c r="T58" s="4"/>
      <c r="U58" s="4"/>
      <c r="V58" s="4"/>
      <c r="W58" s="4"/>
      <c r="X58" s="4"/>
      <c r="Y58" s="4"/>
      <c r="Z58" s="4"/>
    </row>
    <row r="59" spans="1:26" ht="14.25" customHeight="1">
      <c r="A59" s="4"/>
      <c r="B59" s="4"/>
      <c r="C59" s="112"/>
      <c r="D59" s="4"/>
      <c r="E59" s="15"/>
      <c r="F59" s="4"/>
      <c r="G59" s="4"/>
      <c r="H59" s="4"/>
      <c r="I59" s="4"/>
      <c r="J59" s="4"/>
      <c r="K59" s="4"/>
      <c r="L59" s="4"/>
      <c r="M59" s="4"/>
      <c r="N59" s="4"/>
      <c r="O59" s="4"/>
      <c r="P59" s="4"/>
      <c r="Q59" s="4"/>
      <c r="R59" s="4"/>
      <c r="S59" s="4"/>
      <c r="T59" s="4"/>
      <c r="U59" s="4"/>
      <c r="V59" s="4"/>
      <c r="W59" s="4"/>
      <c r="X59" s="4"/>
      <c r="Y59" s="4"/>
      <c r="Z59" s="4"/>
    </row>
    <row r="60" spans="1:26" ht="14.25" customHeight="1">
      <c r="A60" s="4"/>
      <c r="B60" s="4"/>
      <c r="C60" s="112"/>
      <c r="D60" s="4"/>
      <c r="E60" s="15"/>
      <c r="F60" s="4"/>
      <c r="G60" s="4"/>
      <c r="H60" s="4"/>
      <c r="I60" s="4"/>
      <c r="J60" s="4"/>
      <c r="K60" s="4"/>
      <c r="L60" s="4"/>
      <c r="M60" s="4"/>
      <c r="N60" s="4"/>
      <c r="O60" s="4"/>
      <c r="P60" s="4"/>
      <c r="Q60" s="4"/>
      <c r="R60" s="4"/>
      <c r="S60" s="4"/>
      <c r="T60" s="4"/>
      <c r="U60" s="4"/>
      <c r="V60" s="4"/>
      <c r="W60" s="4"/>
      <c r="X60" s="4"/>
      <c r="Y60" s="4"/>
      <c r="Z60" s="4"/>
    </row>
    <row r="61" spans="1:26" ht="14.25" customHeight="1">
      <c r="A61" s="4"/>
      <c r="B61" s="4"/>
      <c r="C61" s="112"/>
      <c r="D61" s="4"/>
      <c r="E61" s="15"/>
      <c r="F61" s="4"/>
      <c r="G61" s="4"/>
      <c r="H61" s="4"/>
      <c r="I61" s="4"/>
      <c r="J61" s="4"/>
      <c r="K61" s="4"/>
      <c r="L61" s="4"/>
      <c r="M61" s="4"/>
      <c r="N61" s="4"/>
      <c r="O61" s="4"/>
      <c r="P61" s="4"/>
      <c r="Q61" s="4"/>
      <c r="R61" s="4"/>
      <c r="S61" s="4"/>
      <c r="T61" s="4"/>
      <c r="U61" s="4"/>
      <c r="V61" s="4"/>
      <c r="W61" s="4"/>
      <c r="X61" s="4"/>
      <c r="Y61" s="4"/>
      <c r="Z61" s="4"/>
    </row>
    <row r="62" spans="1:26" ht="14.25" customHeight="1">
      <c r="A62" s="4"/>
      <c r="B62" s="4"/>
      <c r="C62" s="112"/>
      <c r="D62" s="4"/>
      <c r="E62" s="15"/>
      <c r="F62" s="4"/>
      <c r="G62" s="4"/>
      <c r="H62" s="4"/>
      <c r="I62" s="4"/>
      <c r="J62" s="4"/>
      <c r="K62" s="4"/>
      <c r="L62" s="4"/>
      <c r="M62" s="4"/>
      <c r="N62" s="4"/>
      <c r="O62" s="4"/>
      <c r="P62" s="4"/>
      <c r="Q62" s="4"/>
      <c r="R62" s="4"/>
      <c r="S62" s="4"/>
      <c r="T62" s="4"/>
      <c r="U62" s="4"/>
      <c r="V62" s="4"/>
      <c r="W62" s="4"/>
      <c r="X62" s="4"/>
      <c r="Y62" s="4"/>
      <c r="Z62" s="4"/>
    </row>
    <row r="63" spans="1:26" ht="14.25" customHeight="1">
      <c r="A63" s="4"/>
      <c r="B63" s="4"/>
      <c r="C63" s="112"/>
      <c r="D63" s="4"/>
      <c r="E63" s="15"/>
      <c r="F63" s="4"/>
      <c r="G63" s="4"/>
      <c r="H63" s="4"/>
      <c r="I63" s="4"/>
      <c r="J63" s="4"/>
      <c r="K63" s="4"/>
      <c r="L63" s="4"/>
      <c r="M63" s="4"/>
      <c r="N63" s="4"/>
      <c r="O63" s="4"/>
      <c r="P63" s="4"/>
      <c r="Q63" s="4"/>
      <c r="R63" s="4"/>
      <c r="S63" s="4"/>
      <c r="T63" s="4"/>
      <c r="U63" s="4"/>
      <c r="V63" s="4"/>
      <c r="W63" s="4"/>
      <c r="X63" s="4"/>
      <c r="Y63" s="4"/>
      <c r="Z63" s="4"/>
    </row>
    <row r="64" spans="1:26" ht="14.25" customHeight="1">
      <c r="A64" s="4"/>
      <c r="B64" s="4"/>
      <c r="C64" s="112"/>
      <c r="D64" s="4"/>
      <c r="E64" s="15"/>
      <c r="F64" s="4"/>
      <c r="G64" s="4"/>
      <c r="H64" s="4"/>
      <c r="I64" s="4"/>
      <c r="J64" s="4"/>
      <c r="K64" s="4"/>
      <c r="L64" s="4"/>
      <c r="M64" s="4"/>
      <c r="N64" s="4"/>
      <c r="O64" s="4"/>
      <c r="P64" s="4"/>
      <c r="Q64" s="4"/>
      <c r="R64" s="4"/>
      <c r="S64" s="4"/>
      <c r="T64" s="4"/>
      <c r="U64" s="4"/>
      <c r="V64" s="4"/>
      <c r="W64" s="4"/>
      <c r="X64" s="4"/>
      <c r="Y64" s="4"/>
      <c r="Z64" s="4"/>
    </row>
    <row r="65" spans="1:26" ht="14.25" customHeight="1">
      <c r="A65" s="4"/>
      <c r="B65" s="4"/>
      <c r="C65" s="112"/>
      <c r="D65" s="4"/>
      <c r="E65" s="15"/>
      <c r="F65" s="4"/>
      <c r="G65" s="4"/>
      <c r="H65" s="4"/>
      <c r="I65" s="4"/>
      <c r="J65" s="4"/>
      <c r="K65" s="4"/>
      <c r="L65" s="4"/>
      <c r="M65" s="4"/>
      <c r="N65" s="4"/>
      <c r="O65" s="4"/>
      <c r="P65" s="4"/>
      <c r="Q65" s="4"/>
      <c r="R65" s="4"/>
      <c r="S65" s="4"/>
      <c r="T65" s="4"/>
      <c r="U65" s="4"/>
      <c r="V65" s="4"/>
      <c r="W65" s="4"/>
      <c r="X65" s="4"/>
      <c r="Y65" s="4"/>
      <c r="Z65" s="4"/>
    </row>
    <row r="66" spans="1:26" ht="14.25" customHeight="1">
      <c r="A66" s="4"/>
      <c r="B66" s="4"/>
      <c r="C66" s="112"/>
      <c r="D66" s="4"/>
      <c r="E66" s="15"/>
      <c r="F66" s="4"/>
      <c r="G66" s="4"/>
      <c r="H66" s="4"/>
      <c r="I66" s="4"/>
      <c r="J66" s="4"/>
      <c r="K66" s="4"/>
      <c r="L66" s="4"/>
      <c r="M66" s="4"/>
      <c r="N66" s="4"/>
      <c r="O66" s="4"/>
      <c r="P66" s="4"/>
      <c r="Q66" s="4"/>
      <c r="R66" s="4"/>
      <c r="S66" s="4"/>
      <c r="T66" s="4"/>
      <c r="U66" s="4"/>
      <c r="V66" s="4"/>
      <c r="W66" s="4"/>
      <c r="X66" s="4"/>
      <c r="Y66" s="4"/>
      <c r="Z66" s="4"/>
    </row>
    <row r="67" spans="1:26" ht="14.25" customHeight="1">
      <c r="A67" s="4"/>
      <c r="B67" s="4"/>
      <c r="C67" s="112"/>
      <c r="D67" s="4"/>
      <c r="E67" s="15"/>
      <c r="F67" s="4"/>
      <c r="G67" s="4"/>
      <c r="H67" s="4"/>
      <c r="I67" s="4"/>
      <c r="J67" s="4"/>
      <c r="K67" s="4"/>
      <c r="L67" s="4"/>
      <c r="M67" s="4"/>
      <c r="N67" s="4"/>
      <c r="O67" s="4"/>
      <c r="P67" s="4"/>
      <c r="Q67" s="4"/>
      <c r="R67" s="4"/>
      <c r="S67" s="4"/>
      <c r="T67" s="4"/>
      <c r="U67" s="4"/>
      <c r="V67" s="4"/>
      <c r="W67" s="4"/>
      <c r="X67" s="4"/>
      <c r="Y67" s="4"/>
      <c r="Z67" s="4"/>
    </row>
    <row r="68" spans="1:26" ht="14.25" customHeight="1">
      <c r="A68" s="4"/>
      <c r="B68" s="4"/>
      <c r="C68" s="112"/>
      <c r="D68" s="4"/>
      <c r="E68" s="15"/>
      <c r="F68" s="4"/>
      <c r="G68" s="4"/>
      <c r="H68" s="4"/>
      <c r="I68" s="4"/>
      <c r="J68" s="4"/>
      <c r="K68" s="4"/>
      <c r="L68" s="4"/>
      <c r="M68" s="4"/>
      <c r="N68" s="4"/>
      <c r="O68" s="4"/>
      <c r="P68" s="4"/>
      <c r="Q68" s="4"/>
      <c r="R68" s="4"/>
      <c r="S68" s="4"/>
      <c r="T68" s="4"/>
      <c r="U68" s="4"/>
      <c r="V68" s="4"/>
      <c r="W68" s="4"/>
      <c r="X68" s="4"/>
      <c r="Y68" s="4"/>
      <c r="Z68" s="4"/>
    </row>
    <row r="69" spans="1:26" ht="14.25" customHeight="1">
      <c r="A69" s="4"/>
      <c r="B69" s="4"/>
      <c r="C69" s="112"/>
      <c r="D69" s="4"/>
      <c r="E69" s="15"/>
      <c r="F69" s="4"/>
      <c r="G69" s="4"/>
      <c r="H69" s="4"/>
      <c r="I69" s="4"/>
      <c r="J69" s="4"/>
      <c r="K69" s="4"/>
      <c r="L69" s="4"/>
      <c r="M69" s="4"/>
      <c r="N69" s="4"/>
      <c r="O69" s="4"/>
      <c r="P69" s="4"/>
      <c r="Q69" s="4"/>
      <c r="R69" s="4"/>
      <c r="S69" s="4"/>
      <c r="T69" s="4"/>
      <c r="U69" s="4"/>
      <c r="V69" s="4"/>
      <c r="W69" s="4"/>
      <c r="X69" s="4"/>
      <c r="Y69" s="4"/>
      <c r="Z69" s="4"/>
    </row>
    <row r="70" spans="1:26" ht="14.25" customHeight="1">
      <c r="A70" s="4"/>
      <c r="B70" s="4"/>
      <c r="C70" s="112"/>
      <c r="D70" s="4"/>
      <c r="E70" s="15"/>
      <c r="F70" s="4"/>
      <c r="G70" s="4"/>
      <c r="H70" s="4"/>
      <c r="I70" s="4"/>
      <c r="J70" s="4"/>
      <c r="K70" s="4"/>
      <c r="L70" s="4"/>
      <c r="M70" s="4"/>
      <c r="N70" s="4"/>
      <c r="O70" s="4"/>
      <c r="P70" s="4"/>
      <c r="Q70" s="4"/>
      <c r="R70" s="4"/>
      <c r="S70" s="4"/>
      <c r="T70" s="4"/>
      <c r="U70" s="4"/>
      <c r="V70" s="4"/>
      <c r="W70" s="4"/>
      <c r="X70" s="4"/>
      <c r="Y70" s="4"/>
      <c r="Z70" s="4"/>
    </row>
    <row r="71" spans="1:26" ht="14.25" customHeight="1">
      <c r="A71" s="4"/>
      <c r="B71" s="4"/>
      <c r="C71" s="112"/>
      <c r="D71" s="4"/>
      <c r="E71" s="15"/>
      <c r="F71" s="4"/>
      <c r="G71" s="4"/>
      <c r="H71" s="4"/>
      <c r="I71" s="4"/>
      <c r="J71" s="4"/>
      <c r="K71" s="4"/>
      <c r="L71" s="4"/>
      <c r="M71" s="4"/>
      <c r="N71" s="4"/>
      <c r="O71" s="4"/>
      <c r="P71" s="4"/>
      <c r="Q71" s="4"/>
      <c r="R71" s="4"/>
      <c r="S71" s="4"/>
      <c r="T71" s="4"/>
      <c r="U71" s="4"/>
      <c r="V71" s="4"/>
      <c r="W71" s="4"/>
      <c r="X71" s="4"/>
      <c r="Y71" s="4"/>
      <c r="Z71" s="4"/>
    </row>
    <row r="72" spans="1:26" ht="14.25" customHeight="1">
      <c r="A72" s="4"/>
      <c r="B72" s="4"/>
      <c r="C72" s="112"/>
      <c r="D72" s="4"/>
      <c r="E72" s="15"/>
      <c r="F72" s="4"/>
      <c r="G72" s="4"/>
      <c r="H72" s="4"/>
      <c r="I72" s="4"/>
      <c r="J72" s="4"/>
      <c r="K72" s="4"/>
      <c r="L72" s="4"/>
      <c r="M72" s="4"/>
      <c r="N72" s="4"/>
      <c r="O72" s="4"/>
      <c r="P72" s="4"/>
      <c r="Q72" s="4"/>
      <c r="R72" s="4"/>
      <c r="S72" s="4"/>
      <c r="T72" s="4"/>
      <c r="U72" s="4"/>
      <c r="V72" s="4"/>
      <c r="W72" s="4"/>
      <c r="X72" s="4"/>
      <c r="Y72" s="4"/>
      <c r="Z72" s="4"/>
    </row>
    <row r="73" spans="1:26" ht="14.25" customHeight="1">
      <c r="A73" s="4"/>
      <c r="B73" s="4"/>
      <c r="C73" s="112"/>
      <c r="D73" s="4"/>
      <c r="E73" s="15"/>
      <c r="F73" s="4"/>
      <c r="G73" s="4"/>
      <c r="H73" s="4"/>
      <c r="I73" s="4"/>
      <c r="J73" s="4"/>
      <c r="K73" s="4"/>
      <c r="L73" s="4"/>
      <c r="M73" s="4"/>
      <c r="N73" s="4"/>
      <c r="O73" s="4"/>
      <c r="P73" s="4"/>
      <c r="Q73" s="4"/>
      <c r="R73" s="4"/>
      <c r="S73" s="4"/>
      <c r="T73" s="4"/>
      <c r="U73" s="4"/>
      <c r="V73" s="4"/>
      <c r="W73" s="4"/>
      <c r="X73" s="4"/>
      <c r="Y73" s="4"/>
      <c r="Z73" s="4"/>
    </row>
    <row r="74" spans="1:26" ht="14.25" customHeight="1">
      <c r="A74" s="4"/>
      <c r="B74" s="4"/>
      <c r="C74" s="112"/>
      <c r="D74" s="4"/>
      <c r="E74" s="15"/>
      <c r="F74" s="4"/>
      <c r="G74" s="4"/>
      <c r="H74" s="4"/>
      <c r="I74" s="4"/>
      <c r="J74" s="4"/>
      <c r="K74" s="4"/>
      <c r="L74" s="4"/>
      <c r="M74" s="4"/>
      <c r="N74" s="4"/>
      <c r="O74" s="4"/>
      <c r="P74" s="4"/>
      <c r="Q74" s="4"/>
      <c r="R74" s="4"/>
      <c r="S74" s="4"/>
      <c r="T74" s="4"/>
      <c r="U74" s="4"/>
      <c r="V74" s="4"/>
      <c r="W74" s="4"/>
      <c r="X74" s="4"/>
      <c r="Y74" s="4"/>
      <c r="Z74" s="4"/>
    </row>
    <row r="75" spans="1:26" ht="14.25" customHeight="1">
      <c r="A75" s="4"/>
      <c r="B75" s="4"/>
      <c r="C75" s="112"/>
      <c r="D75" s="4"/>
      <c r="E75" s="15"/>
      <c r="F75" s="4"/>
      <c r="G75" s="4"/>
      <c r="H75" s="4"/>
      <c r="I75" s="4"/>
      <c r="J75" s="4"/>
      <c r="K75" s="4"/>
      <c r="L75" s="4"/>
      <c r="M75" s="4"/>
      <c r="N75" s="4"/>
      <c r="O75" s="4"/>
      <c r="P75" s="4"/>
      <c r="Q75" s="4"/>
      <c r="R75" s="4"/>
      <c r="S75" s="4"/>
      <c r="T75" s="4"/>
      <c r="U75" s="4"/>
      <c r="V75" s="4"/>
      <c r="W75" s="4"/>
      <c r="X75" s="4"/>
      <c r="Y75" s="4"/>
      <c r="Z75" s="4"/>
    </row>
    <row r="76" spans="1:26" ht="14.25" customHeight="1">
      <c r="A76" s="4"/>
      <c r="B76" s="4"/>
      <c r="C76" s="112"/>
      <c r="D76" s="4"/>
      <c r="E76" s="15"/>
      <c r="F76" s="4"/>
      <c r="G76" s="4"/>
      <c r="H76" s="4"/>
      <c r="I76" s="4"/>
      <c r="J76" s="4"/>
      <c r="K76" s="4"/>
      <c r="L76" s="4"/>
      <c r="M76" s="4"/>
      <c r="N76" s="4"/>
      <c r="O76" s="4"/>
      <c r="P76" s="4"/>
      <c r="Q76" s="4"/>
      <c r="R76" s="4"/>
      <c r="S76" s="4"/>
      <c r="T76" s="4"/>
      <c r="U76" s="4"/>
      <c r="V76" s="4"/>
      <c r="W76" s="4"/>
      <c r="X76" s="4"/>
      <c r="Y76" s="4"/>
      <c r="Z76" s="4"/>
    </row>
    <row r="77" spans="1:26" ht="14.25" customHeight="1">
      <c r="A77" s="4"/>
      <c r="B77" s="4"/>
      <c r="C77" s="112"/>
      <c r="D77" s="4"/>
      <c r="E77" s="15"/>
      <c r="F77" s="4"/>
      <c r="G77" s="4"/>
      <c r="H77" s="4"/>
      <c r="I77" s="4"/>
      <c r="J77" s="4"/>
      <c r="K77" s="4"/>
      <c r="L77" s="4"/>
      <c r="M77" s="4"/>
      <c r="N77" s="4"/>
      <c r="O77" s="4"/>
      <c r="P77" s="4"/>
      <c r="Q77" s="4"/>
      <c r="R77" s="4"/>
      <c r="S77" s="4"/>
      <c r="T77" s="4"/>
      <c r="U77" s="4"/>
      <c r="V77" s="4"/>
      <c r="W77" s="4"/>
      <c r="X77" s="4"/>
      <c r="Y77" s="4"/>
      <c r="Z77" s="4"/>
    </row>
    <row r="78" spans="1:26" ht="14.25" customHeight="1">
      <c r="A78" s="4"/>
      <c r="B78" s="4"/>
      <c r="C78" s="112"/>
      <c r="D78" s="4"/>
      <c r="E78" s="15"/>
      <c r="F78" s="4"/>
      <c r="G78" s="4"/>
      <c r="H78" s="4"/>
      <c r="I78" s="4"/>
      <c r="J78" s="4"/>
      <c r="K78" s="4"/>
      <c r="L78" s="4"/>
      <c r="M78" s="4"/>
      <c r="N78" s="4"/>
      <c r="O78" s="4"/>
      <c r="P78" s="4"/>
      <c r="Q78" s="4"/>
      <c r="R78" s="4"/>
      <c r="S78" s="4"/>
      <c r="T78" s="4"/>
      <c r="U78" s="4"/>
      <c r="V78" s="4"/>
      <c r="W78" s="4"/>
      <c r="X78" s="4"/>
      <c r="Y78" s="4"/>
      <c r="Z78" s="4"/>
    </row>
    <row r="79" spans="1:26" ht="14.25" customHeight="1">
      <c r="A79" s="4"/>
      <c r="B79" s="4"/>
      <c r="C79" s="112"/>
      <c r="D79" s="4"/>
      <c r="E79" s="15"/>
      <c r="F79" s="4"/>
      <c r="G79" s="4"/>
      <c r="H79" s="4"/>
      <c r="I79" s="4"/>
      <c r="J79" s="4"/>
      <c r="K79" s="4"/>
      <c r="L79" s="4"/>
      <c r="M79" s="4"/>
      <c r="N79" s="4"/>
      <c r="O79" s="4"/>
      <c r="P79" s="4"/>
      <c r="Q79" s="4"/>
      <c r="R79" s="4"/>
      <c r="S79" s="4"/>
      <c r="T79" s="4"/>
      <c r="U79" s="4"/>
      <c r="V79" s="4"/>
      <c r="W79" s="4"/>
      <c r="X79" s="4"/>
      <c r="Y79" s="4"/>
      <c r="Z79" s="4"/>
    </row>
    <row r="80" spans="1:26" ht="14.25" customHeight="1">
      <c r="A80" s="4"/>
      <c r="B80" s="4"/>
      <c r="C80" s="112"/>
      <c r="D80" s="4"/>
      <c r="E80" s="15"/>
      <c r="F80" s="4"/>
      <c r="G80" s="4"/>
      <c r="H80" s="4"/>
      <c r="I80" s="4"/>
      <c r="J80" s="4"/>
      <c r="K80" s="4"/>
      <c r="L80" s="4"/>
      <c r="M80" s="4"/>
      <c r="N80" s="4"/>
      <c r="O80" s="4"/>
      <c r="P80" s="4"/>
      <c r="Q80" s="4"/>
      <c r="R80" s="4"/>
      <c r="S80" s="4"/>
      <c r="T80" s="4"/>
      <c r="U80" s="4"/>
      <c r="V80" s="4"/>
      <c r="W80" s="4"/>
      <c r="X80" s="4"/>
      <c r="Y80" s="4"/>
      <c r="Z80" s="4"/>
    </row>
    <row r="81" spans="1:26" ht="14.25" customHeight="1">
      <c r="A81" s="4"/>
      <c r="B81" s="4"/>
      <c r="C81" s="112"/>
      <c r="D81" s="4"/>
      <c r="E81" s="15"/>
      <c r="F81" s="4"/>
      <c r="G81" s="4"/>
      <c r="H81" s="4"/>
      <c r="I81" s="4"/>
      <c r="J81" s="4"/>
      <c r="K81" s="4"/>
      <c r="L81" s="4"/>
      <c r="M81" s="4"/>
      <c r="N81" s="4"/>
      <c r="O81" s="4"/>
      <c r="P81" s="4"/>
      <c r="Q81" s="4"/>
      <c r="R81" s="4"/>
      <c r="S81" s="4"/>
      <c r="T81" s="4"/>
      <c r="U81" s="4"/>
      <c r="V81" s="4"/>
      <c r="W81" s="4"/>
      <c r="X81" s="4"/>
      <c r="Y81" s="4"/>
      <c r="Z81" s="4"/>
    </row>
    <row r="82" spans="1:26" ht="14.25" customHeight="1">
      <c r="A82" s="4"/>
      <c r="B82" s="4"/>
      <c r="C82" s="112"/>
      <c r="D82" s="4"/>
      <c r="E82" s="15"/>
      <c r="F82" s="4"/>
      <c r="G82" s="4"/>
      <c r="H82" s="4"/>
      <c r="I82" s="4"/>
      <c r="J82" s="4"/>
      <c r="K82" s="4"/>
      <c r="L82" s="4"/>
      <c r="M82" s="4"/>
      <c r="N82" s="4"/>
      <c r="O82" s="4"/>
      <c r="P82" s="4"/>
      <c r="Q82" s="4"/>
      <c r="R82" s="4"/>
      <c r="S82" s="4"/>
      <c r="T82" s="4"/>
      <c r="U82" s="4"/>
      <c r="V82" s="4"/>
      <c r="W82" s="4"/>
      <c r="X82" s="4"/>
      <c r="Y82" s="4"/>
      <c r="Z82" s="4"/>
    </row>
    <row r="83" spans="1:26" ht="14.25" customHeight="1">
      <c r="A83" s="4"/>
      <c r="B83" s="4"/>
      <c r="C83" s="112"/>
      <c r="D83" s="4"/>
      <c r="E83" s="15"/>
      <c r="F83" s="4"/>
      <c r="G83" s="4"/>
      <c r="H83" s="4"/>
      <c r="I83" s="4"/>
      <c r="J83" s="4"/>
      <c r="K83" s="4"/>
      <c r="L83" s="4"/>
      <c r="M83" s="4"/>
      <c r="N83" s="4"/>
      <c r="O83" s="4"/>
      <c r="P83" s="4"/>
      <c r="Q83" s="4"/>
      <c r="R83" s="4"/>
      <c r="S83" s="4"/>
      <c r="T83" s="4"/>
      <c r="U83" s="4"/>
      <c r="V83" s="4"/>
      <c r="W83" s="4"/>
      <c r="X83" s="4"/>
      <c r="Y83" s="4"/>
      <c r="Z83" s="4"/>
    </row>
    <row r="84" spans="1:26" ht="14.25" customHeight="1">
      <c r="A84" s="4"/>
      <c r="B84" s="4"/>
      <c r="C84" s="112"/>
      <c r="D84" s="4"/>
      <c r="E84" s="15"/>
      <c r="F84" s="4"/>
      <c r="G84" s="4"/>
      <c r="H84" s="4"/>
      <c r="I84" s="4"/>
      <c r="J84" s="4"/>
      <c r="K84" s="4"/>
      <c r="L84" s="4"/>
      <c r="M84" s="4"/>
      <c r="N84" s="4"/>
      <c r="O84" s="4"/>
      <c r="P84" s="4"/>
      <c r="Q84" s="4"/>
      <c r="R84" s="4"/>
      <c r="S84" s="4"/>
      <c r="T84" s="4"/>
      <c r="U84" s="4"/>
      <c r="V84" s="4"/>
      <c r="W84" s="4"/>
      <c r="X84" s="4"/>
      <c r="Y84" s="4"/>
      <c r="Z84" s="4"/>
    </row>
    <row r="85" spans="1:26" ht="14.25" customHeight="1">
      <c r="A85" s="4"/>
      <c r="B85" s="4"/>
      <c r="C85" s="112"/>
      <c r="D85" s="4"/>
      <c r="E85" s="15"/>
      <c r="F85" s="4"/>
      <c r="G85" s="4"/>
      <c r="H85" s="4"/>
      <c r="I85" s="4"/>
      <c r="J85" s="4"/>
      <c r="K85" s="4"/>
      <c r="L85" s="4"/>
      <c r="M85" s="4"/>
      <c r="N85" s="4"/>
      <c r="O85" s="4"/>
      <c r="P85" s="4"/>
      <c r="Q85" s="4"/>
      <c r="R85" s="4"/>
      <c r="S85" s="4"/>
      <c r="T85" s="4"/>
      <c r="U85" s="4"/>
      <c r="V85" s="4"/>
      <c r="W85" s="4"/>
      <c r="X85" s="4"/>
      <c r="Y85" s="4"/>
      <c r="Z85" s="4"/>
    </row>
    <row r="86" spans="1:26" ht="14.25" customHeight="1">
      <c r="A86" s="4"/>
      <c r="B86" s="4"/>
      <c r="C86" s="112"/>
      <c r="D86" s="4"/>
      <c r="E86" s="15"/>
      <c r="F86" s="4"/>
      <c r="G86" s="4"/>
      <c r="H86" s="4"/>
      <c r="I86" s="4"/>
      <c r="J86" s="4"/>
      <c r="K86" s="4"/>
      <c r="L86" s="4"/>
      <c r="M86" s="4"/>
      <c r="N86" s="4"/>
      <c r="O86" s="4"/>
      <c r="P86" s="4"/>
      <c r="Q86" s="4"/>
      <c r="R86" s="4"/>
      <c r="S86" s="4"/>
      <c r="T86" s="4"/>
      <c r="U86" s="4"/>
      <c r="V86" s="4"/>
      <c r="W86" s="4"/>
      <c r="X86" s="4"/>
      <c r="Y86" s="4"/>
      <c r="Z86" s="4"/>
    </row>
    <row r="87" spans="1:26" ht="14.25" customHeight="1">
      <c r="A87" s="4"/>
      <c r="B87" s="4"/>
      <c r="C87" s="112"/>
      <c r="D87" s="4"/>
      <c r="E87" s="15"/>
      <c r="F87" s="4"/>
      <c r="G87" s="4"/>
      <c r="H87" s="4"/>
      <c r="I87" s="4"/>
      <c r="J87" s="4"/>
      <c r="K87" s="4"/>
      <c r="L87" s="4"/>
      <c r="M87" s="4"/>
      <c r="N87" s="4"/>
      <c r="O87" s="4"/>
      <c r="P87" s="4"/>
      <c r="Q87" s="4"/>
      <c r="R87" s="4"/>
      <c r="S87" s="4"/>
      <c r="T87" s="4"/>
      <c r="U87" s="4"/>
      <c r="V87" s="4"/>
      <c r="W87" s="4"/>
      <c r="X87" s="4"/>
      <c r="Y87" s="4"/>
      <c r="Z87" s="4"/>
    </row>
    <row r="88" spans="1:26" ht="14.25" customHeight="1">
      <c r="A88" s="4"/>
      <c r="B88" s="4"/>
      <c r="C88" s="112"/>
      <c r="D88" s="4"/>
      <c r="E88" s="15"/>
      <c r="F88" s="4"/>
      <c r="G88" s="4"/>
      <c r="H88" s="4"/>
      <c r="I88" s="4"/>
      <c r="J88" s="4"/>
      <c r="K88" s="4"/>
      <c r="L88" s="4"/>
      <c r="M88" s="4"/>
      <c r="N88" s="4"/>
      <c r="O88" s="4"/>
      <c r="P88" s="4"/>
      <c r="Q88" s="4"/>
      <c r="R88" s="4"/>
      <c r="S88" s="4"/>
      <c r="T88" s="4"/>
      <c r="U88" s="4"/>
      <c r="V88" s="4"/>
      <c r="W88" s="4"/>
      <c r="X88" s="4"/>
      <c r="Y88" s="4"/>
      <c r="Z88" s="4"/>
    </row>
    <row r="89" spans="1:26" ht="14.25" customHeight="1">
      <c r="A89" s="4"/>
      <c r="B89" s="4"/>
      <c r="C89" s="112"/>
      <c r="D89" s="4"/>
      <c r="E89" s="15"/>
      <c r="F89" s="4"/>
      <c r="G89" s="4"/>
      <c r="H89" s="4"/>
      <c r="I89" s="4"/>
      <c r="J89" s="4"/>
      <c r="K89" s="4"/>
      <c r="L89" s="4"/>
      <c r="M89" s="4"/>
      <c r="N89" s="4"/>
      <c r="O89" s="4"/>
      <c r="P89" s="4"/>
      <c r="Q89" s="4"/>
      <c r="R89" s="4"/>
      <c r="S89" s="4"/>
      <c r="T89" s="4"/>
      <c r="U89" s="4"/>
      <c r="V89" s="4"/>
      <c r="W89" s="4"/>
      <c r="X89" s="4"/>
      <c r="Y89" s="4"/>
      <c r="Z89" s="4"/>
    </row>
    <row r="90" spans="1:26" ht="14.25" customHeight="1">
      <c r="A90" s="4"/>
      <c r="B90" s="4"/>
      <c r="C90" s="112"/>
      <c r="D90" s="4"/>
      <c r="E90" s="15"/>
      <c r="F90" s="4"/>
      <c r="G90" s="4"/>
      <c r="H90" s="4"/>
      <c r="I90" s="4"/>
      <c r="J90" s="4"/>
      <c r="K90" s="4"/>
      <c r="L90" s="4"/>
      <c r="M90" s="4"/>
      <c r="N90" s="4"/>
      <c r="O90" s="4"/>
      <c r="P90" s="4"/>
      <c r="Q90" s="4"/>
      <c r="R90" s="4"/>
      <c r="S90" s="4"/>
      <c r="T90" s="4"/>
      <c r="U90" s="4"/>
      <c r="V90" s="4"/>
      <c r="W90" s="4"/>
      <c r="X90" s="4"/>
      <c r="Y90" s="4"/>
      <c r="Z90" s="4"/>
    </row>
    <row r="91" spans="1:26" ht="14.25" customHeight="1">
      <c r="A91" s="4"/>
      <c r="B91" s="4"/>
      <c r="C91" s="112"/>
      <c r="D91" s="4"/>
      <c r="E91" s="15"/>
      <c r="F91" s="4"/>
      <c r="G91" s="4"/>
      <c r="H91" s="4"/>
      <c r="I91" s="4"/>
      <c r="J91" s="4"/>
      <c r="K91" s="4"/>
      <c r="L91" s="4"/>
      <c r="M91" s="4"/>
      <c r="N91" s="4"/>
      <c r="O91" s="4"/>
      <c r="P91" s="4"/>
      <c r="Q91" s="4"/>
      <c r="R91" s="4"/>
      <c r="S91" s="4"/>
      <c r="T91" s="4"/>
      <c r="U91" s="4"/>
      <c r="V91" s="4"/>
      <c r="W91" s="4"/>
      <c r="X91" s="4"/>
      <c r="Y91" s="4"/>
      <c r="Z91" s="4"/>
    </row>
    <row r="92" spans="1:26" ht="14.25" customHeight="1">
      <c r="A92" s="4"/>
      <c r="B92" s="4"/>
      <c r="C92" s="112"/>
      <c r="D92" s="4"/>
      <c r="E92" s="15"/>
      <c r="F92" s="4"/>
      <c r="G92" s="4"/>
      <c r="H92" s="4"/>
      <c r="I92" s="4"/>
      <c r="J92" s="4"/>
      <c r="K92" s="4"/>
      <c r="L92" s="4"/>
      <c r="M92" s="4"/>
      <c r="N92" s="4"/>
      <c r="O92" s="4"/>
      <c r="P92" s="4"/>
      <c r="Q92" s="4"/>
      <c r="R92" s="4"/>
      <c r="S92" s="4"/>
      <c r="T92" s="4"/>
      <c r="U92" s="4"/>
      <c r="V92" s="4"/>
      <c r="W92" s="4"/>
      <c r="X92" s="4"/>
      <c r="Y92" s="4"/>
      <c r="Z92" s="4"/>
    </row>
    <row r="93" spans="1:26" ht="14.25" customHeight="1">
      <c r="A93" s="4"/>
      <c r="B93" s="4"/>
      <c r="C93" s="112"/>
      <c r="D93" s="4"/>
      <c r="E93" s="15"/>
      <c r="F93" s="4"/>
      <c r="G93" s="4"/>
      <c r="H93" s="4"/>
      <c r="I93" s="4"/>
      <c r="J93" s="4"/>
      <c r="K93" s="4"/>
      <c r="L93" s="4"/>
      <c r="M93" s="4"/>
      <c r="N93" s="4"/>
      <c r="O93" s="4"/>
      <c r="P93" s="4"/>
      <c r="Q93" s="4"/>
      <c r="R93" s="4"/>
      <c r="S93" s="4"/>
      <c r="T93" s="4"/>
      <c r="U93" s="4"/>
      <c r="V93" s="4"/>
      <c r="W93" s="4"/>
      <c r="X93" s="4"/>
      <c r="Y93" s="4"/>
      <c r="Z93" s="4"/>
    </row>
    <row r="94" spans="1:26" ht="14.25" customHeight="1">
      <c r="A94" s="4"/>
      <c r="B94" s="4"/>
      <c r="C94" s="112"/>
      <c r="D94" s="4"/>
      <c r="E94" s="15"/>
      <c r="F94" s="4"/>
      <c r="G94" s="4"/>
      <c r="H94" s="4"/>
      <c r="I94" s="4"/>
      <c r="J94" s="4"/>
      <c r="K94" s="4"/>
      <c r="L94" s="4"/>
      <c r="M94" s="4"/>
      <c r="N94" s="4"/>
      <c r="O94" s="4"/>
      <c r="P94" s="4"/>
      <c r="Q94" s="4"/>
      <c r="R94" s="4"/>
      <c r="S94" s="4"/>
      <c r="T94" s="4"/>
      <c r="U94" s="4"/>
      <c r="V94" s="4"/>
      <c r="W94" s="4"/>
      <c r="X94" s="4"/>
      <c r="Y94" s="4"/>
      <c r="Z94" s="4"/>
    </row>
    <row r="95" spans="1:26" ht="14.25" customHeight="1">
      <c r="A95" s="4"/>
      <c r="B95" s="4"/>
      <c r="C95" s="112"/>
      <c r="D95" s="4"/>
      <c r="E95" s="15"/>
      <c r="F95" s="4"/>
      <c r="G95" s="4"/>
      <c r="H95" s="4"/>
      <c r="I95" s="4"/>
      <c r="J95" s="4"/>
      <c r="K95" s="4"/>
      <c r="L95" s="4"/>
      <c r="M95" s="4"/>
      <c r="N95" s="4"/>
      <c r="O95" s="4"/>
      <c r="P95" s="4"/>
      <c r="Q95" s="4"/>
      <c r="R95" s="4"/>
      <c r="S95" s="4"/>
      <c r="T95" s="4"/>
      <c r="U95" s="4"/>
      <c r="V95" s="4"/>
      <c r="W95" s="4"/>
      <c r="X95" s="4"/>
      <c r="Y95" s="4"/>
      <c r="Z95" s="4"/>
    </row>
    <row r="96" spans="1:26" ht="14.25" customHeight="1">
      <c r="A96" s="4"/>
      <c r="B96" s="4"/>
      <c r="C96" s="112"/>
      <c r="D96" s="4"/>
      <c r="E96" s="15"/>
      <c r="F96" s="4"/>
      <c r="G96" s="4"/>
      <c r="H96" s="4"/>
      <c r="I96" s="4"/>
      <c r="J96" s="4"/>
      <c r="K96" s="4"/>
      <c r="L96" s="4"/>
      <c r="M96" s="4"/>
      <c r="N96" s="4"/>
      <c r="O96" s="4"/>
      <c r="P96" s="4"/>
      <c r="Q96" s="4"/>
      <c r="R96" s="4"/>
      <c r="S96" s="4"/>
      <c r="T96" s="4"/>
      <c r="U96" s="4"/>
      <c r="V96" s="4"/>
      <c r="W96" s="4"/>
      <c r="X96" s="4"/>
      <c r="Y96" s="4"/>
      <c r="Z96" s="4"/>
    </row>
    <row r="97" spans="1:26" ht="14.25" customHeight="1">
      <c r="A97" s="4"/>
      <c r="B97" s="4"/>
      <c r="C97" s="112"/>
      <c r="D97" s="4"/>
      <c r="E97" s="15"/>
      <c r="F97" s="4"/>
      <c r="G97" s="4"/>
      <c r="H97" s="4"/>
      <c r="I97" s="4"/>
      <c r="J97" s="4"/>
      <c r="K97" s="4"/>
      <c r="L97" s="4"/>
      <c r="M97" s="4"/>
      <c r="N97" s="4"/>
      <c r="O97" s="4"/>
      <c r="P97" s="4"/>
      <c r="Q97" s="4"/>
      <c r="R97" s="4"/>
      <c r="S97" s="4"/>
      <c r="T97" s="4"/>
      <c r="U97" s="4"/>
      <c r="V97" s="4"/>
      <c r="W97" s="4"/>
      <c r="X97" s="4"/>
      <c r="Y97" s="4"/>
      <c r="Z97" s="4"/>
    </row>
    <row r="98" spans="1:26" ht="14.25" customHeight="1">
      <c r="A98" s="4"/>
      <c r="B98" s="4"/>
      <c r="C98" s="112"/>
      <c r="D98" s="4"/>
      <c r="E98" s="15"/>
      <c r="F98" s="4"/>
      <c r="G98" s="4"/>
      <c r="H98" s="4"/>
      <c r="I98" s="4"/>
      <c r="J98" s="4"/>
      <c r="K98" s="4"/>
      <c r="L98" s="4"/>
      <c r="M98" s="4"/>
      <c r="N98" s="4"/>
      <c r="O98" s="4"/>
      <c r="P98" s="4"/>
      <c r="Q98" s="4"/>
      <c r="R98" s="4"/>
      <c r="S98" s="4"/>
      <c r="T98" s="4"/>
      <c r="U98" s="4"/>
      <c r="V98" s="4"/>
      <c r="W98" s="4"/>
      <c r="X98" s="4"/>
      <c r="Y98" s="4"/>
      <c r="Z98" s="4"/>
    </row>
    <row r="99" spans="1:26" ht="14.25" customHeight="1">
      <c r="A99" s="4"/>
      <c r="B99" s="4"/>
      <c r="C99" s="112"/>
      <c r="D99" s="4"/>
      <c r="E99" s="15"/>
      <c r="F99" s="4"/>
      <c r="G99" s="4"/>
      <c r="H99" s="4"/>
      <c r="I99" s="4"/>
      <c r="J99" s="4"/>
      <c r="K99" s="4"/>
      <c r="L99" s="4"/>
      <c r="M99" s="4"/>
      <c r="N99" s="4"/>
      <c r="O99" s="4"/>
      <c r="P99" s="4"/>
      <c r="Q99" s="4"/>
      <c r="R99" s="4"/>
      <c r="S99" s="4"/>
      <c r="T99" s="4"/>
      <c r="U99" s="4"/>
      <c r="V99" s="4"/>
      <c r="W99" s="4"/>
      <c r="X99" s="4"/>
      <c r="Y99" s="4"/>
      <c r="Z99" s="4"/>
    </row>
    <row r="100" spans="1:26" ht="14.25" customHeight="1">
      <c r="A100" s="4"/>
      <c r="B100" s="4"/>
      <c r="C100" s="112"/>
      <c r="D100" s="4"/>
      <c r="E100" s="15"/>
      <c r="F100" s="4"/>
      <c r="G100" s="4"/>
      <c r="H100" s="4"/>
      <c r="I100" s="4"/>
      <c r="J100" s="4"/>
      <c r="K100" s="4"/>
      <c r="L100" s="4"/>
      <c r="M100" s="4"/>
      <c r="N100" s="4"/>
      <c r="O100" s="4"/>
      <c r="P100" s="4"/>
      <c r="Q100" s="4"/>
      <c r="R100" s="4"/>
      <c r="S100" s="4"/>
      <c r="T100" s="4"/>
      <c r="U100" s="4"/>
      <c r="V100" s="4"/>
      <c r="W100" s="4"/>
      <c r="X100" s="4"/>
      <c r="Y100" s="4"/>
      <c r="Z100" s="4"/>
    </row>
    <row r="101" spans="1:26" ht="14.25" customHeight="1">
      <c r="A101" s="4"/>
      <c r="B101" s="4"/>
      <c r="C101" s="112"/>
      <c r="D101" s="4"/>
      <c r="E101" s="15"/>
      <c r="F101" s="4"/>
      <c r="G101" s="4"/>
      <c r="H101" s="4"/>
      <c r="I101" s="4"/>
      <c r="J101" s="4"/>
      <c r="K101" s="4"/>
      <c r="L101" s="4"/>
      <c r="M101" s="4"/>
      <c r="N101" s="4"/>
      <c r="O101" s="4"/>
      <c r="P101" s="4"/>
      <c r="Q101" s="4"/>
      <c r="R101" s="4"/>
      <c r="S101" s="4"/>
      <c r="T101" s="4"/>
      <c r="U101" s="4"/>
      <c r="V101" s="4"/>
      <c r="W101" s="4"/>
      <c r="X101" s="4"/>
      <c r="Y101" s="4"/>
      <c r="Z101" s="4"/>
    </row>
    <row r="102" spans="1:26" ht="14.25" customHeight="1">
      <c r="A102" s="4"/>
      <c r="B102" s="4"/>
      <c r="C102" s="112"/>
      <c r="D102" s="4"/>
      <c r="E102" s="15"/>
      <c r="F102" s="4"/>
      <c r="G102" s="4"/>
      <c r="H102" s="4"/>
      <c r="I102" s="4"/>
      <c r="J102" s="4"/>
      <c r="K102" s="4"/>
      <c r="L102" s="4"/>
      <c r="M102" s="4"/>
      <c r="N102" s="4"/>
      <c r="O102" s="4"/>
      <c r="P102" s="4"/>
      <c r="Q102" s="4"/>
      <c r="R102" s="4"/>
      <c r="S102" s="4"/>
      <c r="T102" s="4"/>
      <c r="U102" s="4"/>
      <c r="V102" s="4"/>
      <c r="W102" s="4"/>
      <c r="X102" s="4"/>
      <c r="Y102" s="4"/>
      <c r="Z102" s="4"/>
    </row>
    <row r="103" spans="1:26" ht="14.25" customHeight="1">
      <c r="A103" s="4"/>
      <c r="B103" s="4"/>
      <c r="C103" s="112"/>
      <c r="D103" s="4"/>
      <c r="E103" s="15"/>
      <c r="F103" s="4"/>
      <c r="G103" s="4"/>
      <c r="H103" s="4"/>
      <c r="I103" s="4"/>
      <c r="J103" s="4"/>
      <c r="K103" s="4"/>
      <c r="L103" s="4"/>
      <c r="M103" s="4"/>
      <c r="N103" s="4"/>
      <c r="O103" s="4"/>
      <c r="P103" s="4"/>
      <c r="Q103" s="4"/>
      <c r="R103" s="4"/>
      <c r="S103" s="4"/>
      <c r="T103" s="4"/>
      <c r="U103" s="4"/>
      <c r="V103" s="4"/>
      <c r="W103" s="4"/>
      <c r="X103" s="4"/>
      <c r="Y103" s="4"/>
      <c r="Z103" s="4"/>
    </row>
    <row r="104" spans="1:26" ht="14.25" customHeight="1">
      <c r="A104" s="4"/>
      <c r="B104" s="4"/>
      <c r="C104" s="112"/>
      <c r="D104" s="4"/>
      <c r="E104" s="15"/>
      <c r="F104" s="4"/>
      <c r="G104" s="4"/>
      <c r="H104" s="4"/>
      <c r="I104" s="4"/>
      <c r="J104" s="4"/>
      <c r="K104" s="4"/>
      <c r="L104" s="4"/>
      <c r="M104" s="4"/>
      <c r="N104" s="4"/>
      <c r="O104" s="4"/>
      <c r="P104" s="4"/>
      <c r="Q104" s="4"/>
      <c r="R104" s="4"/>
      <c r="S104" s="4"/>
      <c r="T104" s="4"/>
      <c r="U104" s="4"/>
      <c r="V104" s="4"/>
      <c r="W104" s="4"/>
      <c r="X104" s="4"/>
      <c r="Y104" s="4"/>
      <c r="Z104" s="4"/>
    </row>
    <row r="105" spans="1:26" ht="14.25" customHeight="1">
      <c r="A105" s="4"/>
      <c r="B105" s="4"/>
      <c r="C105" s="112"/>
      <c r="D105" s="4"/>
      <c r="E105" s="15"/>
      <c r="F105" s="4"/>
      <c r="G105" s="4"/>
      <c r="H105" s="4"/>
      <c r="I105" s="4"/>
      <c r="J105" s="4"/>
      <c r="K105" s="4"/>
      <c r="L105" s="4"/>
      <c r="M105" s="4"/>
      <c r="N105" s="4"/>
      <c r="O105" s="4"/>
      <c r="P105" s="4"/>
      <c r="Q105" s="4"/>
      <c r="R105" s="4"/>
      <c r="S105" s="4"/>
      <c r="T105" s="4"/>
      <c r="U105" s="4"/>
      <c r="V105" s="4"/>
      <c r="W105" s="4"/>
      <c r="X105" s="4"/>
      <c r="Y105" s="4"/>
      <c r="Z105" s="4"/>
    </row>
    <row r="106" spans="1:26" ht="14.25" customHeight="1">
      <c r="A106" s="4"/>
      <c r="B106" s="4"/>
      <c r="C106" s="112"/>
      <c r="D106" s="4"/>
      <c r="E106" s="15"/>
      <c r="F106" s="4"/>
      <c r="G106" s="4"/>
      <c r="H106" s="4"/>
      <c r="I106" s="4"/>
      <c r="J106" s="4"/>
      <c r="K106" s="4"/>
      <c r="L106" s="4"/>
      <c r="M106" s="4"/>
      <c r="N106" s="4"/>
      <c r="O106" s="4"/>
      <c r="P106" s="4"/>
      <c r="Q106" s="4"/>
      <c r="R106" s="4"/>
      <c r="S106" s="4"/>
      <c r="T106" s="4"/>
      <c r="U106" s="4"/>
      <c r="V106" s="4"/>
      <c r="W106" s="4"/>
      <c r="X106" s="4"/>
      <c r="Y106" s="4"/>
      <c r="Z106" s="4"/>
    </row>
    <row r="107" spans="1:26" ht="14.25" customHeight="1">
      <c r="A107" s="4"/>
      <c r="B107" s="4"/>
      <c r="C107" s="112"/>
      <c r="D107" s="4"/>
      <c r="E107" s="15"/>
      <c r="F107" s="4"/>
      <c r="G107" s="4"/>
      <c r="H107" s="4"/>
      <c r="I107" s="4"/>
      <c r="J107" s="4"/>
      <c r="K107" s="4"/>
      <c r="L107" s="4"/>
      <c r="M107" s="4"/>
      <c r="N107" s="4"/>
      <c r="O107" s="4"/>
      <c r="P107" s="4"/>
      <c r="Q107" s="4"/>
      <c r="R107" s="4"/>
      <c r="S107" s="4"/>
      <c r="T107" s="4"/>
      <c r="U107" s="4"/>
      <c r="V107" s="4"/>
      <c r="W107" s="4"/>
      <c r="X107" s="4"/>
      <c r="Y107" s="4"/>
      <c r="Z107" s="4"/>
    </row>
    <row r="108" spans="1:26" ht="14.25" customHeight="1">
      <c r="A108" s="4"/>
      <c r="B108" s="4"/>
      <c r="C108" s="112"/>
      <c r="D108" s="4"/>
      <c r="E108" s="15"/>
      <c r="F108" s="4"/>
      <c r="G108" s="4"/>
      <c r="H108" s="4"/>
      <c r="I108" s="4"/>
      <c r="J108" s="4"/>
      <c r="K108" s="4"/>
      <c r="L108" s="4"/>
      <c r="M108" s="4"/>
      <c r="N108" s="4"/>
      <c r="O108" s="4"/>
      <c r="P108" s="4"/>
      <c r="Q108" s="4"/>
      <c r="R108" s="4"/>
      <c r="S108" s="4"/>
      <c r="T108" s="4"/>
      <c r="U108" s="4"/>
      <c r="V108" s="4"/>
      <c r="W108" s="4"/>
      <c r="X108" s="4"/>
      <c r="Y108" s="4"/>
      <c r="Z108" s="4"/>
    </row>
    <row r="109" spans="1:26" ht="14.25" customHeight="1">
      <c r="A109" s="4"/>
      <c r="B109" s="4"/>
      <c r="C109" s="112"/>
      <c r="D109" s="4"/>
      <c r="E109" s="15"/>
      <c r="F109" s="4"/>
      <c r="G109" s="4"/>
      <c r="H109" s="4"/>
      <c r="I109" s="4"/>
      <c r="J109" s="4"/>
      <c r="K109" s="4"/>
      <c r="L109" s="4"/>
      <c r="M109" s="4"/>
      <c r="N109" s="4"/>
      <c r="O109" s="4"/>
      <c r="P109" s="4"/>
      <c r="Q109" s="4"/>
      <c r="R109" s="4"/>
      <c r="S109" s="4"/>
      <c r="T109" s="4"/>
      <c r="U109" s="4"/>
      <c r="V109" s="4"/>
      <c r="W109" s="4"/>
      <c r="X109" s="4"/>
      <c r="Y109" s="4"/>
      <c r="Z109" s="4"/>
    </row>
    <row r="110" spans="1:26" ht="14.25" customHeight="1">
      <c r="A110" s="4"/>
      <c r="B110" s="4"/>
      <c r="C110" s="112"/>
      <c r="D110" s="4"/>
      <c r="E110" s="15"/>
      <c r="F110" s="4"/>
      <c r="G110" s="4"/>
      <c r="H110" s="4"/>
      <c r="I110" s="4"/>
      <c r="J110" s="4"/>
      <c r="K110" s="4"/>
      <c r="L110" s="4"/>
      <c r="M110" s="4"/>
      <c r="N110" s="4"/>
      <c r="O110" s="4"/>
      <c r="P110" s="4"/>
      <c r="Q110" s="4"/>
      <c r="R110" s="4"/>
      <c r="S110" s="4"/>
      <c r="T110" s="4"/>
      <c r="U110" s="4"/>
      <c r="V110" s="4"/>
      <c r="W110" s="4"/>
      <c r="X110" s="4"/>
      <c r="Y110" s="4"/>
      <c r="Z110" s="4"/>
    </row>
    <row r="111" spans="1:26" ht="14.25" customHeight="1">
      <c r="A111" s="4"/>
      <c r="B111" s="4"/>
      <c r="C111" s="112"/>
      <c r="D111" s="4"/>
      <c r="E111" s="15"/>
      <c r="F111" s="4"/>
      <c r="G111" s="4"/>
      <c r="H111" s="4"/>
      <c r="I111" s="4"/>
      <c r="J111" s="4"/>
      <c r="K111" s="4"/>
      <c r="L111" s="4"/>
      <c r="M111" s="4"/>
      <c r="N111" s="4"/>
      <c r="O111" s="4"/>
      <c r="P111" s="4"/>
      <c r="Q111" s="4"/>
      <c r="R111" s="4"/>
      <c r="S111" s="4"/>
      <c r="T111" s="4"/>
      <c r="U111" s="4"/>
      <c r="V111" s="4"/>
      <c r="W111" s="4"/>
      <c r="X111" s="4"/>
      <c r="Y111" s="4"/>
      <c r="Z111" s="4"/>
    </row>
    <row r="112" spans="1:26" ht="14.25" customHeight="1">
      <c r="A112" s="4"/>
      <c r="B112" s="4"/>
      <c r="C112" s="112"/>
      <c r="D112" s="4"/>
      <c r="E112" s="15"/>
      <c r="F112" s="4"/>
      <c r="G112" s="4"/>
      <c r="H112" s="4"/>
      <c r="I112" s="4"/>
      <c r="J112" s="4"/>
      <c r="K112" s="4"/>
      <c r="L112" s="4"/>
      <c r="M112" s="4"/>
      <c r="N112" s="4"/>
      <c r="O112" s="4"/>
      <c r="P112" s="4"/>
      <c r="Q112" s="4"/>
      <c r="R112" s="4"/>
      <c r="S112" s="4"/>
      <c r="T112" s="4"/>
      <c r="U112" s="4"/>
      <c r="V112" s="4"/>
      <c r="W112" s="4"/>
      <c r="X112" s="4"/>
      <c r="Y112" s="4"/>
      <c r="Z112" s="4"/>
    </row>
    <row r="113" spans="1:26" ht="14.25" customHeight="1">
      <c r="A113" s="4"/>
      <c r="B113" s="4"/>
      <c r="C113" s="112"/>
      <c r="D113" s="4"/>
      <c r="E113" s="15"/>
      <c r="F113" s="4"/>
      <c r="G113" s="4"/>
      <c r="H113" s="4"/>
      <c r="I113" s="4"/>
      <c r="J113" s="4"/>
      <c r="K113" s="4"/>
      <c r="L113" s="4"/>
      <c r="M113" s="4"/>
      <c r="N113" s="4"/>
      <c r="O113" s="4"/>
      <c r="P113" s="4"/>
      <c r="Q113" s="4"/>
      <c r="R113" s="4"/>
      <c r="S113" s="4"/>
      <c r="T113" s="4"/>
      <c r="U113" s="4"/>
      <c r="V113" s="4"/>
      <c r="W113" s="4"/>
      <c r="X113" s="4"/>
      <c r="Y113" s="4"/>
      <c r="Z113" s="4"/>
    </row>
    <row r="114" spans="1:26" ht="14.25" customHeight="1">
      <c r="A114" s="4"/>
      <c r="B114" s="4"/>
      <c r="C114" s="112"/>
      <c r="D114" s="4"/>
      <c r="E114" s="15"/>
      <c r="F114" s="4"/>
      <c r="G114" s="4"/>
      <c r="H114" s="4"/>
      <c r="I114" s="4"/>
      <c r="J114" s="4"/>
      <c r="K114" s="4"/>
      <c r="L114" s="4"/>
      <c r="M114" s="4"/>
      <c r="N114" s="4"/>
      <c r="O114" s="4"/>
      <c r="P114" s="4"/>
      <c r="Q114" s="4"/>
      <c r="R114" s="4"/>
      <c r="S114" s="4"/>
      <c r="T114" s="4"/>
      <c r="U114" s="4"/>
      <c r="V114" s="4"/>
      <c r="W114" s="4"/>
      <c r="X114" s="4"/>
      <c r="Y114" s="4"/>
      <c r="Z114" s="4"/>
    </row>
    <row r="115" spans="1:26" ht="14.25" customHeight="1">
      <c r="A115" s="4"/>
      <c r="B115" s="4"/>
      <c r="C115" s="112"/>
      <c r="D115" s="4"/>
      <c r="E115" s="15"/>
      <c r="F115" s="4"/>
      <c r="G115" s="4"/>
      <c r="H115" s="4"/>
      <c r="I115" s="4"/>
      <c r="J115" s="4"/>
      <c r="K115" s="4"/>
      <c r="L115" s="4"/>
      <c r="M115" s="4"/>
      <c r="N115" s="4"/>
      <c r="O115" s="4"/>
      <c r="P115" s="4"/>
      <c r="Q115" s="4"/>
      <c r="R115" s="4"/>
      <c r="S115" s="4"/>
      <c r="T115" s="4"/>
      <c r="U115" s="4"/>
      <c r="V115" s="4"/>
      <c r="W115" s="4"/>
      <c r="X115" s="4"/>
      <c r="Y115" s="4"/>
      <c r="Z115" s="4"/>
    </row>
    <row r="116" spans="1:26" ht="14.25" customHeight="1">
      <c r="A116" s="4"/>
      <c r="B116" s="4"/>
      <c r="C116" s="112"/>
      <c r="D116" s="4"/>
      <c r="E116" s="15"/>
      <c r="F116" s="4"/>
      <c r="G116" s="4"/>
      <c r="H116" s="4"/>
      <c r="I116" s="4"/>
      <c r="J116" s="4"/>
      <c r="K116" s="4"/>
      <c r="L116" s="4"/>
      <c r="M116" s="4"/>
      <c r="N116" s="4"/>
      <c r="O116" s="4"/>
      <c r="P116" s="4"/>
      <c r="Q116" s="4"/>
      <c r="R116" s="4"/>
      <c r="S116" s="4"/>
      <c r="T116" s="4"/>
      <c r="U116" s="4"/>
      <c r="V116" s="4"/>
      <c r="W116" s="4"/>
      <c r="X116" s="4"/>
      <c r="Y116" s="4"/>
      <c r="Z116" s="4"/>
    </row>
    <row r="117" spans="1:26" ht="14.25" customHeight="1">
      <c r="A117" s="4"/>
      <c r="B117" s="4"/>
      <c r="C117" s="112"/>
      <c r="D117" s="4"/>
      <c r="E117" s="15"/>
      <c r="F117" s="4"/>
      <c r="G117" s="4"/>
      <c r="H117" s="4"/>
      <c r="I117" s="4"/>
      <c r="J117" s="4"/>
      <c r="K117" s="4"/>
      <c r="L117" s="4"/>
      <c r="M117" s="4"/>
      <c r="N117" s="4"/>
      <c r="O117" s="4"/>
      <c r="P117" s="4"/>
      <c r="Q117" s="4"/>
      <c r="R117" s="4"/>
      <c r="S117" s="4"/>
      <c r="T117" s="4"/>
      <c r="U117" s="4"/>
      <c r="V117" s="4"/>
      <c r="W117" s="4"/>
      <c r="X117" s="4"/>
      <c r="Y117" s="4"/>
      <c r="Z117" s="4"/>
    </row>
    <row r="118" spans="1:26" ht="14.25" customHeight="1">
      <c r="A118" s="4"/>
      <c r="B118" s="4"/>
      <c r="C118" s="112"/>
      <c r="D118" s="4"/>
      <c r="E118" s="15"/>
      <c r="F118" s="4"/>
      <c r="G118" s="4"/>
      <c r="H118" s="4"/>
      <c r="I118" s="4"/>
      <c r="J118" s="4"/>
      <c r="K118" s="4"/>
      <c r="L118" s="4"/>
      <c r="M118" s="4"/>
      <c r="N118" s="4"/>
      <c r="O118" s="4"/>
      <c r="P118" s="4"/>
      <c r="Q118" s="4"/>
      <c r="R118" s="4"/>
      <c r="S118" s="4"/>
      <c r="T118" s="4"/>
      <c r="U118" s="4"/>
      <c r="V118" s="4"/>
      <c r="W118" s="4"/>
      <c r="X118" s="4"/>
      <c r="Y118" s="4"/>
      <c r="Z118" s="4"/>
    </row>
    <row r="119" spans="1:26" ht="14.25" customHeight="1">
      <c r="A119" s="4"/>
      <c r="B119" s="4"/>
      <c r="C119" s="112"/>
      <c r="D119" s="4"/>
      <c r="E119" s="15"/>
      <c r="F119" s="4"/>
      <c r="G119" s="4"/>
      <c r="H119" s="4"/>
      <c r="I119" s="4"/>
      <c r="J119" s="4"/>
      <c r="K119" s="4"/>
      <c r="L119" s="4"/>
      <c r="M119" s="4"/>
      <c r="N119" s="4"/>
      <c r="O119" s="4"/>
      <c r="P119" s="4"/>
      <c r="Q119" s="4"/>
      <c r="R119" s="4"/>
      <c r="S119" s="4"/>
      <c r="T119" s="4"/>
      <c r="U119" s="4"/>
      <c r="V119" s="4"/>
      <c r="W119" s="4"/>
      <c r="X119" s="4"/>
      <c r="Y119" s="4"/>
      <c r="Z119" s="4"/>
    </row>
    <row r="120" spans="1:26" ht="14.25" customHeight="1">
      <c r="A120" s="4"/>
      <c r="B120" s="4"/>
      <c r="C120" s="112"/>
      <c r="D120" s="4"/>
      <c r="E120" s="15"/>
      <c r="F120" s="4"/>
      <c r="G120" s="4"/>
      <c r="H120" s="4"/>
      <c r="I120" s="4"/>
      <c r="J120" s="4"/>
      <c r="K120" s="4"/>
      <c r="L120" s="4"/>
      <c r="M120" s="4"/>
      <c r="N120" s="4"/>
      <c r="O120" s="4"/>
      <c r="P120" s="4"/>
      <c r="Q120" s="4"/>
      <c r="R120" s="4"/>
      <c r="S120" s="4"/>
      <c r="T120" s="4"/>
      <c r="U120" s="4"/>
      <c r="V120" s="4"/>
      <c r="W120" s="4"/>
      <c r="X120" s="4"/>
      <c r="Y120" s="4"/>
      <c r="Z120" s="4"/>
    </row>
    <row r="121" spans="1:26" ht="14.25" customHeight="1">
      <c r="A121" s="4"/>
      <c r="B121" s="4"/>
      <c r="C121" s="112"/>
      <c r="D121" s="4"/>
      <c r="E121" s="15"/>
      <c r="F121" s="4"/>
      <c r="G121" s="4"/>
      <c r="H121" s="4"/>
      <c r="I121" s="4"/>
      <c r="J121" s="4"/>
      <c r="K121" s="4"/>
      <c r="L121" s="4"/>
      <c r="M121" s="4"/>
      <c r="N121" s="4"/>
      <c r="O121" s="4"/>
      <c r="P121" s="4"/>
      <c r="Q121" s="4"/>
      <c r="R121" s="4"/>
      <c r="S121" s="4"/>
      <c r="T121" s="4"/>
      <c r="U121" s="4"/>
      <c r="V121" s="4"/>
      <c r="W121" s="4"/>
      <c r="X121" s="4"/>
      <c r="Y121" s="4"/>
      <c r="Z121" s="4"/>
    </row>
    <row r="122" spans="1:26" ht="14.25" customHeight="1">
      <c r="A122" s="4"/>
      <c r="B122" s="4"/>
      <c r="C122" s="112"/>
      <c r="D122" s="4"/>
      <c r="E122" s="15"/>
      <c r="F122" s="4"/>
      <c r="G122" s="4"/>
      <c r="H122" s="4"/>
      <c r="I122" s="4"/>
      <c r="J122" s="4"/>
      <c r="K122" s="4"/>
      <c r="L122" s="4"/>
      <c r="M122" s="4"/>
      <c r="N122" s="4"/>
      <c r="O122" s="4"/>
      <c r="P122" s="4"/>
      <c r="Q122" s="4"/>
      <c r="R122" s="4"/>
      <c r="S122" s="4"/>
      <c r="T122" s="4"/>
      <c r="U122" s="4"/>
      <c r="V122" s="4"/>
      <c r="W122" s="4"/>
      <c r="X122" s="4"/>
      <c r="Y122" s="4"/>
      <c r="Z122" s="4"/>
    </row>
    <row r="123" spans="1:26" ht="14.25" customHeight="1">
      <c r="A123" s="4"/>
      <c r="B123" s="4"/>
      <c r="C123" s="112"/>
      <c r="D123" s="4"/>
      <c r="E123" s="15"/>
      <c r="F123" s="4"/>
      <c r="G123" s="4"/>
      <c r="H123" s="4"/>
      <c r="I123" s="4"/>
      <c r="J123" s="4"/>
      <c r="K123" s="4"/>
      <c r="L123" s="4"/>
      <c r="M123" s="4"/>
      <c r="N123" s="4"/>
      <c r="O123" s="4"/>
      <c r="P123" s="4"/>
      <c r="Q123" s="4"/>
      <c r="R123" s="4"/>
      <c r="S123" s="4"/>
      <c r="T123" s="4"/>
      <c r="U123" s="4"/>
      <c r="V123" s="4"/>
      <c r="W123" s="4"/>
      <c r="X123" s="4"/>
      <c r="Y123" s="4"/>
      <c r="Z123" s="4"/>
    </row>
    <row r="124" spans="1:26" ht="14.25" customHeight="1">
      <c r="A124" s="4"/>
      <c r="B124" s="4"/>
      <c r="C124" s="112"/>
      <c r="D124" s="4"/>
      <c r="E124" s="15"/>
      <c r="F124" s="4"/>
      <c r="G124" s="4"/>
      <c r="H124" s="4"/>
      <c r="I124" s="4"/>
      <c r="J124" s="4"/>
      <c r="K124" s="4"/>
      <c r="L124" s="4"/>
      <c r="M124" s="4"/>
      <c r="N124" s="4"/>
      <c r="O124" s="4"/>
      <c r="P124" s="4"/>
      <c r="Q124" s="4"/>
      <c r="R124" s="4"/>
      <c r="S124" s="4"/>
      <c r="T124" s="4"/>
      <c r="U124" s="4"/>
      <c r="V124" s="4"/>
      <c r="W124" s="4"/>
      <c r="X124" s="4"/>
      <c r="Y124" s="4"/>
      <c r="Z124" s="4"/>
    </row>
    <row r="125" spans="1:26" ht="14.25" customHeight="1">
      <c r="A125" s="4"/>
      <c r="B125" s="4"/>
      <c r="C125" s="112"/>
      <c r="D125" s="4"/>
      <c r="E125" s="15"/>
      <c r="F125" s="4"/>
      <c r="G125" s="4"/>
      <c r="H125" s="4"/>
      <c r="I125" s="4"/>
      <c r="J125" s="4"/>
      <c r="K125" s="4"/>
      <c r="L125" s="4"/>
      <c r="M125" s="4"/>
      <c r="N125" s="4"/>
      <c r="O125" s="4"/>
      <c r="P125" s="4"/>
      <c r="Q125" s="4"/>
      <c r="R125" s="4"/>
      <c r="S125" s="4"/>
      <c r="T125" s="4"/>
      <c r="U125" s="4"/>
      <c r="V125" s="4"/>
      <c r="W125" s="4"/>
      <c r="X125" s="4"/>
      <c r="Y125" s="4"/>
      <c r="Z125" s="4"/>
    </row>
    <row r="126" spans="1:26" ht="14.25" customHeight="1">
      <c r="A126" s="4"/>
      <c r="B126" s="4"/>
      <c r="C126" s="112"/>
      <c r="D126" s="4"/>
      <c r="E126" s="15"/>
      <c r="F126" s="4"/>
      <c r="G126" s="4"/>
      <c r="H126" s="4"/>
      <c r="I126" s="4"/>
      <c r="J126" s="4"/>
      <c r="K126" s="4"/>
      <c r="L126" s="4"/>
      <c r="M126" s="4"/>
      <c r="N126" s="4"/>
      <c r="O126" s="4"/>
      <c r="P126" s="4"/>
      <c r="Q126" s="4"/>
      <c r="R126" s="4"/>
      <c r="S126" s="4"/>
      <c r="T126" s="4"/>
      <c r="U126" s="4"/>
      <c r="V126" s="4"/>
      <c r="W126" s="4"/>
      <c r="X126" s="4"/>
      <c r="Y126" s="4"/>
      <c r="Z126" s="4"/>
    </row>
    <row r="127" spans="1:26" ht="14.25" customHeight="1">
      <c r="A127" s="4"/>
      <c r="B127" s="4"/>
      <c r="C127" s="112"/>
      <c r="D127" s="4"/>
      <c r="E127" s="15"/>
      <c r="F127" s="4"/>
      <c r="G127" s="4"/>
      <c r="H127" s="4"/>
      <c r="I127" s="4"/>
      <c r="J127" s="4"/>
      <c r="K127" s="4"/>
      <c r="L127" s="4"/>
      <c r="M127" s="4"/>
      <c r="N127" s="4"/>
      <c r="O127" s="4"/>
      <c r="P127" s="4"/>
      <c r="Q127" s="4"/>
      <c r="R127" s="4"/>
      <c r="S127" s="4"/>
      <c r="T127" s="4"/>
      <c r="U127" s="4"/>
      <c r="V127" s="4"/>
      <c r="W127" s="4"/>
      <c r="X127" s="4"/>
      <c r="Y127" s="4"/>
      <c r="Z127" s="4"/>
    </row>
    <row r="128" spans="1:26" ht="14.25" customHeight="1">
      <c r="A128" s="4"/>
      <c r="B128" s="4"/>
      <c r="C128" s="112"/>
      <c r="D128" s="4"/>
      <c r="E128" s="15"/>
      <c r="F128" s="4"/>
      <c r="G128" s="4"/>
      <c r="H128" s="4"/>
      <c r="I128" s="4"/>
      <c r="J128" s="4"/>
      <c r="K128" s="4"/>
      <c r="L128" s="4"/>
      <c r="M128" s="4"/>
      <c r="N128" s="4"/>
      <c r="O128" s="4"/>
      <c r="P128" s="4"/>
      <c r="Q128" s="4"/>
      <c r="R128" s="4"/>
      <c r="S128" s="4"/>
      <c r="T128" s="4"/>
      <c r="U128" s="4"/>
      <c r="V128" s="4"/>
      <c r="W128" s="4"/>
      <c r="X128" s="4"/>
      <c r="Y128" s="4"/>
      <c r="Z128" s="4"/>
    </row>
    <row r="129" spans="1:26" ht="14.25" customHeight="1">
      <c r="A129" s="4"/>
      <c r="B129" s="4"/>
      <c r="C129" s="112"/>
      <c r="D129" s="4"/>
      <c r="E129" s="15"/>
      <c r="F129" s="4"/>
      <c r="G129" s="4"/>
      <c r="H129" s="4"/>
      <c r="I129" s="4"/>
      <c r="J129" s="4"/>
      <c r="K129" s="4"/>
      <c r="L129" s="4"/>
      <c r="M129" s="4"/>
      <c r="N129" s="4"/>
      <c r="O129" s="4"/>
      <c r="P129" s="4"/>
      <c r="Q129" s="4"/>
      <c r="R129" s="4"/>
      <c r="S129" s="4"/>
      <c r="T129" s="4"/>
      <c r="U129" s="4"/>
      <c r="V129" s="4"/>
      <c r="W129" s="4"/>
      <c r="X129" s="4"/>
      <c r="Y129" s="4"/>
      <c r="Z129" s="4"/>
    </row>
    <row r="130" spans="1:26" ht="14.25" customHeight="1">
      <c r="A130" s="4"/>
      <c r="B130" s="4"/>
      <c r="C130" s="112"/>
      <c r="D130" s="4"/>
      <c r="E130" s="15"/>
      <c r="F130" s="4"/>
      <c r="G130" s="4"/>
      <c r="H130" s="4"/>
      <c r="I130" s="4"/>
      <c r="J130" s="4"/>
      <c r="K130" s="4"/>
      <c r="L130" s="4"/>
      <c r="M130" s="4"/>
      <c r="N130" s="4"/>
      <c r="O130" s="4"/>
      <c r="P130" s="4"/>
      <c r="Q130" s="4"/>
      <c r="R130" s="4"/>
      <c r="S130" s="4"/>
      <c r="T130" s="4"/>
      <c r="U130" s="4"/>
      <c r="V130" s="4"/>
      <c r="W130" s="4"/>
      <c r="X130" s="4"/>
      <c r="Y130" s="4"/>
      <c r="Z130" s="4"/>
    </row>
    <row r="131" spans="1:26" ht="14.25" customHeight="1">
      <c r="A131" s="4"/>
      <c r="B131" s="4"/>
      <c r="C131" s="112"/>
      <c r="D131" s="4"/>
      <c r="E131" s="15"/>
      <c r="F131" s="4"/>
      <c r="G131" s="4"/>
      <c r="H131" s="4"/>
      <c r="I131" s="4"/>
      <c r="J131" s="4"/>
      <c r="K131" s="4"/>
      <c r="L131" s="4"/>
      <c r="M131" s="4"/>
      <c r="N131" s="4"/>
      <c r="O131" s="4"/>
      <c r="P131" s="4"/>
      <c r="Q131" s="4"/>
      <c r="R131" s="4"/>
      <c r="S131" s="4"/>
      <c r="T131" s="4"/>
      <c r="U131" s="4"/>
      <c r="V131" s="4"/>
      <c r="W131" s="4"/>
      <c r="X131" s="4"/>
      <c r="Y131" s="4"/>
      <c r="Z131" s="4"/>
    </row>
    <row r="132" spans="1:26" ht="14.25" customHeight="1">
      <c r="A132" s="4"/>
      <c r="B132" s="4"/>
      <c r="C132" s="112"/>
      <c r="D132" s="4"/>
      <c r="E132" s="15"/>
      <c r="F132" s="4"/>
      <c r="G132" s="4"/>
      <c r="H132" s="4"/>
      <c r="I132" s="4"/>
      <c r="J132" s="4"/>
      <c r="K132" s="4"/>
      <c r="L132" s="4"/>
      <c r="M132" s="4"/>
      <c r="N132" s="4"/>
      <c r="O132" s="4"/>
      <c r="P132" s="4"/>
      <c r="Q132" s="4"/>
      <c r="R132" s="4"/>
      <c r="S132" s="4"/>
      <c r="T132" s="4"/>
      <c r="U132" s="4"/>
      <c r="V132" s="4"/>
      <c r="W132" s="4"/>
      <c r="X132" s="4"/>
      <c r="Y132" s="4"/>
      <c r="Z132" s="4"/>
    </row>
    <row r="133" spans="1:26" ht="14.25" customHeight="1">
      <c r="A133" s="4"/>
      <c r="B133" s="4"/>
      <c r="C133" s="112"/>
      <c r="D133" s="4"/>
      <c r="E133" s="15"/>
      <c r="F133" s="4"/>
      <c r="G133" s="4"/>
      <c r="H133" s="4"/>
      <c r="I133" s="4"/>
      <c r="J133" s="4"/>
      <c r="K133" s="4"/>
      <c r="L133" s="4"/>
      <c r="M133" s="4"/>
      <c r="N133" s="4"/>
      <c r="O133" s="4"/>
      <c r="P133" s="4"/>
      <c r="Q133" s="4"/>
      <c r="R133" s="4"/>
      <c r="S133" s="4"/>
      <c r="T133" s="4"/>
      <c r="U133" s="4"/>
      <c r="V133" s="4"/>
      <c r="W133" s="4"/>
      <c r="X133" s="4"/>
      <c r="Y133" s="4"/>
      <c r="Z133" s="4"/>
    </row>
    <row r="134" spans="1:26" ht="14.25" customHeight="1">
      <c r="A134" s="4"/>
      <c r="B134" s="4"/>
      <c r="C134" s="112"/>
      <c r="D134" s="4"/>
      <c r="E134" s="15"/>
      <c r="F134" s="4"/>
      <c r="G134" s="4"/>
      <c r="H134" s="4"/>
      <c r="I134" s="4"/>
      <c r="J134" s="4"/>
      <c r="K134" s="4"/>
      <c r="L134" s="4"/>
      <c r="M134" s="4"/>
      <c r="N134" s="4"/>
      <c r="O134" s="4"/>
      <c r="P134" s="4"/>
      <c r="Q134" s="4"/>
      <c r="R134" s="4"/>
      <c r="S134" s="4"/>
      <c r="T134" s="4"/>
      <c r="U134" s="4"/>
      <c r="V134" s="4"/>
      <c r="W134" s="4"/>
      <c r="X134" s="4"/>
      <c r="Y134" s="4"/>
      <c r="Z134" s="4"/>
    </row>
    <row r="135" spans="1:26" ht="14.25" customHeight="1">
      <c r="A135" s="4"/>
      <c r="B135" s="4"/>
      <c r="C135" s="112"/>
      <c r="D135" s="4"/>
      <c r="E135" s="15"/>
      <c r="F135" s="4"/>
      <c r="G135" s="4"/>
      <c r="H135" s="4"/>
      <c r="I135" s="4"/>
      <c r="J135" s="4"/>
      <c r="K135" s="4"/>
      <c r="L135" s="4"/>
      <c r="M135" s="4"/>
      <c r="N135" s="4"/>
      <c r="O135" s="4"/>
      <c r="P135" s="4"/>
      <c r="Q135" s="4"/>
      <c r="R135" s="4"/>
      <c r="S135" s="4"/>
      <c r="T135" s="4"/>
      <c r="U135" s="4"/>
      <c r="V135" s="4"/>
      <c r="W135" s="4"/>
      <c r="X135" s="4"/>
      <c r="Y135" s="4"/>
      <c r="Z135" s="4"/>
    </row>
    <row r="136" spans="1:26" ht="14.25" customHeight="1">
      <c r="A136" s="4"/>
      <c r="B136" s="4"/>
      <c r="C136" s="112"/>
      <c r="D136" s="4"/>
      <c r="E136" s="15"/>
      <c r="F136" s="4"/>
      <c r="G136" s="4"/>
      <c r="H136" s="4"/>
      <c r="I136" s="4"/>
      <c r="J136" s="4"/>
      <c r="K136" s="4"/>
      <c r="L136" s="4"/>
      <c r="M136" s="4"/>
      <c r="N136" s="4"/>
      <c r="O136" s="4"/>
      <c r="P136" s="4"/>
      <c r="Q136" s="4"/>
      <c r="R136" s="4"/>
      <c r="S136" s="4"/>
      <c r="T136" s="4"/>
      <c r="U136" s="4"/>
      <c r="V136" s="4"/>
      <c r="W136" s="4"/>
      <c r="X136" s="4"/>
      <c r="Y136" s="4"/>
      <c r="Z136" s="4"/>
    </row>
    <row r="137" spans="1:26" ht="14.25" customHeight="1">
      <c r="A137" s="4"/>
      <c r="B137" s="4"/>
      <c r="C137" s="112"/>
      <c r="D137" s="4"/>
      <c r="E137" s="15"/>
      <c r="F137" s="4"/>
      <c r="G137" s="4"/>
      <c r="H137" s="4"/>
      <c r="I137" s="4"/>
      <c r="J137" s="4"/>
      <c r="K137" s="4"/>
      <c r="L137" s="4"/>
      <c r="M137" s="4"/>
      <c r="N137" s="4"/>
      <c r="O137" s="4"/>
      <c r="P137" s="4"/>
      <c r="Q137" s="4"/>
      <c r="R137" s="4"/>
      <c r="S137" s="4"/>
      <c r="T137" s="4"/>
      <c r="U137" s="4"/>
      <c r="V137" s="4"/>
      <c r="W137" s="4"/>
      <c r="X137" s="4"/>
      <c r="Y137" s="4"/>
      <c r="Z137" s="4"/>
    </row>
    <row r="138" spans="1:26" ht="14.25" customHeight="1">
      <c r="A138" s="4"/>
      <c r="B138" s="4"/>
      <c r="C138" s="112"/>
      <c r="D138" s="4"/>
      <c r="E138" s="15"/>
      <c r="F138" s="4"/>
      <c r="G138" s="4"/>
      <c r="H138" s="4"/>
      <c r="I138" s="4"/>
      <c r="J138" s="4"/>
      <c r="K138" s="4"/>
      <c r="L138" s="4"/>
      <c r="M138" s="4"/>
      <c r="N138" s="4"/>
      <c r="O138" s="4"/>
      <c r="P138" s="4"/>
      <c r="Q138" s="4"/>
      <c r="R138" s="4"/>
      <c r="S138" s="4"/>
      <c r="T138" s="4"/>
      <c r="U138" s="4"/>
      <c r="V138" s="4"/>
      <c r="W138" s="4"/>
      <c r="X138" s="4"/>
      <c r="Y138" s="4"/>
      <c r="Z138" s="4"/>
    </row>
    <row r="139" spans="1:26" ht="14.25" customHeight="1">
      <c r="A139" s="4"/>
      <c r="B139" s="4"/>
      <c r="C139" s="112"/>
      <c r="D139" s="4"/>
      <c r="E139" s="15"/>
      <c r="F139" s="4"/>
      <c r="G139" s="4"/>
      <c r="H139" s="4"/>
      <c r="I139" s="4"/>
      <c r="J139" s="4"/>
      <c r="K139" s="4"/>
      <c r="L139" s="4"/>
      <c r="M139" s="4"/>
      <c r="N139" s="4"/>
      <c r="O139" s="4"/>
      <c r="P139" s="4"/>
      <c r="Q139" s="4"/>
      <c r="R139" s="4"/>
      <c r="S139" s="4"/>
      <c r="T139" s="4"/>
      <c r="U139" s="4"/>
      <c r="V139" s="4"/>
      <c r="W139" s="4"/>
      <c r="X139" s="4"/>
      <c r="Y139" s="4"/>
      <c r="Z139" s="4"/>
    </row>
    <row r="140" spans="1:26" ht="14.25" customHeight="1">
      <c r="A140" s="4"/>
      <c r="B140" s="4"/>
      <c r="C140" s="112"/>
      <c r="D140" s="4"/>
      <c r="E140" s="15"/>
      <c r="F140" s="4"/>
      <c r="G140" s="4"/>
      <c r="H140" s="4"/>
      <c r="I140" s="4"/>
      <c r="J140" s="4"/>
      <c r="K140" s="4"/>
      <c r="L140" s="4"/>
      <c r="M140" s="4"/>
      <c r="N140" s="4"/>
      <c r="O140" s="4"/>
      <c r="P140" s="4"/>
      <c r="Q140" s="4"/>
      <c r="R140" s="4"/>
      <c r="S140" s="4"/>
      <c r="T140" s="4"/>
      <c r="U140" s="4"/>
      <c r="V140" s="4"/>
      <c r="W140" s="4"/>
      <c r="X140" s="4"/>
      <c r="Y140" s="4"/>
      <c r="Z140" s="4"/>
    </row>
    <row r="141" spans="1:26" ht="14.25" customHeight="1">
      <c r="A141" s="4"/>
      <c r="B141" s="4"/>
      <c r="C141" s="112"/>
      <c r="D141" s="4"/>
      <c r="E141" s="15"/>
      <c r="F141" s="4"/>
      <c r="G141" s="4"/>
      <c r="H141" s="4"/>
      <c r="I141" s="4"/>
      <c r="J141" s="4"/>
      <c r="K141" s="4"/>
      <c r="L141" s="4"/>
      <c r="M141" s="4"/>
      <c r="N141" s="4"/>
      <c r="O141" s="4"/>
      <c r="P141" s="4"/>
      <c r="Q141" s="4"/>
      <c r="R141" s="4"/>
      <c r="S141" s="4"/>
      <c r="T141" s="4"/>
      <c r="U141" s="4"/>
      <c r="V141" s="4"/>
      <c r="W141" s="4"/>
      <c r="X141" s="4"/>
      <c r="Y141" s="4"/>
      <c r="Z141" s="4"/>
    </row>
    <row r="142" spans="1:26" ht="14.25" customHeight="1">
      <c r="A142" s="4"/>
      <c r="B142" s="4"/>
      <c r="C142" s="112"/>
      <c r="D142" s="4"/>
      <c r="E142" s="15"/>
      <c r="F142" s="4"/>
      <c r="G142" s="4"/>
      <c r="H142" s="4"/>
      <c r="I142" s="4"/>
      <c r="J142" s="4"/>
      <c r="K142" s="4"/>
      <c r="L142" s="4"/>
      <c r="M142" s="4"/>
      <c r="N142" s="4"/>
      <c r="O142" s="4"/>
      <c r="P142" s="4"/>
      <c r="Q142" s="4"/>
      <c r="R142" s="4"/>
      <c r="S142" s="4"/>
      <c r="T142" s="4"/>
      <c r="U142" s="4"/>
      <c r="V142" s="4"/>
      <c r="W142" s="4"/>
      <c r="X142" s="4"/>
      <c r="Y142" s="4"/>
      <c r="Z142" s="4"/>
    </row>
    <row r="143" spans="1:26" ht="14.25" customHeight="1">
      <c r="A143" s="4"/>
      <c r="B143" s="4"/>
      <c r="C143" s="112"/>
      <c r="D143" s="4"/>
      <c r="E143" s="15"/>
      <c r="F143" s="4"/>
      <c r="G143" s="4"/>
      <c r="H143" s="4"/>
      <c r="I143" s="4"/>
      <c r="J143" s="4"/>
      <c r="K143" s="4"/>
      <c r="L143" s="4"/>
      <c r="M143" s="4"/>
      <c r="N143" s="4"/>
      <c r="O143" s="4"/>
      <c r="P143" s="4"/>
      <c r="Q143" s="4"/>
      <c r="R143" s="4"/>
      <c r="S143" s="4"/>
      <c r="T143" s="4"/>
      <c r="U143" s="4"/>
      <c r="V143" s="4"/>
      <c r="W143" s="4"/>
      <c r="X143" s="4"/>
      <c r="Y143" s="4"/>
      <c r="Z143" s="4"/>
    </row>
    <row r="144" spans="1:26" ht="14.25" customHeight="1">
      <c r="A144" s="4"/>
      <c r="B144" s="4"/>
      <c r="C144" s="112"/>
      <c r="D144" s="4"/>
      <c r="E144" s="15"/>
      <c r="F144" s="4"/>
      <c r="G144" s="4"/>
      <c r="H144" s="4"/>
      <c r="I144" s="4"/>
      <c r="J144" s="4"/>
      <c r="K144" s="4"/>
      <c r="L144" s="4"/>
      <c r="M144" s="4"/>
      <c r="N144" s="4"/>
      <c r="O144" s="4"/>
      <c r="P144" s="4"/>
      <c r="Q144" s="4"/>
      <c r="R144" s="4"/>
      <c r="S144" s="4"/>
      <c r="T144" s="4"/>
      <c r="U144" s="4"/>
      <c r="V144" s="4"/>
      <c r="W144" s="4"/>
      <c r="X144" s="4"/>
      <c r="Y144" s="4"/>
      <c r="Z144" s="4"/>
    </row>
    <row r="145" spans="1:26" ht="14.25" customHeight="1">
      <c r="A145" s="4"/>
      <c r="B145" s="4"/>
      <c r="C145" s="112"/>
      <c r="D145" s="4"/>
      <c r="E145" s="15"/>
      <c r="F145" s="4"/>
      <c r="G145" s="4"/>
      <c r="H145" s="4"/>
      <c r="I145" s="4"/>
      <c r="J145" s="4"/>
      <c r="K145" s="4"/>
      <c r="L145" s="4"/>
      <c r="M145" s="4"/>
      <c r="N145" s="4"/>
      <c r="O145" s="4"/>
      <c r="P145" s="4"/>
      <c r="Q145" s="4"/>
      <c r="R145" s="4"/>
      <c r="S145" s="4"/>
      <c r="T145" s="4"/>
      <c r="U145" s="4"/>
      <c r="V145" s="4"/>
      <c r="W145" s="4"/>
      <c r="X145" s="4"/>
      <c r="Y145" s="4"/>
      <c r="Z145" s="4"/>
    </row>
    <row r="146" spans="1:26" ht="14.25" customHeight="1">
      <c r="A146" s="4"/>
      <c r="B146" s="4"/>
      <c r="C146" s="112"/>
      <c r="D146" s="4"/>
      <c r="E146" s="15"/>
      <c r="F146" s="4"/>
      <c r="G146" s="4"/>
      <c r="H146" s="4"/>
      <c r="I146" s="4"/>
      <c r="J146" s="4"/>
      <c r="K146" s="4"/>
      <c r="L146" s="4"/>
      <c r="M146" s="4"/>
      <c r="N146" s="4"/>
      <c r="O146" s="4"/>
      <c r="P146" s="4"/>
      <c r="Q146" s="4"/>
      <c r="R146" s="4"/>
      <c r="S146" s="4"/>
      <c r="T146" s="4"/>
      <c r="U146" s="4"/>
      <c r="V146" s="4"/>
      <c r="W146" s="4"/>
      <c r="X146" s="4"/>
      <c r="Y146" s="4"/>
      <c r="Z146" s="4"/>
    </row>
    <row r="147" spans="1:26" ht="14.25" customHeight="1">
      <c r="A147" s="4"/>
      <c r="B147" s="4"/>
      <c r="C147" s="112"/>
      <c r="D147" s="4"/>
      <c r="E147" s="15"/>
      <c r="F147" s="4"/>
      <c r="G147" s="4"/>
      <c r="H147" s="4"/>
      <c r="I147" s="4"/>
      <c r="J147" s="4"/>
      <c r="K147" s="4"/>
      <c r="L147" s="4"/>
      <c r="M147" s="4"/>
      <c r="N147" s="4"/>
      <c r="O147" s="4"/>
      <c r="P147" s="4"/>
      <c r="Q147" s="4"/>
      <c r="R147" s="4"/>
      <c r="S147" s="4"/>
      <c r="T147" s="4"/>
      <c r="U147" s="4"/>
      <c r="V147" s="4"/>
      <c r="W147" s="4"/>
      <c r="X147" s="4"/>
      <c r="Y147" s="4"/>
      <c r="Z147" s="4"/>
    </row>
    <row r="148" spans="1:26" ht="14.25" customHeight="1">
      <c r="A148" s="4"/>
      <c r="B148" s="4"/>
      <c r="C148" s="112"/>
      <c r="D148" s="4"/>
      <c r="E148" s="15"/>
      <c r="F148" s="4"/>
      <c r="G148" s="4"/>
      <c r="H148" s="4"/>
      <c r="I148" s="4"/>
      <c r="J148" s="4"/>
      <c r="K148" s="4"/>
      <c r="L148" s="4"/>
      <c r="M148" s="4"/>
      <c r="N148" s="4"/>
      <c r="O148" s="4"/>
      <c r="P148" s="4"/>
      <c r="Q148" s="4"/>
      <c r="R148" s="4"/>
      <c r="S148" s="4"/>
      <c r="T148" s="4"/>
      <c r="U148" s="4"/>
      <c r="V148" s="4"/>
      <c r="W148" s="4"/>
      <c r="X148" s="4"/>
      <c r="Y148" s="4"/>
      <c r="Z148" s="4"/>
    </row>
    <row r="149" spans="1:26" ht="14.25" customHeight="1">
      <c r="A149" s="4"/>
      <c r="B149" s="4"/>
      <c r="C149" s="112"/>
      <c r="D149" s="4"/>
      <c r="E149" s="15"/>
      <c r="F149" s="4"/>
      <c r="G149" s="4"/>
      <c r="H149" s="4"/>
      <c r="I149" s="4"/>
      <c r="J149" s="4"/>
      <c r="K149" s="4"/>
      <c r="L149" s="4"/>
      <c r="M149" s="4"/>
      <c r="N149" s="4"/>
      <c r="O149" s="4"/>
      <c r="P149" s="4"/>
      <c r="Q149" s="4"/>
      <c r="R149" s="4"/>
      <c r="S149" s="4"/>
      <c r="T149" s="4"/>
      <c r="U149" s="4"/>
      <c r="V149" s="4"/>
      <c r="W149" s="4"/>
      <c r="X149" s="4"/>
      <c r="Y149" s="4"/>
      <c r="Z149" s="4"/>
    </row>
    <row r="150" spans="1:26" ht="14.25" customHeight="1">
      <c r="A150" s="4"/>
      <c r="B150" s="4"/>
      <c r="C150" s="112"/>
      <c r="D150" s="4"/>
      <c r="E150" s="15"/>
      <c r="F150" s="4"/>
      <c r="G150" s="4"/>
      <c r="H150" s="4"/>
      <c r="I150" s="4"/>
      <c r="J150" s="4"/>
      <c r="K150" s="4"/>
      <c r="L150" s="4"/>
      <c r="M150" s="4"/>
      <c r="N150" s="4"/>
      <c r="O150" s="4"/>
      <c r="P150" s="4"/>
      <c r="Q150" s="4"/>
      <c r="R150" s="4"/>
      <c r="S150" s="4"/>
      <c r="T150" s="4"/>
      <c r="U150" s="4"/>
      <c r="V150" s="4"/>
      <c r="W150" s="4"/>
      <c r="X150" s="4"/>
      <c r="Y150" s="4"/>
      <c r="Z150" s="4"/>
    </row>
    <row r="151" spans="1:26" ht="14.25" customHeight="1">
      <c r="A151" s="4"/>
      <c r="B151" s="4"/>
      <c r="C151" s="112"/>
      <c r="D151" s="4"/>
      <c r="E151" s="15"/>
      <c r="F151" s="4"/>
      <c r="G151" s="4"/>
      <c r="H151" s="4"/>
      <c r="I151" s="4"/>
      <c r="J151" s="4"/>
      <c r="K151" s="4"/>
      <c r="L151" s="4"/>
      <c r="M151" s="4"/>
      <c r="N151" s="4"/>
      <c r="O151" s="4"/>
      <c r="P151" s="4"/>
      <c r="Q151" s="4"/>
      <c r="R151" s="4"/>
      <c r="S151" s="4"/>
      <c r="T151" s="4"/>
      <c r="U151" s="4"/>
      <c r="V151" s="4"/>
      <c r="W151" s="4"/>
      <c r="X151" s="4"/>
      <c r="Y151" s="4"/>
      <c r="Z151" s="4"/>
    </row>
    <row r="152" spans="1:26" ht="14.25" customHeight="1">
      <c r="A152" s="4"/>
      <c r="B152" s="4"/>
      <c r="C152" s="112"/>
      <c r="D152" s="4"/>
      <c r="E152" s="15"/>
      <c r="F152" s="4"/>
      <c r="G152" s="4"/>
      <c r="H152" s="4"/>
      <c r="I152" s="4"/>
      <c r="J152" s="4"/>
      <c r="K152" s="4"/>
      <c r="L152" s="4"/>
      <c r="M152" s="4"/>
      <c r="N152" s="4"/>
      <c r="O152" s="4"/>
      <c r="P152" s="4"/>
      <c r="Q152" s="4"/>
      <c r="R152" s="4"/>
      <c r="S152" s="4"/>
      <c r="T152" s="4"/>
      <c r="U152" s="4"/>
      <c r="V152" s="4"/>
      <c r="W152" s="4"/>
      <c r="X152" s="4"/>
      <c r="Y152" s="4"/>
      <c r="Z152" s="4"/>
    </row>
    <row r="153" spans="1:26" ht="14.25" customHeight="1">
      <c r="A153" s="4"/>
      <c r="B153" s="4"/>
      <c r="C153" s="112"/>
      <c r="D153" s="4"/>
      <c r="E153" s="15"/>
      <c r="F153" s="4"/>
      <c r="G153" s="4"/>
      <c r="H153" s="4"/>
      <c r="I153" s="4"/>
      <c r="J153" s="4"/>
      <c r="K153" s="4"/>
      <c r="L153" s="4"/>
      <c r="M153" s="4"/>
      <c r="N153" s="4"/>
      <c r="O153" s="4"/>
      <c r="P153" s="4"/>
      <c r="Q153" s="4"/>
      <c r="R153" s="4"/>
      <c r="S153" s="4"/>
      <c r="T153" s="4"/>
      <c r="U153" s="4"/>
      <c r="V153" s="4"/>
      <c r="W153" s="4"/>
      <c r="X153" s="4"/>
      <c r="Y153" s="4"/>
      <c r="Z153" s="4"/>
    </row>
    <row r="154" spans="1:26" ht="14.25" customHeight="1">
      <c r="A154" s="4"/>
      <c r="B154" s="4"/>
      <c r="C154" s="112"/>
      <c r="D154" s="4"/>
      <c r="E154" s="15"/>
      <c r="F154" s="4"/>
      <c r="G154" s="4"/>
      <c r="H154" s="4"/>
      <c r="I154" s="4"/>
      <c r="J154" s="4"/>
      <c r="K154" s="4"/>
      <c r="L154" s="4"/>
      <c r="M154" s="4"/>
      <c r="N154" s="4"/>
      <c r="O154" s="4"/>
      <c r="P154" s="4"/>
      <c r="Q154" s="4"/>
      <c r="R154" s="4"/>
      <c r="S154" s="4"/>
      <c r="T154" s="4"/>
      <c r="U154" s="4"/>
      <c r="V154" s="4"/>
      <c r="W154" s="4"/>
      <c r="X154" s="4"/>
      <c r="Y154" s="4"/>
      <c r="Z154" s="4"/>
    </row>
    <row r="155" spans="1:26" ht="14.25" customHeight="1">
      <c r="A155" s="4"/>
      <c r="B155" s="4"/>
      <c r="C155" s="112"/>
      <c r="D155" s="4"/>
      <c r="E155" s="15"/>
      <c r="F155" s="4"/>
      <c r="G155" s="4"/>
      <c r="H155" s="4"/>
      <c r="I155" s="4"/>
      <c r="J155" s="4"/>
      <c r="K155" s="4"/>
      <c r="L155" s="4"/>
      <c r="M155" s="4"/>
      <c r="N155" s="4"/>
      <c r="O155" s="4"/>
      <c r="P155" s="4"/>
      <c r="Q155" s="4"/>
      <c r="R155" s="4"/>
      <c r="S155" s="4"/>
      <c r="T155" s="4"/>
      <c r="U155" s="4"/>
      <c r="V155" s="4"/>
      <c r="W155" s="4"/>
      <c r="X155" s="4"/>
      <c r="Y155" s="4"/>
      <c r="Z155" s="4"/>
    </row>
    <row r="156" spans="1:26" ht="14.25" customHeight="1">
      <c r="A156" s="4"/>
      <c r="B156" s="4"/>
      <c r="C156" s="112"/>
      <c r="D156" s="4"/>
      <c r="E156" s="15"/>
      <c r="F156" s="4"/>
      <c r="G156" s="4"/>
      <c r="H156" s="4"/>
      <c r="I156" s="4"/>
      <c r="J156" s="4"/>
      <c r="K156" s="4"/>
      <c r="L156" s="4"/>
      <c r="M156" s="4"/>
      <c r="N156" s="4"/>
      <c r="O156" s="4"/>
      <c r="P156" s="4"/>
      <c r="Q156" s="4"/>
      <c r="R156" s="4"/>
      <c r="S156" s="4"/>
      <c r="T156" s="4"/>
      <c r="U156" s="4"/>
      <c r="V156" s="4"/>
      <c r="W156" s="4"/>
      <c r="X156" s="4"/>
      <c r="Y156" s="4"/>
      <c r="Z156" s="4"/>
    </row>
    <row r="157" spans="1:26" ht="14.25" customHeight="1">
      <c r="A157" s="4"/>
      <c r="B157" s="4"/>
      <c r="C157" s="112"/>
      <c r="D157" s="4"/>
      <c r="E157" s="15"/>
      <c r="F157" s="4"/>
      <c r="G157" s="4"/>
      <c r="H157" s="4"/>
      <c r="I157" s="4"/>
      <c r="J157" s="4"/>
      <c r="K157" s="4"/>
      <c r="L157" s="4"/>
      <c r="M157" s="4"/>
      <c r="N157" s="4"/>
      <c r="O157" s="4"/>
      <c r="P157" s="4"/>
      <c r="Q157" s="4"/>
      <c r="R157" s="4"/>
      <c r="S157" s="4"/>
      <c r="T157" s="4"/>
      <c r="U157" s="4"/>
      <c r="V157" s="4"/>
      <c r="W157" s="4"/>
      <c r="X157" s="4"/>
      <c r="Y157" s="4"/>
      <c r="Z157" s="4"/>
    </row>
    <row r="158" spans="1:26" ht="14.25" customHeight="1">
      <c r="A158" s="4"/>
      <c r="B158" s="4"/>
      <c r="C158" s="112"/>
      <c r="D158" s="4"/>
      <c r="E158" s="15"/>
      <c r="F158" s="4"/>
      <c r="G158" s="4"/>
      <c r="H158" s="4"/>
      <c r="I158" s="4"/>
      <c r="J158" s="4"/>
      <c r="K158" s="4"/>
      <c r="L158" s="4"/>
      <c r="M158" s="4"/>
      <c r="N158" s="4"/>
      <c r="O158" s="4"/>
      <c r="P158" s="4"/>
      <c r="Q158" s="4"/>
      <c r="R158" s="4"/>
      <c r="S158" s="4"/>
      <c r="T158" s="4"/>
      <c r="U158" s="4"/>
      <c r="V158" s="4"/>
      <c r="W158" s="4"/>
      <c r="X158" s="4"/>
      <c r="Y158" s="4"/>
      <c r="Z158" s="4"/>
    </row>
    <row r="159" spans="1:26" ht="14.25" customHeight="1">
      <c r="A159" s="4"/>
      <c r="B159" s="4"/>
      <c r="C159" s="112"/>
      <c r="D159" s="4"/>
      <c r="E159" s="15"/>
      <c r="F159" s="4"/>
      <c r="G159" s="4"/>
      <c r="H159" s="4"/>
      <c r="I159" s="4"/>
      <c r="J159" s="4"/>
      <c r="K159" s="4"/>
      <c r="L159" s="4"/>
      <c r="M159" s="4"/>
      <c r="N159" s="4"/>
      <c r="O159" s="4"/>
      <c r="P159" s="4"/>
      <c r="Q159" s="4"/>
      <c r="R159" s="4"/>
      <c r="S159" s="4"/>
      <c r="T159" s="4"/>
      <c r="U159" s="4"/>
      <c r="V159" s="4"/>
      <c r="W159" s="4"/>
      <c r="X159" s="4"/>
      <c r="Y159" s="4"/>
      <c r="Z159" s="4"/>
    </row>
    <row r="160" spans="1:26" ht="14.25" customHeight="1">
      <c r="A160" s="4"/>
      <c r="B160" s="4"/>
      <c r="C160" s="112"/>
      <c r="D160" s="4"/>
      <c r="E160" s="15"/>
      <c r="F160" s="4"/>
      <c r="G160" s="4"/>
      <c r="H160" s="4"/>
      <c r="I160" s="4"/>
      <c r="J160" s="4"/>
      <c r="K160" s="4"/>
      <c r="L160" s="4"/>
      <c r="M160" s="4"/>
      <c r="N160" s="4"/>
      <c r="O160" s="4"/>
      <c r="P160" s="4"/>
      <c r="Q160" s="4"/>
      <c r="R160" s="4"/>
      <c r="S160" s="4"/>
      <c r="T160" s="4"/>
      <c r="U160" s="4"/>
      <c r="V160" s="4"/>
      <c r="W160" s="4"/>
      <c r="X160" s="4"/>
      <c r="Y160" s="4"/>
      <c r="Z160" s="4"/>
    </row>
    <row r="161" spans="1:26" ht="14.25" customHeight="1">
      <c r="A161" s="4"/>
      <c r="B161" s="4"/>
      <c r="C161" s="112"/>
      <c r="D161" s="4"/>
      <c r="E161" s="15"/>
      <c r="F161" s="4"/>
      <c r="G161" s="4"/>
      <c r="H161" s="4"/>
      <c r="I161" s="4"/>
      <c r="J161" s="4"/>
      <c r="K161" s="4"/>
      <c r="L161" s="4"/>
      <c r="M161" s="4"/>
      <c r="N161" s="4"/>
      <c r="O161" s="4"/>
      <c r="P161" s="4"/>
      <c r="Q161" s="4"/>
      <c r="R161" s="4"/>
      <c r="S161" s="4"/>
      <c r="T161" s="4"/>
      <c r="U161" s="4"/>
      <c r="V161" s="4"/>
      <c r="W161" s="4"/>
      <c r="X161" s="4"/>
      <c r="Y161" s="4"/>
      <c r="Z161" s="4"/>
    </row>
    <row r="162" spans="1:26" ht="14.25" customHeight="1">
      <c r="A162" s="4"/>
      <c r="B162" s="4"/>
      <c r="C162" s="112"/>
      <c r="D162" s="4"/>
      <c r="E162" s="15"/>
      <c r="F162" s="4"/>
      <c r="G162" s="4"/>
      <c r="H162" s="4"/>
      <c r="I162" s="4"/>
      <c r="J162" s="4"/>
      <c r="K162" s="4"/>
      <c r="L162" s="4"/>
      <c r="M162" s="4"/>
      <c r="N162" s="4"/>
      <c r="O162" s="4"/>
      <c r="P162" s="4"/>
      <c r="Q162" s="4"/>
      <c r="R162" s="4"/>
      <c r="S162" s="4"/>
      <c r="T162" s="4"/>
      <c r="U162" s="4"/>
      <c r="V162" s="4"/>
      <c r="W162" s="4"/>
      <c r="X162" s="4"/>
      <c r="Y162" s="4"/>
      <c r="Z162" s="4"/>
    </row>
    <row r="163" spans="1:26" ht="14.25" customHeight="1">
      <c r="A163" s="4"/>
      <c r="B163" s="4"/>
      <c r="C163" s="112"/>
      <c r="D163" s="4"/>
      <c r="E163" s="15"/>
      <c r="F163" s="4"/>
      <c r="G163" s="4"/>
      <c r="H163" s="4"/>
      <c r="I163" s="4"/>
      <c r="J163" s="4"/>
      <c r="K163" s="4"/>
      <c r="L163" s="4"/>
      <c r="M163" s="4"/>
      <c r="N163" s="4"/>
      <c r="O163" s="4"/>
      <c r="P163" s="4"/>
      <c r="Q163" s="4"/>
      <c r="R163" s="4"/>
      <c r="S163" s="4"/>
      <c r="T163" s="4"/>
      <c r="U163" s="4"/>
      <c r="V163" s="4"/>
      <c r="W163" s="4"/>
      <c r="X163" s="4"/>
      <c r="Y163" s="4"/>
      <c r="Z163" s="4"/>
    </row>
    <row r="164" spans="1:26" ht="14.25" customHeight="1">
      <c r="A164" s="4"/>
      <c r="B164" s="4"/>
      <c r="C164" s="112"/>
      <c r="D164" s="4"/>
      <c r="E164" s="15"/>
      <c r="F164" s="4"/>
      <c r="G164" s="4"/>
      <c r="H164" s="4"/>
      <c r="I164" s="4"/>
      <c r="J164" s="4"/>
      <c r="K164" s="4"/>
      <c r="L164" s="4"/>
      <c r="M164" s="4"/>
      <c r="N164" s="4"/>
      <c r="O164" s="4"/>
      <c r="P164" s="4"/>
      <c r="Q164" s="4"/>
      <c r="R164" s="4"/>
      <c r="S164" s="4"/>
      <c r="T164" s="4"/>
      <c r="U164" s="4"/>
      <c r="V164" s="4"/>
      <c r="W164" s="4"/>
      <c r="X164" s="4"/>
      <c r="Y164" s="4"/>
      <c r="Z164" s="4"/>
    </row>
    <row r="165" spans="1:26" ht="14.25" customHeight="1">
      <c r="A165" s="4"/>
      <c r="B165" s="4"/>
      <c r="C165" s="112"/>
      <c r="D165" s="4"/>
      <c r="E165" s="15"/>
      <c r="F165" s="4"/>
      <c r="G165" s="4"/>
      <c r="H165" s="4"/>
      <c r="I165" s="4"/>
      <c r="J165" s="4"/>
      <c r="K165" s="4"/>
      <c r="L165" s="4"/>
      <c r="M165" s="4"/>
      <c r="N165" s="4"/>
      <c r="O165" s="4"/>
      <c r="P165" s="4"/>
      <c r="Q165" s="4"/>
      <c r="R165" s="4"/>
      <c r="S165" s="4"/>
      <c r="T165" s="4"/>
      <c r="U165" s="4"/>
      <c r="V165" s="4"/>
      <c r="W165" s="4"/>
      <c r="X165" s="4"/>
      <c r="Y165" s="4"/>
      <c r="Z165" s="4"/>
    </row>
    <row r="166" spans="1:26" ht="14.25" customHeight="1">
      <c r="A166" s="4"/>
      <c r="B166" s="4"/>
      <c r="C166" s="112"/>
      <c r="D166" s="4"/>
      <c r="E166" s="15"/>
      <c r="F166" s="4"/>
      <c r="G166" s="4"/>
      <c r="H166" s="4"/>
      <c r="I166" s="4"/>
      <c r="J166" s="4"/>
      <c r="K166" s="4"/>
      <c r="L166" s="4"/>
      <c r="M166" s="4"/>
      <c r="N166" s="4"/>
      <c r="O166" s="4"/>
      <c r="P166" s="4"/>
      <c r="Q166" s="4"/>
      <c r="R166" s="4"/>
      <c r="S166" s="4"/>
      <c r="T166" s="4"/>
      <c r="U166" s="4"/>
      <c r="V166" s="4"/>
      <c r="W166" s="4"/>
      <c r="X166" s="4"/>
      <c r="Y166" s="4"/>
      <c r="Z166" s="4"/>
    </row>
    <row r="167" spans="1:26" ht="14.25" customHeight="1">
      <c r="A167" s="4"/>
      <c r="B167" s="4"/>
      <c r="C167" s="112"/>
      <c r="D167" s="4"/>
      <c r="E167" s="15"/>
      <c r="F167" s="4"/>
      <c r="G167" s="4"/>
      <c r="H167" s="4"/>
      <c r="I167" s="4"/>
      <c r="J167" s="4"/>
      <c r="K167" s="4"/>
      <c r="L167" s="4"/>
      <c r="M167" s="4"/>
      <c r="N167" s="4"/>
      <c r="O167" s="4"/>
      <c r="P167" s="4"/>
      <c r="Q167" s="4"/>
      <c r="R167" s="4"/>
      <c r="S167" s="4"/>
      <c r="T167" s="4"/>
      <c r="U167" s="4"/>
      <c r="V167" s="4"/>
      <c r="W167" s="4"/>
      <c r="X167" s="4"/>
      <c r="Y167" s="4"/>
      <c r="Z167" s="4"/>
    </row>
    <row r="168" spans="1:26" ht="14.25" customHeight="1">
      <c r="A168" s="4"/>
      <c r="B168" s="4"/>
      <c r="C168" s="112"/>
      <c r="D168" s="4"/>
      <c r="E168" s="15"/>
      <c r="F168" s="4"/>
      <c r="G168" s="4"/>
      <c r="H168" s="4"/>
      <c r="I168" s="4"/>
      <c r="J168" s="4"/>
      <c r="K168" s="4"/>
      <c r="L168" s="4"/>
      <c r="M168" s="4"/>
      <c r="N168" s="4"/>
      <c r="O168" s="4"/>
      <c r="P168" s="4"/>
      <c r="Q168" s="4"/>
      <c r="R168" s="4"/>
      <c r="S168" s="4"/>
      <c r="T168" s="4"/>
      <c r="U168" s="4"/>
      <c r="V168" s="4"/>
      <c r="W168" s="4"/>
      <c r="X168" s="4"/>
      <c r="Y168" s="4"/>
      <c r="Z168" s="4"/>
    </row>
    <row r="169" spans="1:26" ht="14.25" customHeight="1">
      <c r="A169" s="4"/>
      <c r="B169" s="4"/>
      <c r="C169" s="112"/>
      <c r="D169" s="4"/>
      <c r="E169" s="15"/>
      <c r="F169" s="4"/>
      <c r="G169" s="4"/>
      <c r="H169" s="4"/>
      <c r="I169" s="4"/>
      <c r="J169" s="4"/>
      <c r="K169" s="4"/>
      <c r="L169" s="4"/>
      <c r="M169" s="4"/>
      <c r="N169" s="4"/>
      <c r="O169" s="4"/>
      <c r="P169" s="4"/>
      <c r="Q169" s="4"/>
      <c r="R169" s="4"/>
      <c r="S169" s="4"/>
      <c r="T169" s="4"/>
      <c r="U169" s="4"/>
      <c r="V169" s="4"/>
      <c r="W169" s="4"/>
      <c r="X169" s="4"/>
      <c r="Y169" s="4"/>
      <c r="Z169" s="4"/>
    </row>
    <row r="170" spans="1:26" ht="14.25" customHeight="1">
      <c r="A170" s="4"/>
      <c r="B170" s="4"/>
      <c r="C170" s="112"/>
      <c r="D170" s="4"/>
      <c r="E170" s="15"/>
      <c r="F170" s="4"/>
      <c r="G170" s="4"/>
      <c r="H170" s="4"/>
      <c r="I170" s="4"/>
      <c r="J170" s="4"/>
      <c r="K170" s="4"/>
      <c r="L170" s="4"/>
      <c r="M170" s="4"/>
      <c r="N170" s="4"/>
      <c r="O170" s="4"/>
      <c r="P170" s="4"/>
      <c r="Q170" s="4"/>
      <c r="R170" s="4"/>
      <c r="S170" s="4"/>
      <c r="T170" s="4"/>
      <c r="U170" s="4"/>
      <c r="V170" s="4"/>
      <c r="W170" s="4"/>
      <c r="X170" s="4"/>
      <c r="Y170" s="4"/>
      <c r="Z170" s="4"/>
    </row>
    <row r="171" spans="1:26" ht="14.25" customHeight="1">
      <c r="A171" s="4"/>
      <c r="B171" s="4"/>
      <c r="C171" s="112"/>
      <c r="D171" s="4"/>
      <c r="E171" s="15"/>
      <c r="F171" s="4"/>
      <c r="G171" s="4"/>
      <c r="H171" s="4"/>
      <c r="I171" s="4"/>
      <c r="J171" s="4"/>
      <c r="K171" s="4"/>
      <c r="L171" s="4"/>
      <c r="M171" s="4"/>
      <c r="N171" s="4"/>
      <c r="O171" s="4"/>
      <c r="P171" s="4"/>
      <c r="Q171" s="4"/>
      <c r="R171" s="4"/>
      <c r="S171" s="4"/>
      <c r="T171" s="4"/>
      <c r="U171" s="4"/>
      <c r="V171" s="4"/>
      <c r="W171" s="4"/>
      <c r="X171" s="4"/>
      <c r="Y171" s="4"/>
      <c r="Z171" s="4"/>
    </row>
    <row r="172" spans="1:26" ht="14.25" customHeight="1">
      <c r="A172" s="4"/>
      <c r="B172" s="4"/>
      <c r="C172" s="112"/>
      <c r="D172" s="4"/>
      <c r="E172" s="15"/>
      <c r="F172" s="4"/>
      <c r="G172" s="4"/>
      <c r="H172" s="4"/>
      <c r="I172" s="4"/>
      <c r="J172" s="4"/>
      <c r="K172" s="4"/>
      <c r="L172" s="4"/>
      <c r="M172" s="4"/>
      <c r="N172" s="4"/>
      <c r="O172" s="4"/>
      <c r="P172" s="4"/>
      <c r="Q172" s="4"/>
      <c r="R172" s="4"/>
      <c r="S172" s="4"/>
      <c r="T172" s="4"/>
      <c r="U172" s="4"/>
      <c r="V172" s="4"/>
      <c r="W172" s="4"/>
      <c r="X172" s="4"/>
      <c r="Y172" s="4"/>
      <c r="Z172" s="4"/>
    </row>
    <row r="173" spans="1:26" ht="14.25" customHeight="1">
      <c r="A173" s="4"/>
      <c r="B173" s="4"/>
      <c r="C173" s="112"/>
      <c r="D173" s="4"/>
      <c r="E173" s="15"/>
      <c r="F173" s="4"/>
      <c r="G173" s="4"/>
      <c r="H173" s="4"/>
      <c r="I173" s="4"/>
      <c r="J173" s="4"/>
      <c r="K173" s="4"/>
      <c r="L173" s="4"/>
      <c r="M173" s="4"/>
      <c r="N173" s="4"/>
      <c r="O173" s="4"/>
      <c r="P173" s="4"/>
      <c r="Q173" s="4"/>
      <c r="R173" s="4"/>
      <c r="S173" s="4"/>
      <c r="T173" s="4"/>
      <c r="U173" s="4"/>
      <c r="V173" s="4"/>
      <c r="W173" s="4"/>
      <c r="X173" s="4"/>
      <c r="Y173" s="4"/>
      <c r="Z173" s="4"/>
    </row>
    <row r="174" spans="1:26" ht="14.25" customHeight="1">
      <c r="A174" s="4"/>
      <c r="B174" s="4"/>
      <c r="C174" s="112"/>
      <c r="D174" s="4"/>
      <c r="E174" s="15"/>
      <c r="F174" s="4"/>
      <c r="G174" s="4"/>
      <c r="H174" s="4"/>
      <c r="I174" s="4"/>
      <c r="J174" s="4"/>
      <c r="K174" s="4"/>
      <c r="L174" s="4"/>
      <c r="M174" s="4"/>
      <c r="N174" s="4"/>
      <c r="O174" s="4"/>
      <c r="P174" s="4"/>
      <c r="Q174" s="4"/>
      <c r="R174" s="4"/>
      <c r="S174" s="4"/>
      <c r="T174" s="4"/>
      <c r="U174" s="4"/>
      <c r="V174" s="4"/>
      <c r="W174" s="4"/>
      <c r="X174" s="4"/>
      <c r="Y174" s="4"/>
      <c r="Z174" s="4"/>
    </row>
    <row r="175" spans="1:26" ht="14.25" customHeight="1">
      <c r="A175" s="4"/>
      <c r="B175" s="4"/>
      <c r="C175" s="112"/>
      <c r="D175" s="4"/>
      <c r="E175" s="15"/>
      <c r="F175" s="4"/>
      <c r="G175" s="4"/>
      <c r="H175" s="4"/>
      <c r="I175" s="4"/>
      <c r="J175" s="4"/>
      <c r="K175" s="4"/>
      <c r="L175" s="4"/>
      <c r="M175" s="4"/>
      <c r="N175" s="4"/>
      <c r="O175" s="4"/>
      <c r="P175" s="4"/>
      <c r="Q175" s="4"/>
      <c r="R175" s="4"/>
      <c r="S175" s="4"/>
      <c r="T175" s="4"/>
      <c r="U175" s="4"/>
      <c r="V175" s="4"/>
      <c r="W175" s="4"/>
      <c r="X175" s="4"/>
      <c r="Y175" s="4"/>
      <c r="Z175" s="4"/>
    </row>
    <row r="176" spans="1:26" ht="14.25" customHeight="1">
      <c r="A176" s="4"/>
      <c r="B176" s="4"/>
      <c r="C176" s="112"/>
      <c r="D176" s="4"/>
      <c r="E176" s="15"/>
      <c r="F176" s="4"/>
      <c r="G176" s="4"/>
      <c r="H176" s="4"/>
      <c r="I176" s="4"/>
      <c r="J176" s="4"/>
      <c r="K176" s="4"/>
      <c r="L176" s="4"/>
      <c r="M176" s="4"/>
      <c r="N176" s="4"/>
      <c r="O176" s="4"/>
      <c r="P176" s="4"/>
      <c r="Q176" s="4"/>
      <c r="R176" s="4"/>
      <c r="S176" s="4"/>
      <c r="T176" s="4"/>
      <c r="U176" s="4"/>
      <c r="V176" s="4"/>
      <c r="W176" s="4"/>
      <c r="X176" s="4"/>
      <c r="Y176" s="4"/>
      <c r="Z176" s="4"/>
    </row>
    <row r="177" spans="1:26" ht="14.25" customHeight="1">
      <c r="A177" s="4"/>
      <c r="B177" s="4"/>
      <c r="C177" s="112"/>
      <c r="D177" s="4"/>
      <c r="E177" s="15"/>
      <c r="F177" s="4"/>
      <c r="G177" s="4"/>
      <c r="H177" s="4"/>
      <c r="I177" s="4"/>
      <c r="J177" s="4"/>
      <c r="K177" s="4"/>
      <c r="L177" s="4"/>
      <c r="M177" s="4"/>
      <c r="N177" s="4"/>
      <c r="O177" s="4"/>
      <c r="P177" s="4"/>
      <c r="Q177" s="4"/>
      <c r="R177" s="4"/>
      <c r="S177" s="4"/>
      <c r="T177" s="4"/>
      <c r="U177" s="4"/>
      <c r="V177" s="4"/>
      <c r="W177" s="4"/>
      <c r="X177" s="4"/>
      <c r="Y177" s="4"/>
      <c r="Z177" s="4"/>
    </row>
    <row r="178" spans="1:26" ht="14.25" customHeight="1">
      <c r="A178" s="4"/>
      <c r="B178" s="4"/>
      <c r="C178" s="112"/>
      <c r="D178" s="4"/>
      <c r="E178" s="15"/>
      <c r="F178" s="4"/>
      <c r="G178" s="4"/>
      <c r="H178" s="4"/>
      <c r="I178" s="4"/>
      <c r="J178" s="4"/>
      <c r="K178" s="4"/>
      <c r="L178" s="4"/>
      <c r="M178" s="4"/>
      <c r="N178" s="4"/>
      <c r="O178" s="4"/>
      <c r="P178" s="4"/>
      <c r="Q178" s="4"/>
      <c r="R178" s="4"/>
      <c r="S178" s="4"/>
      <c r="T178" s="4"/>
      <c r="U178" s="4"/>
      <c r="V178" s="4"/>
      <c r="W178" s="4"/>
      <c r="X178" s="4"/>
      <c r="Y178" s="4"/>
      <c r="Z178" s="4"/>
    </row>
    <row r="179" spans="1:26" ht="14.25" customHeight="1">
      <c r="A179" s="4"/>
      <c r="B179" s="4"/>
      <c r="C179" s="112"/>
      <c r="D179" s="4"/>
      <c r="E179" s="15"/>
      <c r="F179" s="4"/>
      <c r="G179" s="4"/>
      <c r="H179" s="4"/>
      <c r="I179" s="4"/>
      <c r="J179" s="4"/>
      <c r="K179" s="4"/>
      <c r="L179" s="4"/>
      <c r="M179" s="4"/>
      <c r="N179" s="4"/>
      <c r="O179" s="4"/>
      <c r="P179" s="4"/>
      <c r="Q179" s="4"/>
      <c r="R179" s="4"/>
      <c r="S179" s="4"/>
      <c r="T179" s="4"/>
      <c r="U179" s="4"/>
      <c r="V179" s="4"/>
      <c r="W179" s="4"/>
      <c r="X179" s="4"/>
      <c r="Y179" s="4"/>
      <c r="Z179" s="4"/>
    </row>
    <row r="180" spans="1:26" ht="14.25" customHeight="1">
      <c r="A180" s="4"/>
      <c r="B180" s="4"/>
      <c r="C180" s="112"/>
      <c r="D180" s="4"/>
      <c r="E180" s="15"/>
      <c r="F180" s="4"/>
      <c r="G180" s="4"/>
      <c r="H180" s="4"/>
      <c r="I180" s="4"/>
      <c r="J180" s="4"/>
      <c r="K180" s="4"/>
      <c r="L180" s="4"/>
      <c r="M180" s="4"/>
      <c r="N180" s="4"/>
      <c r="O180" s="4"/>
      <c r="P180" s="4"/>
      <c r="Q180" s="4"/>
      <c r="R180" s="4"/>
      <c r="S180" s="4"/>
      <c r="T180" s="4"/>
      <c r="U180" s="4"/>
      <c r="V180" s="4"/>
      <c r="W180" s="4"/>
      <c r="X180" s="4"/>
      <c r="Y180" s="4"/>
      <c r="Z180" s="4"/>
    </row>
    <row r="181" spans="1:26" ht="14.25" customHeight="1">
      <c r="A181" s="4"/>
      <c r="B181" s="4"/>
      <c r="C181" s="112"/>
      <c r="D181" s="4"/>
      <c r="E181" s="15"/>
      <c r="F181" s="4"/>
      <c r="G181" s="4"/>
      <c r="H181" s="4"/>
      <c r="I181" s="4"/>
      <c r="J181" s="4"/>
      <c r="K181" s="4"/>
      <c r="L181" s="4"/>
      <c r="M181" s="4"/>
      <c r="N181" s="4"/>
      <c r="O181" s="4"/>
      <c r="P181" s="4"/>
      <c r="Q181" s="4"/>
      <c r="R181" s="4"/>
      <c r="S181" s="4"/>
      <c r="T181" s="4"/>
      <c r="U181" s="4"/>
      <c r="V181" s="4"/>
      <c r="W181" s="4"/>
      <c r="X181" s="4"/>
      <c r="Y181" s="4"/>
      <c r="Z181" s="4"/>
    </row>
    <row r="182" spans="1:26" ht="14.25" customHeight="1">
      <c r="A182" s="4"/>
      <c r="B182" s="4"/>
      <c r="C182" s="112"/>
      <c r="D182" s="4"/>
      <c r="E182" s="15"/>
      <c r="F182" s="4"/>
      <c r="G182" s="4"/>
      <c r="H182" s="4"/>
      <c r="I182" s="4"/>
      <c r="J182" s="4"/>
      <c r="K182" s="4"/>
      <c r="L182" s="4"/>
      <c r="M182" s="4"/>
      <c r="N182" s="4"/>
      <c r="O182" s="4"/>
      <c r="P182" s="4"/>
      <c r="Q182" s="4"/>
      <c r="R182" s="4"/>
      <c r="S182" s="4"/>
      <c r="T182" s="4"/>
      <c r="U182" s="4"/>
      <c r="V182" s="4"/>
      <c r="W182" s="4"/>
      <c r="X182" s="4"/>
      <c r="Y182" s="4"/>
      <c r="Z182" s="4"/>
    </row>
    <row r="183" spans="1:26" ht="14.25" customHeight="1">
      <c r="A183" s="4"/>
      <c r="B183" s="4"/>
      <c r="C183" s="112"/>
      <c r="D183" s="4"/>
      <c r="E183" s="15"/>
      <c r="F183" s="4"/>
      <c r="G183" s="4"/>
      <c r="H183" s="4"/>
      <c r="I183" s="4"/>
      <c r="J183" s="4"/>
      <c r="K183" s="4"/>
      <c r="L183" s="4"/>
      <c r="M183" s="4"/>
      <c r="N183" s="4"/>
      <c r="O183" s="4"/>
      <c r="P183" s="4"/>
      <c r="Q183" s="4"/>
      <c r="R183" s="4"/>
      <c r="S183" s="4"/>
      <c r="T183" s="4"/>
      <c r="U183" s="4"/>
      <c r="V183" s="4"/>
      <c r="W183" s="4"/>
      <c r="X183" s="4"/>
      <c r="Y183" s="4"/>
      <c r="Z183" s="4"/>
    </row>
    <row r="184" spans="1:26" ht="14.25" customHeight="1">
      <c r="A184" s="4"/>
      <c r="B184" s="4"/>
      <c r="C184" s="112"/>
      <c r="D184" s="4"/>
      <c r="E184" s="15"/>
      <c r="F184" s="4"/>
      <c r="G184" s="4"/>
      <c r="H184" s="4"/>
      <c r="I184" s="4"/>
      <c r="J184" s="4"/>
      <c r="K184" s="4"/>
      <c r="L184" s="4"/>
      <c r="M184" s="4"/>
      <c r="N184" s="4"/>
      <c r="O184" s="4"/>
      <c r="P184" s="4"/>
      <c r="Q184" s="4"/>
      <c r="R184" s="4"/>
      <c r="S184" s="4"/>
      <c r="T184" s="4"/>
      <c r="U184" s="4"/>
      <c r="V184" s="4"/>
      <c r="W184" s="4"/>
      <c r="X184" s="4"/>
      <c r="Y184" s="4"/>
      <c r="Z184" s="4"/>
    </row>
    <row r="185" spans="1:26" ht="14.25" customHeight="1">
      <c r="A185" s="4"/>
      <c r="B185" s="4"/>
      <c r="C185" s="112"/>
      <c r="D185" s="4"/>
      <c r="E185" s="15"/>
      <c r="F185" s="4"/>
      <c r="G185" s="4"/>
      <c r="H185" s="4"/>
      <c r="I185" s="4"/>
      <c r="J185" s="4"/>
      <c r="K185" s="4"/>
      <c r="L185" s="4"/>
      <c r="M185" s="4"/>
      <c r="N185" s="4"/>
      <c r="O185" s="4"/>
      <c r="P185" s="4"/>
      <c r="Q185" s="4"/>
      <c r="R185" s="4"/>
      <c r="S185" s="4"/>
      <c r="T185" s="4"/>
      <c r="U185" s="4"/>
      <c r="V185" s="4"/>
      <c r="W185" s="4"/>
      <c r="X185" s="4"/>
      <c r="Y185" s="4"/>
      <c r="Z185" s="4"/>
    </row>
    <row r="186" spans="1:26" ht="14.25" customHeight="1">
      <c r="A186" s="4"/>
      <c r="B186" s="4"/>
      <c r="C186" s="112"/>
      <c r="D186" s="4"/>
      <c r="E186" s="15"/>
      <c r="F186" s="4"/>
      <c r="G186" s="4"/>
      <c r="H186" s="4"/>
      <c r="I186" s="4"/>
      <c r="J186" s="4"/>
      <c r="K186" s="4"/>
      <c r="L186" s="4"/>
      <c r="M186" s="4"/>
      <c r="N186" s="4"/>
      <c r="O186" s="4"/>
      <c r="P186" s="4"/>
      <c r="Q186" s="4"/>
      <c r="R186" s="4"/>
      <c r="S186" s="4"/>
      <c r="T186" s="4"/>
      <c r="U186" s="4"/>
      <c r="V186" s="4"/>
      <c r="W186" s="4"/>
      <c r="X186" s="4"/>
      <c r="Y186" s="4"/>
      <c r="Z186" s="4"/>
    </row>
    <row r="187" spans="1:26" ht="14.25" customHeight="1">
      <c r="A187" s="4"/>
      <c r="B187" s="4"/>
      <c r="C187" s="112"/>
      <c r="D187" s="4"/>
      <c r="E187" s="15"/>
      <c r="F187" s="4"/>
      <c r="G187" s="4"/>
      <c r="H187" s="4"/>
      <c r="I187" s="4"/>
      <c r="J187" s="4"/>
      <c r="K187" s="4"/>
      <c r="L187" s="4"/>
      <c r="M187" s="4"/>
      <c r="N187" s="4"/>
      <c r="O187" s="4"/>
      <c r="P187" s="4"/>
      <c r="Q187" s="4"/>
      <c r="R187" s="4"/>
      <c r="S187" s="4"/>
      <c r="T187" s="4"/>
      <c r="U187" s="4"/>
      <c r="V187" s="4"/>
      <c r="W187" s="4"/>
      <c r="X187" s="4"/>
      <c r="Y187" s="4"/>
      <c r="Z187" s="4"/>
    </row>
    <row r="188" spans="1:26" ht="14.25" customHeight="1">
      <c r="A188" s="4"/>
      <c r="B188" s="4"/>
      <c r="C188" s="112"/>
      <c r="D188" s="4"/>
      <c r="E188" s="15"/>
      <c r="F188" s="4"/>
      <c r="G188" s="4"/>
      <c r="H188" s="4"/>
      <c r="I188" s="4"/>
      <c r="J188" s="4"/>
      <c r="K188" s="4"/>
      <c r="L188" s="4"/>
      <c r="M188" s="4"/>
      <c r="N188" s="4"/>
      <c r="O188" s="4"/>
      <c r="P188" s="4"/>
      <c r="Q188" s="4"/>
      <c r="R188" s="4"/>
      <c r="S188" s="4"/>
      <c r="T188" s="4"/>
      <c r="U188" s="4"/>
      <c r="V188" s="4"/>
      <c r="W188" s="4"/>
      <c r="X188" s="4"/>
      <c r="Y188" s="4"/>
      <c r="Z188" s="4"/>
    </row>
    <row r="189" spans="1:26" ht="14.25" customHeight="1">
      <c r="A189" s="4"/>
      <c r="B189" s="4"/>
      <c r="C189" s="112"/>
      <c r="D189" s="4"/>
      <c r="E189" s="15"/>
      <c r="F189" s="4"/>
      <c r="G189" s="4"/>
      <c r="H189" s="4"/>
      <c r="I189" s="4"/>
      <c r="J189" s="4"/>
      <c r="K189" s="4"/>
      <c r="L189" s="4"/>
      <c r="M189" s="4"/>
      <c r="N189" s="4"/>
      <c r="O189" s="4"/>
      <c r="P189" s="4"/>
      <c r="Q189" s="4"/>
      <c r="R189" s="4"/>
      <c r="S189" s="4"/>
      <c r="T189" s="4"/>
      <c r="U189" s="4"/>
      <c r="V189" s="4"/>
      <c r="W189" s="4"/>
      <c r="X189" s="4"/>
      <c r="Y189" s="4"/>
      <c r="Z189" s="4"/>
    </row>
    <row r="190" spans="1:26" ht="14.25" customHeight="1">
      <c r="A190" s="4"/>
      <c r="B190" s="4"/>
      <c r="C190" s="112"/>
      <c r="D190" s="4"/>
      <c r="E190" s="15"/>
      <c r="F190" s="4"/>
      <c r="G190" s="4"/>
      <c r="H190" s="4"/>
      <c r="I190" s="4"/>
      <c r="J190" s="4"/>
      <c r="K190" s="4"/>
      <c r="L190" s="4"/>
      <c r="M190" s="4"/>
      <c r="N190" s="4"/>
      <c r="O190" s="4"/>
      <c r="P190" s="4"/>
      <c r="Q190" s="4"/>
      <c r="R190" s="4"/>
      <c r="S190" s="4"/>
      <c r="T190" s="4"/>
      <c r="U190" s="4"/>
      <c r="V190" s="4"/>
      <c r="W190" s="4"/>
      <c r="X190" s="4"/>
      <c r="Y190" s="4"/>
      <c r="Z190" s="4"/>
    </row>
    <row r="191" spans="1:26" ht="14.25" customHeight="1">
      <c r="A191" s="4"/>
      <c r="B191" s="4"/>
      <c r="C191" s="112"/>
      <c r="D191" s="4"/>
      <c r="E191" s="15"/>
      <c r="F191" s="4"/>
      <c r="G191" s="4"/>
      <c r="H191" s="4"/>
      <c r="I191" s="4"/>
      <c r="J191" s="4"/>
      <c r="K191" s="4"/>
      <c r="L191" s="4"/>
      <c r="M191" s="4"/>
      <c r="N191" s="4"/>
      <c r="O191" s="4"/>
      <c r="P191" s="4"/>
      <c r="Q191" s="4"/>
      <c r="R191" s="4"/>
      <c r="S191" s="4"/>
      <c r="T191" s="4"/>
      <c r="U191" s="4"/>
      <c r="V191" s="4"/>
      <c r="W191" s="4"/>
      <c r="X191" s="4"/>
      <c r="Y191" s="4"/>
      <c r="Z191" s="4"/>
    </row>
    <row r="192" spans="1:26" ht="14.25" customHeight="1">
      <c r="A192" s="4"/>
      <c r="B192" s="4"/>
      <c r="C192" s="112"/>
      <c r="D192" s="4"/>
      <c r="E192" s="15"/>
      <c r="F192" s="4"/>
      <c r="G192" s="4"/>
      <c r="H192" s="4"/>
      <c r="I192" s="4"/>
      <c r="J192" s="4"/>
      <c r="K192" s="4"/>
      <c r="L192" s="4"/>
      <c r="M192" s="4"/>
      <c r="N192" s="4"/>
      <c r="O192" s="4"/>
      <c r="P192" s="4"/>
      <c r="Q192" s="4"/>
      <c r="R192" s="4"/>
      <c r="S192" s="4"/>
      <c r="T192" s="4"/>
      <c r="U192" s="4"/>
      <c r="V192" s="4"/>
      <c r="W192" s="4"/>
      <c r="X192" s="4"/>
      <c r="Y192" s="4"/>
      <c r="Z192" s="4"/>
    </row>
    <row r="193" spans="1:26" ht="14.25" customHeight="1">
      <c r="A193" s="4"/>
      <c r="B193" s="4"/>
      <c r="C193" s="112"/>
      <c r="D193" s="4"/>
      <c r="E193" s="15"/>
      <c r="F193" s="4"/>
      <c r="G193" s="4"/>
      <c r="H193" s="4"/>
      <c r="I193" s="4"/>
      <c r="J193" s="4"/>
      <c r="K193" s="4"/>
      <c r="L193" s="4"/>
      <c r="M193" s="4"/>
      <c r="N193" s="4"/>
      <c r="O193" s="4"/>
      <c r="P193" s="4"/>
      <c r="Q193" s="4"/>
      <c r="R193" s="4"/>
      <c r="S193" s="4"/>
      <c r="T193" s="4"/>
      <c r="U193" s="4"/>
      <c r="V193" s="4"/>
      <c r="W193" s="4"/>
      <c r="X193" s="4"/>
      <c r="Y193" s="4"/>
      <c r="Z193" s="4"/>
    </row>
    <row r="194" spans="1:26" ht="14.25" customHeight="1">
      <c r="A194" s="4"/>
      <c r="B194" s="4"/>
      <c r="C194" s="112"/>
      <c r="D194" s="4"/>
      <c r="E194" s="15"/>
      <c r="F194" s="4"/>
      <c r="G194" s="4"/>
      <c r="H194" s="4"/>
      <c r="I194" s="4"/>
      <c r="J194" s="4"/>
      <c r="K194" s="4"/>
      <c r="L194" s="4"/>
      <c r="M194" s="4"/>
      <c r="N194" s="4"/>
      <c r="O194" s="4"/>
      <c r="P194" s="4"/>
      <c r="Q194" s="4"/>
      <c r="R194" s="4"/>
      <c r="S194" s="4"/>
      <c r="T194" s="4"/>
      <c r="U194" s="4"/>
      <c r="V194" s="4"/>
      <c r="W194" s="4"/>
      <c r="X194" s="4"/>
      <c r="Y194" s="4"/>
      <c r="Z194" s="4"/>
    </row>
    <row r="195" spans="1:26" ht="14.25" customHeight="1">
      <c r="A195" s="4"/>
      <c r="B195" s="4"/>
      <c r="C195" s="112"/>
      <c r="D195" s="4"/>
      <c r="E195" s="15"/>
      <c r="F195" s="4"/>
      <c r="G195" s="4"/>
      <c r="H195" s="4"/>
      <c r="I195" s="4"/>
      <c r="J195" s="4"/>
      <c r="K195" s="4"/>
      <c r="L195" s="4"/>
      <c r="M195" s="4"/>
      <c r="N195" s="4"/>
      <c r="O195" s="4"/>
      <c r="P195" s="4"/>
      <c r="Q195" s="4"/>
      <c r="R195" s="4"/>
      <c r="S195" s="4"/>
      <c r="T195" s="4"/>
      <c r="U195" s="4"/>
      <c r="V195" s="4"/>
      <c r="W195" s="4"/>
      <c r="X195" s="4"/>
      <c r="Y195" s="4"/>
      <c r="Z195" s="4"/>
    </row>
    <row r="196" spans="1:26" ht="14.25" customHeight="1">
      <c r="A196" s="4"/>
      <c r="B196" s="4"/>
      <c r="C196" s="112"/>
      <c r="D196" s="4"/>
      <c r="E196" s="15"/>
      <c r="F196" s="4"/>
      <c r="G196" s="4"/>
      <c r="H196" s="4"/>
      <c r="I196" s="4"/>
      <c r="J196" s="4"/>
      <c r="K196" s="4"/>
      <c r="L196" s="4"/>
      <c r="M196" s="4"/>
      <c r="N196" s="4"/>
      <c r="O196" s="4"/>
      <c r="P196" s="4"/>
      <c r="Q196" s="4"/>
      <c r="R196" s="4"/>
      <c r="S196" s="4"/>
      <c r="T196" s="4"/>
      <c r="U196" s="4"/>
      <c r="V196" s="4"/>
      <c r="W196" s="4"/>
      <c r="X196" s="4"/>
      <c r="Y196" s="4"/>
      <c r="Z196" s="4"/>
    </row>
    <row r="197" spans="1:26" ht="14.25" customHeight="1">
      <c r="A197" s="4"/>
      <c r="B197" s="4"/>
      <c r="C197" s="112"/>
      <c r="D197" s="4"/>
      <c r="E197" s="15"/>
      <c r="F197" s="4"/>
      <c r="G197" s="4"/>
      <c r="H197" s="4"/>
      <c r="I197" s="4"/>
      <c r="J197" s="4"/>
      <c r="K197" s="4"/>
      <c r="L197" s="4"/>
      <c r="M197" s="4"/>
      <c r="N197" s="4"/>
      <c r="O197" s="4"/>
      <c r="P197" s="4"/>
      <c r="Q197" s="4"/>
      <c r="R197" s="4"/>
      <c r="S197" s="4"/>
      <c r="T197" s="4"/>
      <c r="U197" s="4"/>
      <c r="V197" s="4"/>
      <c r="W197" s="4"/>
      <c r="X197" s="4"/>
      <c r="Y197" s="4"/>
      <c r="Z197" s="4"/>
    </row>
    <row r="198" spans="1:26" ht="14.25" customHeight="1">
      <c r="A198" s="4"/>
      <c r="B198" s="4"/>
      <c r="C198" s="112"/>
      <c r="D198" s="4"/>
      <c r="E198" s="15"/>
      <c r="F198" s="4"/>
      <c r="G198" s="4"/>
      <c r="H198" s="4"/>
      <c r="I198" s="4"/>
      <c r="J198" s="4"/>
      <c r="K198" s="4"/>
      <c r="L198" s="4"/>
      <c r="M198" s="4"/>
      <c r="N198" s="4"/>
      <c r="O198" s="4"/>
      <c r="P198" s="4"/>
      <c r="Q198" s="4"/>
      <c r="R198" s="4"/>
      <c r="S198" s="4"/>
      <c r="T198" s="4"/>
      <c r="U198" s="4"/>
      <c r="V198" s="4"/>
      <c r="W198" s="4"/>
      <c r="X198" s="4"/>
      <c r="Y198" s="4"/>
      <c r="Z198" s="4"/>
    </row>
    <row r="199" spans="1:26" ht="14.25" customHeight="1">
      <c r="A199" s="4"/>
      <c r="B199" s="4"/>
      <c r="C199" s="112"/>
      <c r="D199" s="4"/>
      <c r="E199" s="15"/>
      <c r="F199" s="4"/>
      <c r="G199" s="4"/>
      <c r="H199" s="4"/>
      <c r="I199" s="4"/>
      <c r="J199" s="4"/>
      <c r="K199" s="4"/>
      <c r="L199" s="4"/>
      <c r="M199" s="4"/>
      <c r="N199" s="4"/>
      <c r="O199" s="4"/>
      <c r="P199" s="4"/>
      <c r="Q199" s="4"/>
      <c r="R199" s="4"/>
      <c r="S199" s="4"/>
      <c r="T199" s="4"/>
      <c r="U199" s="4"/>
      <c r="V199" s="4"/>
      <c r="W199" s="4"/>
      <c r="X199" s="4"/>
      <c r="Y199" s="4"/>
      <c r="Z199" s="4"/>
    </row>
    <row r="200" spans="1:26" ht="14.25" customHeight="1">
      <c r="A200" s="4"/>
      <c r="B200" s="4"/>
      <c r="C200" s="112"/>
      <c r="D200" s="4"/>
      <c r="E200" s="15"/>
      <c r="F200" s="4"/>
      <c r="G200" s="4"/>
      <c r="H200" s="4"/>
      <c r="I200" s="4"/>
      <c r="J200" s="4"/>
      <c r="K200" s="4"/>
      <c r="L200" s="4"/>
      <c r="M200" s="4"/>
      <c r="N200" s="4"/>
      <c r="O200" s="4"/>
      <c r="P200" s="4"/>
      <c r="Q200" s="4"/>
      <c r="R200" s="4"/>
      <c r="S200" s="4"/>
      <c r="T200" s="4"/>
      <c r="U200" s="4"/>
      <c r="V200" s="4"/>
      <c r="W200" s="4"/>
      <c r="X200" s="4"/>
      <c r="Y200" s="4"/>
      <c r="Z200" s="4"/>
    </row>
    <row r="201" spans="1:26" ht="14.25" customHeight="1">
      <c r="A201" s="4"/>
      <c r="B201" s="4"/>
      <c r="C201" s="112"/>
      <c r="D201" s="4"/>
      <c r="E201" s="15"/>
      <c r="F201" s="4"/>
      <c r="G201" s="4"/>
      <c r="H201" s="4"/>
      <c r="I201" s="4"/>
      <c r="J201" s="4"/>
      <c r="K201" s="4"/>
      <c r="L201" s="4"/>
      <c r="M201" s="4"/>
      <c r="N201" s="4"/>
      <c r="O201" s="4"/>
      <c r="P201" s="4"/>
      <c r="Q201" s="4"/>
      <c r="R201" s="4"/>
      <c r="S201" s="4"/>
      <c r="T201" s="4"/>
      <c r="U201" s="4"/>
      <c r="V201" s="4"/>
      <c r="W201" s="4"/>
      <c r="X201" s="4"/>
      <c r="Y201" s="4"/>
      <c r="Z201" s="4"/>
    </row>
    <row r="202" spans="1:26" ht="14.25" customHeight="1">
      <c r="A202" s="4"/>
      <c r="B202" s="4"/>
      <c r="C202" s="112"/>
      <c r="D202" s="4"/>
      <c r="E202" s="15"/>
      <c r="F202" s="4"/>
      <c r="G202" s="4"/>
      <c r="H202" s="4"/>
      <c r="I202" s="4"/>
      <c r="J202" s="4"/>
      <c r="K202" s="4"/>
      <c r="L202" s="4"/>
      <c r="M202" s="4"/>
      <c r="N202" s="4"/>
      <c r="O202" s="4"/>
      <c r="P202" s="4"/>
      <c r="Q202" s="4"/>
      <c r="R202" s="4"/>
      <c r="S202" s="4"/>
      <c r="T202" s="4"/>
      <c r="U202" s="4"/>
      <c r="V202" s="4"/>
      <c r="W202" s="4"/>
      <c r="X202" s="4"/>
      <c r="Y202" s="4"/>
      <c r="Z202" s="4"/>
    </row>
    <row r="203" spans="1:26" ht="14.25" customHeight="1">
      <c r="A203" s="4"/>
      <c r="B203" s="4"/>
      <c r="C203" s="112"/>
      <c r="D203" s="4"/>
      <c r="E203" s="15"/>
      <c r="F203" s="4"/>
      <c r="G203" s="4"/>
      <c r="H203" s="4"/>
      <c r="I203" s="4"/>
      <c r="J203" s="4"/>
      <c r="K203" s="4"/>
      <c r="L203" s="4"/>
      <c r="M203" s="4"/>
      <c r="N203" s="4"/>
      <c r="O203" s="4"/>
      <c r="P203" s="4"/>
      <c r="Q203" s="4"/>
      <c r="R203" s="4"/>
      <c r="S203" s="4"/>
      <c r="T203" s="4"/>
      <c r="U203" s="4"/>
      <c r="V203" s="4"/>
      <c r="W203" s="4"/>
      <c r="X203" s="4"/>
      <c r="Y203" s="4"/>
      <c r="Z203" s="4"/>
    </row>
    <row r="204" spans="1:26" ht="14.25" customHeight="1">
      <c r="A204" s="4"/>
      <c r="B204" s="4"/>
      <c r="C204" s="112"/>
      <c r="D204" s="4"/>
      <c r="E204" s="15"/>
      <c r="F204" s="4"/>
      <c r="G204" s="4"/>
      <c r="H204" s="4"/>
      <c r="I204" s="4"/>
      <c r="J204" s="4"/>
      <c r="K204" s="4"/>
      <c r="L204" s="4"/>
      <c r="M204" s="4"/>
      <c r="N204" s="4"/>
      <c r="O204" s="4"/>
      <c r="P204" s="4"/>
      <c r="Q204" s="4"/>
      <c r="R204" s="4"/>
      <c r="S204" s="4"/>
      <c r="T204" s="4"/>
      <c r="U204" s="4"/>
      <c r="V204" s="4"/>
      <c r="W204" s="4"/>
      <c r="X204" s="4"/>
      <c r="Y204" s="4"/>
      <c r="Z204" s="4"/>
    </row>
    <row r="205" spans="1:26" ht="14.25" customHeight="1">
      <c r="A205" s="4"/>
      <c r="B205" s="4"/>
      <c r="C205" s="112"/>
      <c r="D205" s="4"/>
      <c r="E205" s="15"/>
      <c r="F205" s="4"/>
      <c r="G205" s="4"/>
      <c r="H205" s="4"/>
      <c r="I205" s="4"/>
      <c r="J205" s="4"/>
      <c r="K205" s="4"/>
      <c r="L205" s="4"/>
      <c r="M205" s="4"/>
      <c r="N205" s="4"/>
      <c r="O205" s="4"/>
      <c r="P205" s="4"/>
      <c r="Q205" s="4"/>
      <c r="R205" s="4"/>
      <c r="S205" s="4"/>
      <c r="T205" s="4"/>
      <c r="U205" s="4"/>
      <c r="V205" s="4"/>
      <c r="W205" s="4"/>
      <c r="X205" s="4"/>
      <c r="Y205" s="4"/>
      <c r="Z205" s="4"/>
    </row>
    <row r="206" spans="1:26" ht="14.25" customHeight="1">
      <c r="A206" s="4"/>
      <c r="B206" s="4"/>
      <c r="C206" s="112"/>
      <c r="D206" s="4"/>
      <c r="E206" s="15"/>
      <c r="F206" s="4"/>
      <c r="G206" s="4"/>
      <c r="H206" s="4"/>
      <c r="I206" s="4"/>
      <c r="J206" s="4"/>
      <c r="K206" s="4"/>
      <c r="L206" s="4"/>
      <c r="M206" s="4"/>
      <c r="N206" s="4"/>
      <c r="O206" s="4"/>
      <c r="P206" s="4"/>
      <c r="Q206" s="4"/>
      <c r="R206" s="4"/>
      <c r="S206" s="4"/>
      <c r="T206" s="4"/>
      <c r="U206" s="4"/>
      <c r="V206" s="4"/>
      <c r="W206" s="4"/>
      <c r="X206" s="4"/>
      <c r="Y206" s="4"/>
      <c r="Z206" s="4"/>
    </row>
    <row r="207" spans="1:26" ht="14.25" customHeight="1">
      <c r="A207" s="4"/>
      <c r="B207" s="4"/>
      <c r="C207" s="112"/>
      <c r="D207" s="4"/>
      <c r="E207" s="15"/>
      <c r="F207" s="4"/>
      <c r="G207" s="4"/>
      <c r="H207" s="4"/>
      <c r="I207" s="4"/>
      <c r="J207" s="4"/>
      <c r="K207" s="4"/>
      <c r="L207" s="4"/>
      <c r="M207" s="4"/>
      <c r="N207" s="4"/>
      <c r="O207" s="4"/>
      <c r="P207" s="4"/>
      <c r="Q207" s="4"/>
      <c r="R207" s="4"/>
      <c r="S207" s="4"/>
      <c r="T207" s="4"/>
      <c r="U207" s="4"/>
      <c r="V207" s="4"/>
      <c r="W207" s="4"/>
      <c r="X207" s="4"/>
      <c r="Y207" s="4"/>
      <c r="Z207" s="4"/>
    </row>
    <row r="208" spans="1:26" ht="14.25" customHeight="1">
      <c r="A208" s="4"/>
      <c r="B208" s="4"/>
      <c r="C208" s="112"/>
      <c r="D208" s="4"/>
      <c r="E208" s="15"/>
      <c r="F208" s="4"/>
      <c r="G208" s="4"/>
      <c r="H208" s="4"/>
      <c r="I208" s="4"/>
      <c r="J208" s="4"/>
      <c r="K208" s="4"/>
      <c r="L208" s="4"/>
      <c r="M208" s="4"/>
      <c r="N208" s="4"/>
      <c r="O208" s="4"/>
      <c r="P208" s="4"/>
      <c r="Q208" s="4"/>
      <c r="R208" s="4"/>
      <c r="S208" s="4"/>
      <c r="T208" s="4"/>
      <c r="U208" s="4"/>
      <c r="V208" s="4"/>
      <c r="W208" s="4"/>
      <c r="X208" s="4"/>
      <c r="Y208" s="4"/>
      <c r="Z208" s="4"/>
    </row>
    <row r="209" spans="1:26" ht="14.25" customHeight="1">
      <c r="A209" s="4"/>
      <c r="B209" s="4"/>
      <c r="C209" s="112"/>
      <c r="D209" s="4"/>
      <c r="E209" s="15"/>
      <c r="F209" s="4"/>
      <c r="G209" s="4"/>
      <c r="H209" s="4"/>
      <c r="I209" s="4"/>
      <c r="J209" s="4"/>
      <c r="K209" s="4"/>
      <c r="L209" s="4"/>
      <c r="M209" s="4"/>
      <c r="N209" s="4"/>
      <c r="O209" s="4"/>
      <c r="P209" s="4"/>
      <c r="Q209" s="4"/>
      <c r="R209" s="4"/>
      <c r="S209" s="4"/>
      <c r="T209" s="4"/>
      <c r="U209" s="4"/>
      <c r="V209" s="4"/>
      <c r="W209" s="4"/>
      <c r="X209" s="4"/>
      <c r="Y209" s="4"/>
      <c r="Z209" s="4"/>
    </row>
    <row r="210" spans="1:26" ht="14.25" customHeight="1">
      <c r="A210" s="4"/>
      <c r="B210" s="4"/>
      <c r="C210" s="112"/>
      <c r="D210" s="4"/>
      <c r="E210" s="15"/>
      <c r="F210" s="4"/>
      <c r="G210" s="4"/>
      <c r="H210" s="4"/>
      <c r="I210" s="4"/>
      <c r="J210" s="4"/>
      <c r="K210" s="4"/>
      <c r="L210" s="4"/>
      <c r="M210" s="4"/>
      <c r="N210" s="4"/>
      <c r="O210" s="4"/>
      <c r="P210" s="4"/>
      <c r="Q210" s="4"/>
      <c r="R210" s="4"/>
      <c r="S210" s="4"/>
      <c r="T210" s="4"/>
      <c r="U210" s="4"/>
      <c r="V210" s="4"/>
      <c r="W210" s="4"/>
      <c r="X210" s="4"/>
      <c r="Y210" s="4"/>
      <c r="Z210" s="4"/>
    </row>
    <row r="211" spans="1:26" ht="14.25" customHeight="1">
      <c r="A211" s="4"/>
      <c r="B211" s="4"/>
      <c r="C211" s="112"/>
      <c r="D211" s="4"/>
      <c r="E211" s="15"/>
      <c r="F211" s="4"/>
      <c r="G211" s="4"/>
      <c r="H211" s="4"/>
      <c r="I211" s="4"/>
      <c r="J211" s="4"/>
      <c r="K211" s="4"/>
      <c r="L211" s="4"/>
      <c r="M211" s="4"/>
      <c r="N211" s="4"/>
      <c r="O211" s="4"/>
      <c r="P211" s="4"/>
      <c r="Q211" s="4"/>
      <c r="R211" s="4"/>
      <c r="S211" s="4"/>
      <c r="T211" s="4"/>
      <c r="U211" s="4"/>
      <c r="V211" s="4"/>
      <c r="W211" s="4"/>
      <c r="X211" s="4"/>
      <c r="Y211" s="4"/>
      <c r="Z211" s="4"/>
    </row>
    <row r="212" spans="1:26" ht="14.25" customHeight="1">
      <c r="A212" s="4"/>
      <c r="B212" s="4"/>
      <c r="C212" s="112"/>
      <c r="D212" s="4"/>
      <c r="E212" s="15"/>
      <c r="F212" s="4"/>
      <c r="G212" s="4"/>
      <c r="H212" s="4"/>
      <c r="I212" s="4"/>
      <c r="J212" s="4"/>
      <c r="K212" s="4"/>
      <c r="L212" s="4"/>
      <c r="M212" s="4"/>
      <c r="N212" s="4"/>
      <c r="O212" s="4"/>
      <c r="P212" s="4"/>
      <c r="Q212" s="4"/>
      <c r="R212" s="4"/>
      <c r="S212" s="4"/>
      <c r="T212" s="4"/>
      <c r="U212" s="4"/>
      <c r="V212" s="4"/>
      <c r="W212" s="4"/>
      <c r="X212" s="4"/>
      <c r="Y212" s="4"/>
      <c r="Z212" s="4"/>
    </row>
    <row r="213" spans="1:26" ht="14.25" customHeight="1">
      <c r="A213" s="4"/>
      <c r="B213" s="4"/>
      <c r="C213" s="112"/>
      <c r="D213" s="4"/>
      <c r="E213" s="15"/>
      <c r="F213" s="4"/>
      <c r="G213" s="4"/>
      <c r="H213" s="4"/>
      <c r="I213" s="4"/>
      <c r="J213" s="4"/>
      <c r="K213" s="4"/>
      <c r="L213" s="4"/>
      <c r="M213" s="4"/>
      <c r="N213" s="4"/>
      <c r="O213" s="4"/>
      <c r="P213" s="4"/>
      <c r="Q213" s="4"/>
      <c r="R213" s="4"/>
      <c r="S213" s="4"/>
      <c r="T213" s="4"/>
      <c r="U213" s="4"/>
      <c r="V213" s="4"/>
      <c r="W213" s="4"/>
      <c r="X213" s="4"/>
      <c r="Y213" s="4"/>
      <c r="Z213" s="4"/>
    </row>
    <row r="214" spans="1:26" ht="14.25" customHeight="1">
      <c r="A214" s="4"/>
      <c r="B214" s="4"/>
      <c r="C214" s="112"/>
      <c r="D214" s="4"/>
      <c r="E214" s="15"/>
      <c r="F214" s="4"/>
      <c r="G214" s="4"/>
      <c r="H214" s="4"/>
      <c r="I214" s="4"/>
      <c r="J214" s="4"/>
      <c r="K214" s="4"/>
      <c r="L214" s="4"/>
      <c r="M214" s="4"/>
      <c r="N214" s="4"/>
      <c r="O214" s="4"/>
      <c r="P214" s="4"/>
      <c r="Q214" s="4"/>
      <c r="R214" s="4"/>
      <c r="S214" s="4"/>
      <c r="T214" s="4"/>
      <c r="U214" s="4"/>
      <c r="V214" s="4"/>
      <c r="W214" s="4"/>
      <c r="X214" s="4"/>
      <c r="Y214" s="4"/>
      <c r="Z214" s="4"/>
    </row>
    <row r="215" spans="1:26" ht="14.25" customHeight="1">
      <c r="A215" s="4"/>
      <c r="B215" s="4"/>
      <c r="C215" s="112"/>
      <c r="D215" s="4"/>
      <c r="E215" s="15"/>
      <c r="F215" s="4"/>
      <c r="G215" s="4"/>
      <c r="H215" s="4"/>
      <c r="I215" s="4"/>
      <c r="J215" s="4"/>
      <c r="K215" s="4"/>
      <c r="L215" s="4"/>
      <c r="M215" s="4"/>
      <c r="N215" s="4"/>
      <c r="O215" s="4"/>
      <c r="P215" s="4"/>
      <c r="Q215" s="4"/>
      <c r="R215" s="4"/>
      <c r="S215" s="4"/>
      <c r="T215" s="4"/>
      <c r="U215" s="4"/>
      <c r="V215" s="4"/>
      <c r="W215" s="4"/>
      <c r="X215" s="4"/>
      <c r="Y215" s="4"/>
      <c r="Z215" s="4"/>
    </row>
    <row r="216" spans="1:26" ht="14.25" customHeight="1">
      <c r="A216" s="4"/>
      <c r="B216" s="4"/>
      <c r="C216" s="112"/>
      <c r="D216" s="4"/>
      <c r="E216" s="15"/>
      <c r="F216" s="4"/>
      <c r="G216" s="4"/>
      <c r="H216" s="4"/>
      <c r="I216" s="4"/>
      <c r="J216" s="4"/>
      <c r="K216" s="4"/>
      <c r="L216" s="4"/>
      <c r="M216" s="4"/>
      <c r="N216" s="4"/>
      <c r="O216" s="4"/>
      <c r="P216" s="4"/>
      <c r="Q216" s="4"/>
      <c r="R216" s="4"/>
      <c r="S216" s="4"/>
      <c r="T216" s="4"/>
      <c r="U216" s="4"/>
      <c r="V216" s="4"/>
      <c r="W216" s="4"/>
      <c r="X216" s="4"/>
      <c r="Y216" s="4"/>
      <c r="Z216" s="4"/>
    </row>
    <row r="217" spans="1:26" ht="14.25" customHeight="1">
      <c r="A217" s="4"/>
      <c r="B217" s="4"/>
      <c r="C217" s="112"/>
      <c r="D217" s="4"/>
      <c r="E217" s="15"/>
      <c r="F217" s="4"/>
      <c r="G217" s="4"/>
      <c r="H217" s="4"/>
      <c r="I217" s="4"/>
      <c r="J217" s="4"/>
      <c r="K217" s="4"/>
      <c r="L217" s="4"/>
      <c r="M217" s="4"/>
      <c r="N217" s="4"/>
      <c r="O217" s="4"/>
      <c r="P217" s="4"/>
      <c r="Q217" s="4"/>
      <c r="R217" s="4"/>
      <c r="S217" s="4"/>
      <c r="T217" s="4"/>
      <c r="U217" s="4"/>
      <c r="V217" s="4"/>
      <c r="W217" s="4"/>
      <c r="X217" s="4"/>
      <c r="Y217" s="4"/>
      <c r="Z217" s="4"/>
    </row>
    <row r="218" spans="1:26" ht="14.25" customHeight="1">
      <c r="A218" s="4"/>
      <c r="B218" s="4"/>
      <c r="C218" s="112"/>
      <c r="D218" s="4"/>
      <c r="E218" s="15"/>
      <c r="F218" s="4"/>
      <c r="G218" s="4"/>
      <c r="H218" s="4"/>
      <c r="I218" s="4"/>
      <c r="J218" s="4"/>
      <c r="K218" s="4"/>
      <c r="L218" s="4"/>
      <c r="M218" s="4"/>
      <c r="N218" s="4"/>
      <c r="O218" s="4"/>
      <c r="P218" s="4"/>
      <c r="Q218" s="4"/>
      <c r="R218" s="4"/>
      <c r="S218" s="4"/>
      <c r="T218" s="4"/>
      <c r="U218" s="4"/>
      <c r="V218" s="4"/>
      <c r="W218" s="4"/>
      <c r="X218" s="4"/>
      <c r="Y218" s="4"/>
      <c r="Z218" s="4"/>
    </row>
    <row r="219" spans="1:26" ht="14.25" customHeight="1">
      <c r="A219" s="4"/>
      <c r="B219" s="4"/>
      <c r="C219" s="112"/>
      <c r="D219" s="4"/>
      <c r="E219" s="15"/>
      <c r="F219" s="4"/>
      <c r="G219" s="4"/>
      <c r="H219" s="4"/>
      <c r="I219" s="4"/>
      <c r="J219" s="4"/>
      <c r="K219" s="4"/>
      <c r="L219" s="4"/>
      <c r="M219" s="4"/>
      <c r="N219" s="4"/>
      <c r="O219" s="4"/>
      <c r="P219" s="4"/>
      <c r="Q219" s="4"/>
      <c r="R219" s="4"/>
      <c r="S219" s="4"/>
      <c r="T219" s="4"/>
      <c r="U219" s="4"/>
      <c r="V219" s="4"/>
      <c r="W219" s="4"/>
      <c r="X219" s="4"/>
      <c r="Y219" s="4"/>
      <c r="Z219" s="4"/>
    </row>
    <row r="220" spans="1:26" ht="14.25" customHeight="1">
      <c r="A220" s="4"/>
      <c r="B220" s="4"/>
      <c r="C220" s="112"/>
      <c r="D220" s="4"/>
      <c r="E220" s="15"/>
      <c r="F220" s="4"/>
      <c r="G220" s="4"/>
      <c r="H220" s="4"/>
      <c r="I220" s="4"/>
      <c r="J220" s="4"/>
      <c r="K220" s="4"/>
      <c r="L220" s="4"/>
      <c r="M220" s="4"/>
      <c r="N220" s="4"/>
      <c r="O220" s="4"/>
      <c r="P220" s="4"/>
      <c r="Q220" s="4"/>
      <c r="R220" s="4"/>
      <c r="S220" s="4"/>
      <c r="T220" s="4"/>
      <c r="U220" s="4"/>
      <c r="V220" s="4"/>
      <c r="W220" s="4"/>
      <c r="X220" s="4"/>
      <c r="Y220" s="4"/>
      <c r="Z220" s="4"/>
    </row>
    <row r="221" spans="1:26" ht="14.25" customHeight="1">
      <c r="A221" s="4"/>
      <c r="B221" s="4"/>
      <c r="C221" s="112"/>
      <c r="D221" s="4"/>
      <c r="E221" s="15"/>
      <c r="F221" s="4"/>
      <c r="G221" s="4"/>
      <c r="H221" s="4"/>
      <c r="I221" s="4"/>
      <c r="J221" s="4"/>
      <c r="K221" s="4"/>
      <c r="L221" s="4"/>
      <c r="M221" s="4"/>
      <c r="N221" s="4"/>
      <c r="O221" s="4"/>
      <c r="P221" s="4"/>
      <c r="Q221" s="4"/>
      <c r="R221" s="4"/>
      <c r="S221" s="4"/>
      <c r="T221" s="4"/>
      <c r="U221" s="4"/>
      <c r="V221" s="4"/>
      <c r="W221" s="4"/>
      <c r="X221" s="4"/>
      <c r="Y221" s="4"/>
      <c r="Z221" s="4"/>
    </row>
    <row r="222" spans="1:26" ht="14.25" customHeight="1">
      <c r="A222" s="4"/>
      <c r="B222" s="4"/>
      <c r="C222" s="112"/>
      <c r="D222" s="4"/>
      <c r="E222" s="15"/>
      <c r="F222" s="4"/>
      <c r="G222" s="4"/>
      <c r="H222" s="4"/>
      <c r="I222" s="4"/>
      <c r="J222" s="4"/>
      <c r="K222" s="4"/>
      <c r="L222" s="4"/>
      <c r="M222" s="4"/>
      <c r="N222" s="4"/>
      <c r="O222" s="4"/>
      <c r="P222" s="4"/>
      <c r="Q222" s="4"/>
      <c r="R222" s="4"/>
      <c r="S222" s="4"/>
      <c r="T222" s="4"/>
      <c r="U222" s="4"/>
      <c r="V222" s="4"/>
      <c r="W222" s="4"/>
      <c r="X222" s="4"/>
      <c r="Y222" s="4"/>
      <c r="Z222" s="4"/>
    </row>
    <row r="223" spans="1:26" ht="14.25" customHeight="1">
      <c r="A223" s="4"/>
      <c r="B223" s="4"/>
      <c r="C223" s="112"/>
      <c r="D223" s="4"/>
      <c r="E223" s="15"/>
      <c r="F223" s="4"/>
      <c r="G223" s="4"/>
      <c r="H223" s="4"/>
      <c r="I223" s="4"/>
      <c r="J223" s="4"/>
      <c r="K223" s="4"/>
      <c r="L223" s="4"/>
      <c r="M223" s="4"/>
      <c r="N223" s="4"/>
      <c r="O223" s="4"/>
      <c r="P223" s="4"/>
      <c r="Q223" s="4"/>
      <c r="R223" s="4"/>
      <c r="S223" s="4"/>
      <c r="T223" s="4"/>
      <c r="U223" s="4"/>
      <c r="V223" s="4"/>
      <c r="W223" s="4"/>
      <c r="X223" s="4"/>
      <c r="Y223" s="4"/>
      <c r="Z223" s="4"/>
    </row>
    <row r="224" spans="1:26" ht="14.25" customHeight="1">
      <c r="A224" s="4"/>
      <c r="B224" s="4"/>
      <c r="C224" s="112"/>
      <c r="D224" s="4"/>
      <c r="E224" s="15"/>
      <c r="F224" s="4"/>
      <c r="G224" s="4"/>
      <c r="H224" s="4"/>
      <c r="I224" s="4"/>
      <c r="J224" s="4"/>
      <c r="K224" s="4"/>
      <c r="L224" s="4"/>
      <c r="M224" s="4"/>
      <c r="N224" s="4"/>
      <c r="O224" s="4"/>
      <c r="P224" s="4"/>
      <c r="Q224" s="4"/>
      <c r="R224" s="4"/>
      <c r="S224" s="4"/>
      <c r="T224" s="4"/>
      <c r="U224" s="4"/>
      <c r="V224" s="4"/>
      <c r="W224" s="4"/>
      <c r="X224" s="4"/>
      <c r="Y224" s="4"/>
      <c r="Z224" s="4"/>
    </row>
    <row r="225" spans="1:26" ht="14.25" customHeight="1">
      <c r="A225" s="4"/>
      <c r="B225" s="4"/>
      <c r="C225" s="112"/>
      <c r="D225" s="4"/>
      <c r="E225" s="15"/>
      <c r="F225" s="4"/>
      <c r="G225" s="4"/>
      <c r="H225" s="4"/>
      <c r="I225" s="4"/>
      <c r="J225" s="4"/>
      <c r="K225" s="4"/>
      <c r="L225" s="4"/>
      <c r="M225" s="4"/>
      <c r="N225" s="4"/>
      <c r="O225" s="4"/>
      <c r="P225" s="4"/>
      <c r="Q225" s="4"/>
      <c r="R225" s="4"/>
      <c r="S225" s="4"/>
      <c r="T225" s="4"/>
      <c r="U225" s="4"/>
      <c r="V225" s="4"/>
      <c r="W225" s="4"/>
      <c r="X225" s="4"/>
      <c r="Y225" s="4"/>
      <c r="Z225" s="4"/>
    </row>
    <row r="226" spans="1:26" ht="14.25" customHeight="1">
      <c r="A226" s="4"/>
      <c r="B226" s="4"/>
      <c r="C226" s="112"/>
      <c r="D226" s="4"/>
      <c r="E226" s="15"/>
      <c r="F226" s="4"/>
      <c r="G226" s="4"/>
      <c r="H226" s="4"/>
      <c r="I226" s="4"/>
      <c r="J226" s="4"/>
      <c r="K226" s="4"/>
      <c r="L226" s="4"/>
      <c r="M226" s="4"/>
      <c r="N226" s="4"/>
      <c r="O226" s="4"/>
      <c r="P226" s="4"/>
      <c r="Q226" s="4"/>
      <c r="R226" s="4"/>
      <c r="S226" s="4"/>
      <c r="T226" s="4"/>
      <c r="U226" s="4"/>
      <c r="V226" s="4"/>
      <c r="W226" s="4"/>
      <c r="X226" s="4"/>
      <c r="Y226" s="4"/>
      <c r="Z226" s="4"/>
    </row>
    <row r="227" spans="1:26" ht="14.25" customHeight="1">
      <c r="A227" s="4"/>
      <c r="B227" s="4"/>
      <c r="C227" s="112"/>
      <c r="D227" s="4"/>
      <c r="E227" s="15"/>
      <c r="F227" s="4"/>
      <c r="G227" s="4"/>
      <c r="H227" s="4"/>
      <c r="I227" s="4"/>
      <c r="J227" s="4"/>
      <c r="K227" s="4"/>
      <c r="L227" s="4"/>
      <c r="M227" s="4"/>
      <c r="N227" s="4"/>
      <c r="O227" s="4"/>
      <c r="P227" s="4"/>
      <c r="Q227" s="4"/>
      <c r="R227" s="4"/>
      <c r="S227" s="4"/>
      <c r="T227" s="4"/>
      <c r="U227" s="4"/>
      <c r="V227" s="4"/>
      <c r="W227" s="4"/>
      <c r="X227" s="4"/>
      <c r="Y227" s="4"/>
      <c r="Z227" s="4"/>
    </row>
    <row r="228" spans="1:26" ht="14.25" customHeight="1">
      <c r="A228" s="4"/>
      <c r="B228" s="4"/>
      <c r="C228" s="112"/>
      <c r="D228" s="4"/>
      <c r="E228" s="15"/>
      <c r="F228" s="4"/>
      <c r="G228" s="4"/>
      <c r="H228" s="4"/>
      <c r="I228" s="4"/>
      <c r="J228" s="4"/>
      <c r="K228" s="4"/>
      <c r="L228" s="4"/>
      <c r="M228" s="4"/>
      <c r="N228" s="4"/>
      <c r="O228" s="4"/>
      <c r="P228" s="4"/>
      <c r="Q228" s="4"/>
      <c r="R228" s="4"/>
      <c r="S228" s="4"/>
      <c r="T228" s="4"/>
      <c r="U228" s="4"/>
      <c r="V228" s="4"/>
      <c r="W228" s="4"/>
      <c r="X228" s="4"/>
      <c r="Y228" s="4"/>
      <c r="Z228" s="4"/>
    </row>
    <row r="229" spans="1:26" ht="14.25" customHeight="1">
      <c r="A229" s="4"/>
      <c r="B229" s="4"/>
      <c r="C229" s="112"/>
      <c r="D229" s="4"/>
      <c r="E229" s="15"/>
      <c r="F229" s="4"/>
      <c r="G229" s="4"/>
      <c r="H229" s="4"/>
      <c r="I229" s="4"/>
      <c r="J229" s="4"/>
      <c r="K229" s="4"/>
      <c r="L229" s="4"/>
      <c r="M229" s="4"/>
      <c r="N229" s="4"/>
      <c r="O229" s="4"/>
      <c r="P229" s="4"/>
      <c r="Q229" s="4"/>
      <c r="R229" s="4"/>
      <c r="S229" s="4"/>
      <c r="T229" s="4"/>
      <c r="U229" s="4"/>
      <c r="V229" s="4"/>
      <c r="W229" s="4"/>
      <c r="X229" s="4"/>
      <c r="Y229" s="4"/>
      <c r="Z229" s="4"/>
    </row>
    <row r="230" spans="1:26" ht="14.25" customHeight="1">
      <c r="A230" s="4"/>
      <c r="B230" s="4"/>
      <c r="C230" s="112"/>
      <c r="D230" s="4"/>
      <c r="E230" s="15"/>
      <c r="F230" s="4"/>
      <c r="G230" s="4"/>
      <c r="H230" s="4"/>
      <c r="I230" s="4"/>
      <c r="J230" s="4"/>
      <c r="K230" s="4"/>
      <c r="L230" s="4"/>
      <c r="M230" s="4"/>
      <c r="N230" s="4"/>
      <c r="O230" s="4"/>
      <c r="P230" s="4"/>
      <c r="Q230" s="4"/>
      <c r="R230" s="4"/>
      <c r="S230" s="4"/>
      <c r="T230" s="4"/>
      <c r="U230" s="4"/>
      <c r="V230" s="4"/>
      <c r="W230" s="4"/>
      <c r="X230" s="4"/>
      <c r="Y230" s="4"/>
      <c r="Z230" s="4"/>
    </row>
    <row r="231" spans="1:26" ht="14.25" customHeight="1">
      <c r="A231" s="4"/>
      <c r="B231" s="4"/>
      <c r="C231" s="112"/>
      <c r="D231" s="4"/>
      <c r="E231" s="15"/>
      <c r="F231" s="4"/>
      <c r="G231" s="4"/>
      <c r="H231" s="4"/>
      <c r="I231" s="4"/>
      <c r="J231" s="4"/>
      <c r="K231" s="4"/>
      <c r="L231" s="4"/>
      <c r="M231" s="4"/>
      <c r="N231" s="4"/>
      <c r="O231" s="4"/>
      <c r="P231" s="4"/>
      <c r="Q231" s="4"/>
      <c r="R231" s="4"/>
      <c r="S231" s="4"/>
      <c r="T231" s="4"/>
      <c r="U231" s="4"/>
      <c r="V231" s="4"/>
      <c r="W231" s="4"/>
      <c r="X231" s="4"/>
      <c r="Y231" s="4"/>
      <c r="Z231" s="4"/>
    </row>
    <row r="232" spans="1:26" ht="14.25" customHeight="1">
      <c r="A232" s="4"/>
      <c r="B232" s="4"/>
      <c r="C232" s="112"/>
      <c r="D232" s="4"/>
      <c r="E232" s="15"/>
      <c r="F232" s="4"/>
      <c r="G232" s="4"/>
      <c r="H232" s="4"/>
      <c r="I232" s="4"/>
      <c r="J232" s="4"/>
      <c r="K232" s="4"/>
      <c r="L232" s="4"/>
      <c r="M232" s="4"/>
      <c r="N232" s="4"/>
      <c r="O232" s="4"/>
      <c r="P232" s="4"/>
      <c r="Q232" s="4"/>
      <c r="R232" s="4"/>
      <c r="S232" s="4"/>
      <c r="T232" s="4"/>
      <c r="U232" s="4"/>
      <c r="V232" s="4"/>
      <c r="W232" s="4"/>
      <c r="X232" s="4"/>
      <c r="Y232" s="4"/>
      <c r="Z232" s="4"/>
    </row>
    <row r="233" spans="1:26" ht="14.25" customHeight="1">
      <c r="A233" s="4"/>
      <c r="B233" s="4"/>
      <c r="C233" s="112"/>
      <c r="D233" s="4"/>
      <c r="E233" s="15"/>
      <c r="F233" s="4"/>
      <c r="G233" s="4"/>
      <c r="H233" s="4"/>
      <c r="I233" s="4"/>
      <c r="J233" s="4"/>
      <c r="K233" s="4"/>
      <c r="L233" s="4"/>
      <c r="M233" s="4"/>
      <c r="N233" s="4"/>
      <c r="O233" s="4"/>
      <c r="P233" s="4"/>
      <c r="Q233" s="4"/>
      <c r="R233" s="4"/>
      <c r="S233" s="4"/>
      <c r="T233" s="4"/>
      <c r="U233" s="4"/>
      <c r="V233" s="4"/>
      <c r="W233" s="4"/>
      <c r="X233" s="4"/>
      <c r="Y233" s="4"/>
      <c r="Z233" s="4"/>
    </row>
    <row r="234" spans="1:26" ht="14.25" customHeight="1">
      <c r="A234" s="4"/>
      <c r="B234" s="4"/>
      <c r="C234" s="112"/>
      <c r="D234" s="4"/>
      <c r="E234" s="15"/>
      <c r="F234" s="4"/>
      <c r="G234" s="4"/>
      <c r="H234" s="4"/>
      <c r="I234" s="4"/>
      <c r="J234" s="4"/>
      <c r="K234" s="4"/>
      <c r="L234" s="4"/>
      <c r="M234" s="4"/>
      <c r="N234" s="4"/>
      <c r="O234" s="4"/>
      <c r="P234" s="4"/>
      <c r="Q234" s="4"/>
      <c r="R234" s="4"/>
      <c r="S234" s="4"/>
      <c r="T234" s="4"/>
      <c r="U234" s="4"/>
      <c r="V234" s="4"/>
      <c r="W234" s="4"/>
      <c r="X234" s="4"/>
      <c r="Y234" s="4"/>
      <c r="Z234" s="4"/>
    </row>
    <row r="235" spans="1:26" ht="14.25" customHeight="1">
      <c r="A235" s="4"/>
      <c r="B235" s="4"/>
      <c r="C235" s="112"/>
      <c r="D235" s="4"/>
      <c r="E235" s="15"/>
      <c r="F235" s="4"/>
      <c r="G235" s="4"/>
      <c r="H235" s="4"/>
      <c r="I235" s="4"/>
      <c r="J235" s="4"/>
      <c r="K235" s="4"/>
      <c r="L235" s="4"/>
      <c r="M235" s="4"/>
      <c r="N235" s="4"/>
      <c r="O235" s="4"/>
      <c r="P235" s="4"/>
      <c r="Q235" s="4"/>
      <c r="R235" s="4"/>
      <c r="S235" s="4"/>
      <c r="T235" s="4"/>
      <c r="U235" s="4"/>
      <c r="V235" s="4"/>
      <c r="W235" s="4"/>
      <c r="X235" s="4"/>
      <c r="Y235" s="4"/>
      <c r="Z235" s="4"/>
    </row>
    <row r="236" spans="1:26" ht="14.25" customHeight="1">
      <c r="A236" s="4"/>
      <c r="B236" s="4"/>
      <c r="C236" s="112"/>
      <c r="D236" s="4"/>
      <c r="E236" s="15"/>
      <c r="F236" s="4"/>
      <c r="G236" s="4"/>
      <c r="H236" s="4"/>
      <c r="I236" s="4"/>
      <c r="J236" s="4"/>
      <c r="K236" s="4"/>
      <c r="L236" s="4"/>
      <c r="M236" s="4"/>
      <c r="N236" s="4"/>
      <c r="O236" s="4"/>
      <c r="P236" s="4"/>
      <c r="Q236" s="4"/>
      <c r="R236" s="4"/>
      <c r="S236" s="4"/>
      <c r="T236" s="4"/>
      <c r="U236" s="4"/>
      <c r="V236" s="4"/>
      <c r="W236" s="4"/>
      <c r="X236" s="4"/>
      <c r="Y236" s="4"/>
      <c r="Z236" s="4"/>
    </row>
    <row r="237" spans="1:26" ht="14.25" customHeight="1">
      <c r="A237" s="4"/>
      <c r="B237" s="4"/>
      <c r="C237" s="112"/>
      <c r="D237" s="4"/>
      <c r="E237" s="15"/>
      <c r="F237" s="4"/>
      <c r="G237" s="4"/>
      <c r="H237" s="4"/>
      <c r="I237" s="4"/>
      <c r="J237" s="4"/>
      <c r="K237" s="4"/>
      <c r="L237" s="4"/>
      <c r="M237" s="4"/>
      <c r="N237" s="4"/>
      <c r="O237" s="4"/>
      <c r="P237" s="4"/>
      <c r="Q237" s="4"/>
      <c r="R237" s="4"/>
      <c r="S237" s="4"/>
      <c r="T237" s="4"/>
      <c r="U237" s="4"/>
      <c r="V237" s="4"/>
      <c r="W237" s="4"/>
      <c r="X237" s="4"/>
      <c r="Y237" s="4"/>
      <c r="Z237" s="4"/>
    </row>
    <row r="238" spans="1:26" ht="14.25" customHeight="1">
      <c r="A238" s="4"/>
      <c r="B238" s="4"/>
      <c r="C238" s="112"/>
      <c r="D238" s="4"/>
      <c r="E238" s="15"/>
      <c r="F238" s="4"/>
      <c r="G238" s="4"/>
      <c r="H238" s="4"/>
      <c r="I238" s="4"/>
      <c r="J238" s="4"/>
      <c r="K238" s="4"/>
      <c r="L238" s="4"/>
      <c r="M238" s="4"/>
      <c r="N238" s="4"/>
      <c r="O238" s="4"/>
      <c r="P238" s="4"/>
      <c r="Q238" s="4"/>
      <c r="R238" s="4"/>
      <c r="S238" s="4"/>
      <c r="T238" s="4"/>
      <c r="U238" s="4"/>
      <c r="V238" s="4"/>
      <c r="W238" s="4"/>
      <c r="X238" s="4"/>
      <c r="Y238" s="4"/>
      <c r="Z238" s="4"/>
    </row>
    <row r="239" spans="1:26" ht="14.25" customHeight="1">
      <c r="A239" s="4"/>
      <c r="B239" s="4"/>
      <c r="C239" s="112"/>
      <c r="D239" s="4"/>
      <c r="E239" s="15"/>
      <c r="F239" s="4"/>
      <c r="G239" s="4"/>
      <c r="H239" s="4"/>
      <c r="I239" s="4"/>
      <c r="J239" s="4"/>
      <c r="K239" s="4"/>
      <c r="L239" s="4"/>
      <c r="M239" s="4"/>
      <c r="N239" s="4"/>
      <c r="O239" s="4"/>
      <c r="P239" s="4"/>
      <c r="Q239" s="4"/>
      <c r="R239" s="4"/>
      <c r="S239" s="4"/>
      <c r="T239" s="4"/>
      <c r="U239" s="4"/>
      <c r="V239" s="4"/>
      <c r="W239" s="4"/>
      <c r="X239" s="4"/>
      <c r="Y239" s="4"/>
      <c r="Z239" s="4"/>
    </row>
    <row r="240" spans="1:26" ht="14.25" customHeight="1">
      <c r="A240" s="4"/>
      <c r="B240" s="4"/>
      <c r="C240" s="112"/>
      <c r="D240" s="4"/>
      <c r="E240" s="15"/>
      <c r="F240" s="4"/>
      <c r="G240" s="4"/>
      <c r="H240" s="4"/>
      <c r="I240" s="4"/>
      <c r="J240" s="4"/>
      <c r="K240" s="4"/>
      <c r="L240" s="4"/>
      <c r="M240" s="4"/>
      <c r="N240" s="4"/>
      <c r="O240" s="4"/>
      <c r="P240" s="4"/>
      <c r="Q240" s="4"/>
      <c r="R240" s="4"/>
      <c r="S240" s="4"/>
      <c r="T240" s="4"/>
      <c r="U240" s="4"/>
      <c r="V240" s="4"/>
      <c r="W240" s="4"/>
      <c r="X240" s="4"/>
      <c r="Y240" s="4"/>
      <c r="Z240" s="4"/>
    </row>
    <row r="241" spans="1:26" ht="14.25" customHeight="1">
      <c r="A241" s="4"/>
      <c r="B241" s="4"/>
      <c r="C241" s="112"/>
      <c r="D241" s="4"/>
      <c r="E241" s="15"/>
      <c r="F241" s="4"/>
      <c r="G241" s="4"/>
      <c r="H241" s="4"/>
      <c r="I241" s="4"/>
      <c r="J241" s="4"/>
      <c r="K241" s="4"/>
      <c r="L241" s="4"/>
      <c r="M241" s="4"/>
      <c r="N241" s="4"/>
      <c r="O241" s="4"/>
      <c r="P241" s="4"/>
      <c r="Q241" s="4"/>
      <c r="R241" s="4"/>
      <c r="S241" s="4"/>
      <c r="T241" s="4"/>
      <c r="U241" s="4"/>
      <c r="V241" s="4"/>
      <c r="W241" s="4"/>
      <c r="X241" s="4"/>
      <c r="Y241" s="4"/>
      <c r="Z241" s="4"/>
    </row>
    <row r="242" spans="1:26" ht="14.25" customHeight="1">
      <c r="A242" s="4"/>
      <c r="B242" s="4"/>
      <c r="C242" s="112"/>
      <c r="D242" s="4"/>
      <c r="E242" s="15"/>
      <c r="F242" s="4"/>
      <c r="G242" s="4"/>
      <c r="H242" s="4"/>
      <c r="I242" s="4"/>
      <c r="J242" s="4"/>
      <c r="K242" s="4"/>
      <c r="L242" s="4"/>
      <c r="M242" s="4"/>
      <c r="N242" s="4"/>
      <c r="O242" s="4"/>
      <c r="P242" s="4"/>
      <c r="Q242" s="4"/>
      <c r="R242" s="4"/>
      <c r="S242" s="4"/>
      <c r="T242" s="4"/>
      <c r="U242" s="4"/>
      <c r="V242" s="4"/>
      <c r="W242" s="4"/>
      <c r="X242" s="4"/>
      <c r="Y242" s="4"/>
      <c r="Z242" s="4"/>
    </row>
    <row r="243" spans="1:26" ht="14.25" customHeight="1">
      <c r="A243" s="4"/>
      <c r="B243" s="4"/>
      <c r="C243" s="112"/>
      <c r="D243" s="4"/>
      <c r="E243" s="15"/>
      <c r="F243" s="4"/>
      <c r="G243" s="4"/>
      <c r="H243" s="4"/>
      <c r="I243" s="4"/>
      <c r="J243" s="4"/>
      <c r="K243" s="4"/>
      <c r="L243" s="4"/>
      <c r="M243" s="4"/>
      <c r="N243" s="4"/>
      <c r="O243" s="4"/>
      <c r="P243" s="4"/>
      <c r="Q243" s="4"/>
      <c r="R243" s="4"/>
      <c r="S243" s="4"/>
      <c r="T243" s="4"/>
      <c r="U243" s="4"/>
      <c r="V243" s="4"/>
      <c r="W243" s="4"/>
      <c r="X243" s="4"/>
      <c r="Y243" s="4"/>
      <c r="Z243" s="4"/>
    </row>
    <row r="244" spans="1:26" ht="14.25" customHeight="1">
      <c r="A244" s="4"/>
      <c r="B244" s="4"/>
      <c r="C244" s="112"/>
      <c r="D244" s="4"/>
      <c r="E244" s="15"/>
      <c r="F244" s="4"/>
      <c r="G244" s="4"/>
      <c r="H244" s="4"/>
      <c r="I244" s="4"/>
      <c r="J244" s="4"/>
      <c r="K244" s="4"/>
      <c r="L244" s="4"/>
      <c r="M244" s="4"/>
      <c r="N244" s="4"/>
      <c r="O244" s="4"/>
      <c r="P244" s="4"/>
      <c r="Q244" s="4"/>
      <c r="R244" s="4"/>
      <c r="S244" s="4"/>
      <c r="T244" s="4"/>
      <c r="U244" s="4"/>
      <c r="V244" s="4"/>
      <c r="W244" s="4"/>
      <c r="X244" s="4"/>
      <c r="Y244" s="4"/>
      <c r="Z244" s="4"/>
    </row>
    <row r="245" spans="1:26" ht="14.25" customHeight="1">
      <c r="A245" s="4"/>
      <c r="B245" s="4"/>
      <c r="C245" s="112"/>
      <c r="D245" s="4"/>
      <c r="E245" s="15"/>
      <c r="F245" s="4"/>
      <c r="G245" s="4"/>
      <c r="H245" s="4"/>
      <c r="I245" s="4"/>
      <c r="J245" s="4"/>
      <c r="K245" s="4"/>
      <c r="L245" s="4"/>
      <c r="M245" s="4"/>
      <c r="N245" s="4"/>
      <c r="O245" s="4"/>
      <c r="P245" s="4"/>
      <c r="Q245" s="4"/>
      <c r="R245" s="4"/>
      <c r="S245" s="4"/>
      <c r="T245" s="4"/>
      <c r="U245" s="4"/>
      <c r="V245" s="4"/>
      <c r="W245" s="4"/>
      <c r="X245" s="4"/>
      <c r="Y245" s="4"/>
      <c r="Z245" s="4"/>
    </row>
    <row r="246" spans="1:26" ht="14.25" customHeight="1">
      <c r="A246" s="4"/>
      <c r="B246" s="4"/>
      <c r="C246" s="112"/>
      <c r="D246" s="4"/>
      <c r="E246" s="15"/>
      <c r="F246" s="4"/>
      <c r="G246" s="4"/>
      <c r="H246" s="4"/>
      <c r="I246" s="4"/>
      <c r="J246" s="4"/>
      <c r="K246" s="4"/>
      <c r="L246" s="4"/>
      <c r="M246" s="4"/>
      <c r="N246" s="4"/>
      <c r="O246" s="4"/>
      <c r="P246" s="4"/>
      <c r="Q246" s="4"/>
      <c r="R246" s="4"/>
      <c r="S246" s="4"/>
      <c r="T246" s="4"/>
      <c r="U246" s="4"/>
      <c r="V246" s="4"/>
      <c r="W246" s="4"/>
      <c r="X246" s="4"/>
      <c r="Y246" s="4"/>
      <c r="Z246" s="4"/>
    </row>
    <row r="247" spans="1:26" ht="14.25" customHeight="1">
      <c r="A247" s="4"/>
      <c r="B247" s="4"/>
      <c r="C247" s="112"/>
      <c r="D247" s="4"/>
      <c r="E247" s="15"/>
      <c r="F247" s="4"/>
      <c r="G247" s="4"/>
      <c r="H247" s="4"/>
      <c r="I247" s="4"/>
      <c r="J247" s="4"/>
      <c r="K247" s="4"/>
      <c r="L247" s="4"/>
      <c r="M247" s="4"/>
      <c r="N247" s="4"/>
      <c r="O247" s="4"/>
      <c r="P247" s="4"/>
      <c r="Q247" s="4"/>
      <c r="R247" s="4"/>
      <c r="S247" s="4"/>
      <c r="T247" s="4"/>
      <c r="U247" s="4"/>
      <c r="V247" s="4"/>
      <c r="W247" s="4"/>
      <c r="X247" s="4"/>
      <c r="Y247" s="4"/>
      <c r="Z247" s="4"/>
    </row>
    <row r="248" spans="1:26" ht="14.25" customHeight="1">
      <c r="A248" s="4"/>
      <c r="B248" s="4"/>
      <c r="C248" s="112"/>
      <c r="D248" s="4"/>
      <c r="E248" s="15"/>
      <c r="F248" s="4"/>
      <c r="G248" s="4"/>
      <c r="H248" s="4"/>
      <c r="I248" s="4"/>
      <c r="J248" s="4"/>
      <c r="K248" s="4"/>
      <c r="L248" s="4"/>
      <c r="M248" s="4"/>
      <c r="N248" s="4"/>
      <c r="O248" s="4"/>
      <c r="P248" s="4"/>
      <c r="Q248" s="4"/>
      <c r="R248" s="4"/>
      <c r="S248" s="4"/>
      <c r="T248" s="4"/>
      <c r="U248" s="4"/>
      <c r="V248" s="4"/>
      <c r="W248" s="4"/>
      <c r="X248" s="4"/>
      <c r="Y248" s="4"/>
      <c r="Z248" s="4"/>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ef="F4" r:id="rId1" xr:uid="{00000000-0004-0000-0400-000000000000}"/>
    <hyperlink ref="F8" r:id="rId2" xr:uid="{00000000-0004-0000-0400-000001000000}"/>
    <hyperlink ref="F9" r:id="rId3" xr:uid="{00000000-0004-0000-0400-000002000000}"/>
    <hyperlink ref="F21" r:id="rId4" xr:uid="{00000000-0004-0000-0400-000003000000}"/>
    <hyperlink ref="F22" r:id="rId5" location="2" xr:uid="{00000000-0004-0000-0400-000004000000}"/>
    <hyperlink ref="F30" r:id="rId6" xr:uid="{00000000-0004-0000-0400-000005000000}"/>
    <hyperlink ref="F41" r:id="rId7" xr:uid="{00000000-0004-0000-0400-000006000000}"/>
    <hyperlink ref="F45" r:id="rId8" xr:uid="{00000000-0004-0000-0400-000007000000}"/>
  </hyperlinks>
  <pageMargins left="0.7" right="0.7" top="0.75" bottom="0.75" header="0" footer="0"/>
  <pageSetup orientation="landscape"/>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pane xSplit="2" topLeftCell="C1" activePane="topRight" state="frozen"/>
      <selection pane="topRight" activeCell="F7" sqref="F7"/>
    </sheetView>
  </sheetViews>
  <sheetFormatPr defaultColWidth="14.453125" defaultRowHeight="15" customHeight="1"/>
  <cols>
    <col min="1" max="1" width="3.453125" customWidth="1"/>
    <col min="2" max="2" width="18.81640625" customWidth="1"/>
    <col min="3" max="3" width="13.453125" customWidth="1"/>
    <col min="4" max="16" width="13.81640625" customWidth="1"/>
    <col min="17" max="18" width="14.453125" customWidth="1"/>
    <col min="19" max="19" width="13.81640625" customWidth="1"/>
    <col min="20" max="20" width="6.453125" customWidth="1"/>
    <col min="21" max="23" width="14.453125" customWidth="1"/>
    <col min="24" max="28" width="8.453125" customWidth="1"/>
  </cols>
  <sheetData>
    <row r="1" spans="1:28" ht="14.5">
      <c r="A1" s="122" t="s">
        <v>218</v>
      </c>
      <c r="B1" s="123" t="s">
        <v>28</v>
      </c>
      <c r="C1" s="124">
        <v>2018</v>
      </c>
      <c r="D1" s="124">
        <v>2019</v>
      </c>
      <c r="E1" s="124">
        <v>2020</v>
      </c>
      <c r="F1" s="124">
        <v>2021</v>
      </c>
      <c r="G1" s="124">
        <v>2022</v>
      </c>
      <c r="H1" s="124">
        <v>2023</v>
      </c>
      <c r="I1" s="124">
        <v>2024</v>
      </c>
      <c r="J1" s="124">
        <v>2025</v>
      </c>
      <c r="K1" s="124">
        <v>2026</v>
      </c>
      <c r="L1" s="124">
        <v>2027</v>
      </c>
      <c r="M1" s="124">
        <v>2028</v>
      </c>
      <c r="N1" s="124">
        <v>2029</v>
      </c>
      <c r="O1" s="124">
        <v>2030</v>
      </c>
      <c r="P1" s="124"/>
      <c r="Q1" s="124"/>
      <c r="R1" s="124"/>
      <c r="S1" s="125"/>
      <c r="T1" s="126"/>
      <c r="U1" s="124"/>
      <c r="V1" s="124"/>
      <c r="W1" s="124"/>
      <c r="X1" s="124"/>
      <c r="Y1" s="124"/>
      <c r="Z1" s="124"/>
      <c r="AA1" s="124"/>
      <c r="AB1" s="124"/>
    </row>
    <row r="2" spans="1:28" ht="14.25" customHeight="1">
      <c r="A2" s="127">
        <v>1</v>
      </c>
      <c r="B2" s="128" t="s">
        <v>76</v>
      </c>
      <c r="C2" s="116">
        <v>7181469</v>
      </c>
      <c r="D2" s="116">
        <f>$C$2*POWER(SUM(1,Variables!$C$4),D1-$C$1)</f>
        <v>7289191.0349999992</v>
      </c>
      <c r="E2" s="116">
        <f>$C$2*POWER(SUM(1,Variables!$C$4),E1-$C$1)</f>
        <v>7398528.9005249981</v>
      </c>
      <c r="F2" s="116">
        <f>$C$2*POWER(SUM(1,Variables!$C$4),F1-$C$1)</f>
        <v>7509506.8340328718</v>
      </c>
      <c r="G2" s="116">
        <f>$C$2*POWER(SUM(1,Variables!$C$4),G1-$C$1)</f>
        <v>7622149.4365433641</v>
      </c>
      <c r="H2" s="116">
        <f>$C$2*POWER(SUM(1,Variables!$C$4),H1-$C$1)</f>
        <v>7736481.6780915139</v>
      </c>
      <c r="I2" s="116">
        <f>$C$2*POWER(SUM(1,Variables!$C$4),I1-$C$1)</f>
        <v>7852528.9032628844</v>
      </c>
      <c r="J2" s="116">
        <f>$C$2*POWER(SUM(1,Variables!$C$4),J1-$C$1)</f>
        <v>7970316.8368118266</v>
      </c>
      <c r="K2" s="116">
        <f>$C$2*POWER(SUM(1,Variables!$C$4),K1-$C$1)</f>
        <v>8089871.5893640034</v>
      </c>
      <c r="L2" s="116">
        <f>$C$2*POWER(SUM(1,Variables!$C$4),L1-$C$1)</f>
        <v>8211219.6632044623</v>
      </c>
      <c r="M2" s="116">
        <f>$C$2*POWER(SUM(1,Variables!$C$4),M1-$C$1)</f>
        <v>8334387.9581525289</v>
      </c>
      <c r="N2" s="116">
        <f>$C$2*POWER(SUM(1,Variables!$C$4),N1-$C$1)</f>
        <v>8459403.7775248159</v>
      </c>
      <c r="O2" s="116">
        <f>$C$2*POWER(SUM(1,Variables!$C$4),O1-$C$1)</f>
        <v>8586294.8341876864</v>
      </c>
      <c r="P2" s="116"/>
      <c r="Q2" s="4"/>
      <c r="R2" s="4"/>
      <c r="S2" s="129"/>
      <c r="T2" s="114"/>
      <c r="U2" s="4"/>
      <c r="V2" s="4"/>
      <c r="W2" s="4"/>
      <c r="X2" s="4"/>
      <c r="Y2" s="4"/>
      <c r="Z2" s="4"/>
      <c r="AA2" s="4"/>
      <c r="AB2" s="4"/>
    </row>
    <row r="3" spans="1:28" ht="14.25" customHeight="1">
      <c r="A3" s="127">
        <v>2</v>
      </c>
      <c r="B3" s="128" t="s">
        <v>87</v>
      </c>
      <c r="C3" s="116">
        <v>2372330</v>
      </c>
      <c r="D3" s="116">
        <f>$C$3*POWER(SUM(1,Variables!$C$4),D1-$C$1)</f>
        <v>2407914.9499999997</v>
      </c>
      <c r="E3" s="116">
        <f>$C$3*POWER(SUM(1,Variables!$C$4),E1-$C$1)</f>
        <v>2444033.6742499992</v>
      </c>
      <c r="F3" s="116">
        <f>$C$3*POWER(SUM(1,Variables!$C$4),F1-$C$1)</f>
        <v>2480694.179363749</v>
      </c>
      <c r="G3" s="116">
        <f>$C$3*POWER(SUM(1,Variables!$C$4),G1-$C$1)</f>
        <v>2517904.592054205</v>
      </c>
      <c r="H3" s="116">
        <f>$C$3*POWER(SUM(1,Variables!$C$4),H1-$C$1)</f>
        <v>2555673.1609350177</v>
      </c>
      <c r="I3" s="116">
        <f>$C$3*POWER(SUM(1,Variables!$C$4),I1-$C$1)</f>
        <v>2594008.2583490424</v>
      </c>
      <c r="J3" s="116">
        <f>$C$3*POWER(SUM(1,Variables!$C$4),J1-$C$1)</f>
        <v>2632918.3822242776</v>
      </c>
      <c r="K3" s="116">
        <f>$C$3*POWER(SUM(1,Variables!$C$4),K1-$C$1)</f>
        <v>2672412.1579576414</v>
      </c>
      <c r="L3" s="116">
        <f>$C$3*POWER(SUM(1,Variables!$C$4),L1-$C$1)</f>
        <v>2712498.3403270058</v>
      </c>
      <c r="M3" s="116">
        <f>$C$3*POWER(SUM(1,Variables!$C$4),M1-$C$1)</f>
        <v>2753185.8154319106</v>
      </c>
      <c r="N3" s="116">
        <f>$C$3*POWER(SUM(1,Variables!$C$4),N1-$C$1)</f>
        <v>2794483.6026633889</v>
      </c>
      <c r="O3" s="116">
        <f>$C$3*POWER(SUM(1,Variables!$C$4),O1-$C$1)</f>
        <v>2836400.8567033391</v>
      </c>
      <c r="P3" s="116"/>
      <c r="Q3" s="4"/>
      <c r="R3" s="4"/>
      <c r="S3" s="116"/>
      <c r="T3" s="114"/>
      <c r="U3" s="4"/>
      <c r="V3" s="4"/>
      <c r="W3" s="4"/>
      <c r="X3" s="4"/>
      <c r="Y3" s="4"/>
      <c r="Z3" s="4"/>
      <c r="AA3" s="4"/>
      <c r="AB3" s="4"/>
    </row>
    <row r="4" spans="1:28" ht="14.25" customHeight="1">
      <c r="A4" s="127">
        <v>3</v>
      </c>
      <c r="B4" s="128" t="s">
        <v>103</v>
      </c>
      <c r="C4" s="116">
        <v>1822869</v>
      </c>
      <c r="D4" s="116">
        <f>$C$4*POWER(SUM(1,Variables!$C$4),D1-$C$1)</f>
        <v>1850212.0349999999</v>
      </c>
      <c r="E4" s="116">
        <f>$C$4*POWER(SUM(1,Variables!$C$4),E1-$C$1)</f>
        <v>1877965.2155249994</v>
      </c>
      <c r="F4" s="116">
        <f>$C$4*POWER(SUM(1,Variables!$C$4),F1-$C$1)</f>
        <v>1906134.6937578742</v>
      </c>
      <c r="G4" s="116">
        <f>$C$4*POWER(SUM(1,Variables!$C$4),G1-$C$1)</f>
        <v>1934726.7141642421</v>
      </c>
      <c r="H4" s="116">
        <f>$C$4*POWER(SUM(1,Variables!$C$4),H1-$C$1)</f>
        <v>1963747.6148767055</v>
      </c>
      <c r="I4" s="116">
        <f>$C$4*POWER(SUM(1,Variables!$C$4),I1-$C$1)</f>
        <v>1993203.8290998556</v>
      </c>
      <c r="J4" s="116">
        <f>$C$4*POWER(SUM(1,Variables!$C$4),J1-$C$1)</f>
        <v>2023101.8865363533</v>
      </c>
      <c r="K4" s="116">
        <f>$C$4*POWER(SUM(1,Variables!$C$4),K1-$C$1)</f>
        <v>2053448.4148343983</v>
      </c>
      <c r="L4" s="116">
        <f>$C$4*POWER(SUM(1,Variables!$C$4),L1-$C$1)</f>
        <v>2084250.1410569141</v>
      </c>
      <c r="M4" s="116">
        <f>$C$4*POWER(SUM(1,Variables!$C$4),M1-$C$1)</f>
        <v>2115513.8931727675</v>
      </c>
      <c r="N4" s="116">
        <f>$C$4*POWER(SUM(1,Variables!$C$4),N1-$C$1)</f>
        <v>2147246.601570359</v>
      </c>
      <c r="O4" s="116">
        <f>$C$4*POWER(SUM(1,Variables!$C$4),O1-$C$1)</f>
        <v>2179455.3005939135</v>
      </c>
      <c r="P4" s="116"/>
      <c r="Q4" s="4"/>
      <c r="R4" s="4"/>
      <c r="S4" s="116"/>
      <c r="T4" s="114"/>
      <c r="U4" s="4"/>
      <c r="V4" s="4"/>
      <c r="W4" s="4"/>
      <c r="X4" s="4"/>
      <c r="Y4" s="4"/>
      <c r="Z4" s="4"/>
      <c r="AA4" s="4"/>
      <c r="AB4" s="4"/>
    </row>
    <row r="5" spans="1:28" ht="14.25" customHeight="1">
      <c r="A5" s="127">
        <v>4</v>
      </c>
      <c r="B5" s="128" t="s">
        <v>104</v>
      </c>
      <c r="C5" s="130">
        <v>1120103</v>
      </c>
      <c r="D5" s="116">
        <f>$C$5*POWER(SUM(1,Variables!$C$4),D1-$C$1)</f>
        <v>1136904.5449999999</v>
      </c>
      <c r="E5" s="116">
        <f>$C$5*POWER(SUM(1,Variables!$C$4),E1-$C$1)</f>
        <v>1153958.1131749996</v>
      </c>
      <c r="F5" s="116">
        <f>$C$5*POWER(SUM(1,Variables!$C$4),F1-$C$1)</f>
        <v>1171267.4848726245</v>
      </c>
      <c r="G5" s="116">
        <f>$C$5*POWER(SUM(1,Variables!$C$4),G1-$C$1)</f>
        <v>1188836.4971457138</v>
      </c>
      <c r="H5" s="116">
        <f>$C$5*POWER(SUM(1,Variables!$C$4),H1-$C$1)</f>
        <v>1206669.0446028993</v>
      </c>
      <c r="I5" s="116">
        <f>$C$5*POWER(SUM(1,Variables!$C$4),I1-$C$1)</f>
        <v>1224769.0802719425</v>
      </c>
      <c r="J5" s="116">
        <f>$C$5*POWER(SUM(1,Variables!$C$4),J1-$C$1)</f>
        <v>1243140.6164760215</v>
      </c>
      <c r="K5" s="116">
        <f>$C$5*POWER(SUM(1,Variables!$C$4),K1-$C$1)</f>
        <v>1261787.7257231618</v>
      </c>
      <c r="L5" s="116">
        <f>$C$5*POWER(SUM(1,Variables!$C$4),L1-$C$1)</f>
        <v>1280714.541609009</v>
      </c>
      <c r="M5" s="116">
        <f>$C$5*POWER(SUM(1,Variables!$C$4),M1-$C$1)</f>
        <v>1299925.259733144</v>
      </c>
      <c r="N5" s="116">
        <f>$C$5*POWER(SUM(1,Variables!$C$4),N1-$C$1)</f>
        <v>1319424.138629141</v>
      </c>
      <c r="O5" s="116">
        <f>$C$5*POWER(SUM(1,Variables!$C$4),O1-$C$1)</f>
        <v>1339215.5007085777</v>
      </c>
      <c r="P5" s="116"/>
      <c r="Q5" s="4"/>
      <c r="R5" s="4"/>
      <c r="S5" s="116"/>
      <c r="T5" s="114"/>
      <c r="U5" s="4"/>
      <c r="V5" s="4"/>
      <c r="W5" s="4"/>
      <c r="X5" s="4"/>
      <c r="Y5" s="4"/>
      <c r="Z5" s="4"/>
      <c r="AA5" s="4"/>
      <c r="AB5" s="4"/>
    </row>
    <row r="6" spans="1:28" ht="14.25" customHeight="1">
      <c r="A6" s="127">
        <v>5</v>
      </c>
      <c r="B6" s="128" t="s">
        <v>105</v>
      </c>
      <c r="C6" s="130">
        <v>528855</v>
      </c>
      <c r="D6" s="116">
        <f>$C$6*POWER(SUM(1,Variables!$C$4),D1-$C$1)</f>
        <v>536787.82499999995</v>
      </c>
      <c r="E6" s="116">
        <f>$C$6*POWER(SUM(1,Variables!$C$4),E1-$C$1)</f>
        <v>544839.64237499982</v>
      </c>
      <c r="F6" s="116">
        <f>$C$6*POWER(SUM(1,Variables!$C$4),F1-$C$1)</f>
        <v>553012.23701062484</v>
      </c>
      <c r="G6" s="116">
        <f>$C$6*POWER(SUM(1,Variables!$C$4),G1-$C$1)</f>
        <v>561307.42056578409</v>
      </c>
      <c r="H6" s="116">
        <f>$C$6*POWER(SUM(1,Variables!$C$4),H1-$C$1)</f>
        <v>569727.03187427076</v>
      </c>
      <c r="I6" s="116">
        <f>$C$6*POWER(SUM(1,Variables!$C$4),I1-$C$1)</f>
        <v>578272.93735238467</v>
      </c>
      <c r="J6" s="116">
        <f>$C$6*POWER(SUM(1,Variables!$C$4),J1-$C$1)</f>
        <v>586947.03141267039</v>
      </c>
      <c r="K6" s="116">
        <f>$C$6*POWER(SUM(1,Variables!$C$4),K1-$C$1)</f>
        <v>595751.23688386043</v>
      </c>
      <c r="L6" s="116">
        <f>$C$6*POWER(SUM(1,Variables!$C$4),L1-$C$1)</f>
        <v>604687.50543711823</v>
      </c>
      <c r="M6" s="116">
        <f>$C$6*POWER(SUM(1,Variables!$C$4),M1-$C$1)</f>
        <v>613757.81801867497</v>
      </c>
      <c r="N6" s="116">
        <f>$C$6*POWER(SUM(1,Variables!$C$4),N1-$C$1)</f>
        <v>622964.18528895499</v>
      </c>
      <c r="O6" s="116">
        <f>$C$6*POWER(SUM(1,Variables!$C$4),O1-$C$1)</f>
        <v>632308.64806828916</v>
      </c>
      <c r="P6" s="116"/>
      <c r="Q6" s="4"/>
      <c r="R6" s="4"/>
      <c r="S6" s="116"/>
      <c r="T6" s="114"/>
      <c r="U6" s="4"/>
      <c r="V6" s="4"/>
      <c r="W6" s="4"/>
      <c r="X6" s="4"/>
      <c r="Y6" s="4"/>
      <c r="Z6" s="4"/>
      <c r="AA6" s="4"/>
      <c r="AB6" s="4"/>
    </row>
    <row r="7" spans="1:28" ht="14.25" customHeight="1">
      <c r="A7" s="127">
        <v>6</v>
      </c>
      <c r="B7" s="128" t="s">
        <v>106</v>
      </c>
      <c r="C7" s="130">
        <v>887946</v>
      </c>
      <c r="D7" s="116">
        <f>$C$7*POWER(SUM(1,Variables!$C$4),D1-$C$1)</f>
        <v>901265.19</v>
      </c>
      <c r="E7" s="116">
        <f>$C$7*POWER(SUM(1,Variables!$C$4),E1-$C$1)</f>
        <v>914784.16784999974</v>
      </c>
      <c r="F7" s="116">
        <f>$C$7*POWER(SUM(1,Variables!$C$4),F1-$C$1)</f>
        <v>928505.93036774965</v>
      </c>
      <c r="G7" s="116">
        <f>$C$7*POWER(SUM(1,Variables!$C$4),G1-$C$1)</f>
        <v>942433.51932326576</v>
      </c>
      <c r="H7" s="116">
        <f>$C$7*POWER(SUM(1,Variables!$C$4),H1-$C$1)</f>
        <v>956570.0221131146</v>
      </c>
      <c r="I7" s="116">
        <f>$C$7*POWER(SUM(1,Variables!$C$4),I1-$C$1)</f>
        <v>970918.57244481111</v>
      </c>
      <c r="J7" s="116">
        <f>$C$7*POWER(SUM(1,Variables!$C$4),J1-$C$1)</f>
        <v>985482.35103148315</v>
      </c>
      <c r="K7" s="116">
        <f>$C$7*POWER(SUM(1,Variables!$C$4),K1-$C$1)</f>
        <v>1000264.5862969554</v>
      </c>
      <c r="L7" s="116">
        <f>$C$7*POWER(SUM(1,Variables!$C$4),L1-$C$1)</f>
        <v>1015268.5550914095</v>
      </c>
      <c r="M7" s="116">
        <f>$C$7*POWER(SUM(1,Variables!$C$4),M1-$C$1)</f>
        <v>1030497.5834177806</v>
      </c>
      <c r="N7" s="116">
        <f>$C$7*POWER(SUM(1,Variables!$C$4),N1-$C$1)</f>
        <v>1045955.0471690472</v>
      </c>
      <c r="O7" s="116">
        <f>$C$7*POWER(SUM(1,Variables!$C$4),O1-$C$1)</f>
        <v>1061644.3728765827</v>
      </c>
      <c r="P7" s="116"/>
      <c r="Q7" s="4"/>
      <c r="R7" s="4"/>
      <c r="S7" s="116"/>
      <c r="T7" s="114"/>
      <c r="U7" s="4"/>
      <c r="V7" s="4"/>
      <c r="W7" s="4"/>
      <c r="X7" s="4"/>
      <c r="Y7" s="4"/>
      <c r="Z7" s="4"/>
      <c r="AA7" s="4"/>
      <c r="AB7" s="4"/>
    </row>
    <row r="8" spans="1:28" ht="14.25" customHeight="1">
      <c r="A8" s="127">
        <v>7</v>
      </c>
      <c r="B8" s="128" t="s">
        <v>107</v>
      </c>
      <c r="C8" s="130">
        <v>629414</v>
      </c>
      <c r="D8" s="116">
        <f>$C$8*POWER(SUM(1,Variables!$C$4),D1-$C$1)</f>
        <v>638855.21</v>
      </c>
      <c r="E8" s="116">
        <f>$C$8*POWER(SUM(1,Variables!$C$4),E1-$C$1)</f>
        <v>648438.0381499998</v>
      </c>
      <c r="F8" s="116">
        <f>$C$8*POWER(SUM(1,Variables!$C$4),F1-$C$1)</f>
        <v>658164.60872224974</v>
      </c>
      <c r="G8" s="116">
        <f>$C$8*POWER(SUM(1,Variables!$C$4),G1-$C$1)</f>
        <v>668037.07785308338</v>
      </c>
      <c r="H8" s="116">
        <f>$C$8*POWER(SUM(1,Variables!$C$4),H1-$C$1)</f>
        <v>678057.63402087952</v>
      </c>
      <c r="I8" s="116">
        <f>$C$8*POWER(SUM(1,Variables!$C$4),I1-$C$1)</f>
        <v>688228.49853119266</v>
      </c>
      <c r="J8" s="116">
        <f>$C$8*POWER(SUM(1,Variables!$C$4),J1-$C$1)</f>
        <v>698551.92600916035</v>
      </c>
      <c r="K8" s="116">
        <f>$C$8*POWER(SUM(1,Variables!$C$4),K1-$C$1)</f>
        <v>709030.20489929779</v>
      </c>
      <c r="L8" s="116">
        <f>$C$8*POWER(SUM(1,Variables!$C$4),L1-$C$1)</f>
        <v>719665.65797278716</v>
      </c>
      <c r="M8" s="116">
        <f>$C$8*POWER(SUM(1,Variables!$C$4),M1-$C$1)</f>
        <v>730460.64284237882</v>
      </c>
      <c r="N8" s="116">
        <f>$C$8*POWER(SUM(1,Variables!$C$4),N1-$C$1)</f>
        <v>741417.55248501443</v>
      </c>
      <c r="O8" s="116">
        <f>$C$8*POWER(SUM(1,Variables!$C$4),O1-$C$1)</f>
        <v>752538.81577228953</v>
      </c>
      <c r="P8" s="116"/>
      <c r="Q8" s="4"/>
      <c r="R8" s="4"/>
      <c r="S8" s="116"/>
      <c r="T8" s="114"/>
      <c r="U8" s="4"/>
      <c r="V8" s="4"/>
      <c r="W8" s="4"/>
      <c r="X8" s="4"/>
      <c r="Y8" s="4"/>
      <c r="Z8" s="4"/>
      <c r="AA8" s="4"/>
      <c r="AB8" s="4"/>
    </row>
    <row r="9" spans="1:28" ht="14.25" customHeight="1">
      <c r="A9" s="127">
        <v>8</v>
      </c>
      <c r="B9" s="128" t="s">
        <v>108</v>
      </c>
      <c r="C9" s="130">
        <v>409670</v>
      </c>
      <c r="D9" s="116">
        <f>$C$9*POWER(SUM(1,Variables!$C$4),D1-$C$1)</f>
        <v>415815.05</v>
      </c>
      <c r="E9" s="116">
        <f>$C$9*POWER(SUM(1,Variables!$C$4),E1-$C$1)</f>
        <v>422052.27574999991</v>
      </c>
      <c r="F9" s="116">
        <f>$C$9*POWER(SUM(1,Variables!$C$4),F1-$C$1)</f>
        <v>428383.05988624983</v>
      </c>
      <c r="G9" s="116">
        <f>$C$9*POWER(SUM(1,Variables!$C$4),G1-$C$1)</f>
        <v>434808.80578454351</v>
      </c>
      <c r="H9" s="116">
        <f>$C$9*POWER(SUM(1,Variables!$C$4),H1-$C$1)</f>
        <v>441330.93787131162</v>
      </c>
      <c r="I9" s="116">
        <f>$C$9*POWER(SUM(1,Variables!$C$4),I1-$C$1)</f>
        <v>447950.90193938121</v>
      </c>
      <c r="J9" s="116">
        <f>$C$9*POWER(SUM(1,Variables!$C$4),J1-$C$1)</f>
        <v>454670.16546847182</v>
      </c>
      <c r="K9" s="116">
        <f>$C$9*POWER(SUM(1,Variables!$C$4),K1-$C$1)</f>
        <v>461490.21795049892</v>
      </c>
      <c r="L9" s="116">
        <f>$C$9*POWER(SUM(1,Variables!$C$4),L1-$C$1)</f>
        <v>468412.57121975633</v>
      </c>
      <c r="M9" s="116">
        <f>$C$9*POWER(SUM(1,Variables!$C$4),M1-$C$1)</f>
        <v>475438.75978805259</v>
      </c>
      <c r="N9" s="116">
        <f>$C$9*POWER(SUM(1,Variables!$C$4),N1-$C$1)</f>
        <v>482570.34118487337</v>
      </c>
      <c r="O9" s="116">
        <f>$C$9*POWER(SUM(1,Variables!$C$4),O1-$C$1)</f>
        <v>489808.89630264632</v>
      </c>
      <c r="P9" s="116"/>
      <c r="Q9" s="4"/>
      <c r="R9" s="4"/>
      <c r="S9" s="116"/>
      <c r="T9" s="114"/>
      <c r="U9" s="4"/>
      <c r="V9" s="4"/>
      <c r="W9" s="4"/>
      <c r="X9" s="4"/>
      <c r="Y9" s="4"/>
      <c r="Z9" s="4"/>
      <c r="AA9" s="4"/>
      <c r="AB9" s="4"/>
    </row>
    <row r="10" spans="1:28" ht="14.25" customHeight="1">
      <c r="A10" s="127">
        <v>9</v>
      </c>
      <c r="B10" s="128" t="s">
        <v>109</v>
      </c>
      <c r="C10" s="130">
        <v>479853</v>
      </c>
      <c r="D10" s="116">
        <f>$C$10*POWER(SUM(1,Variables!$C$4),D1-$C$1)</f>
        <v>487050.79499999993</v>
      </c>
      <c r="E10" s="116">
        <f>$C$10*POWER(SUM(1,Variables!$C$4),E1-$C$1)</f>
        <v>494356.55692499987</v>
      </c>
      <c r="F10" s="116">
        <f>$C$10*POWER(SUM(1,Variables!$C$4),F1-$C$1)</f>
        <v>501771.90527887479</v>
      </c>
      <c r="G10" s="116">
        <f>$C$10*POWER(SUM(1,Variables!$C$4),G1-$C$1)</f>
        <v>509298.48385805788</v>
      </c>
      <c r="H10" s="116">
        <f>$C$10*POWER(SUM(1,Variables!$C$4),H1-$C$1)</f>
        <v>516937.96111592866</v>
      </c>
      <c r="I10" s="116">
        <f>$C$10*POWER(SUM(1,Variables!$C$4),I1-$C$1)</f>
        <v>524692.03053266753</v>
      </c>
      <c r="J10" s="116">
        <f>$C$10*POWER(SUM(1,Variables!$C$4),J1-$C$1)</f>
        <v>532562.4109906574</v>
      </c>
      <c r="K10" s="116">
        <f>$C$10*POWER(SUM(1,Variables!$C$4),K1-$C$1)</f>
        <v>540550.8471555172</v>
      </c>
      <c r="L10" s="116">
        <f>$C$10*POWER(SUM(1,Variables!$C$4),L1-$C$1)</f>
        <v>548659.10986284993</v>
      </c>
      <c r="M10" s="116">
        <f>$C$10*POWER(SUM(1,Variables!$C$4),M1-$C$1)</f>
        <v>556888.99651079264</v>
      </c>
      <c r="N10" s="116">
        <f>$C$10*POWER(SUM(1,Variables!$C$4),N1-$C$1)</f>
        <v>565242.33145845449</v>
      </c>
      <c r="O10" s="116">
        <f>$C$10*POWER(SUM(1,Variables!$C$4),O1-$C$1)</f>
        <v>573720.96643033111</v>
      </c>
      <c r="P10" s="116"/>
      <c r="Q10" s="4"/>
      <c r="R10" s="4"/>
      <c r="S10" s="116"/>
      <c r="T10" s="114"/>
      <c r="U10" s="4"/>
      <c r="V10" s="4"/>
      <c r="W10" s="4"/>
      <c r="X10" s="4"/>
      <c r="Y10" s="4"/>
      <c r="Z10" s="4"/>
      <c r="AA10" s="4"/>
      <c r="AB10" s="4"/>
    </row>
    <row r="11" spans="1:28" ht="14.25" customHeight="1">
      <c r="A11" s="127">
        <v>10</v>
      </c>
      <c r="B11" s="128" t="s">
        <v>110</v>
      </c>
      <c r="C11" s="130">
        <v>500686</v>
      </c>
      <c r="D11" s="116">
        <f>$C$11*POWER(SUM(1,Variables!$C$4),D1-$C$1)</f>
        <v>508196.29</v>
      </c>
      <c r="E11" s="116">
        <f>$C$11*POWER(SUM(1,Variables!$C$4),E1-$C$1)</f>
        <v>515819.23434999987</v>
      </c>
      <c r="F11" s="116">
        <f>$C$11*POWER(SUM(1,Variables!$C$4),F1-$C$1)</f>
        <v>523556.52286524978</v>
      </c>
      <c r="G11" s="116">
        <f>$C$11*POWER(SUM(1,Variables!$C$4),G1-$C$1)</f>
        <v>531409.87070822844</v>
      </c>
      <c r="H11" s="116">
        <f>$C$11*POWER(SUM(1,Variables!$C$4),H1-$C$1)</f>
        <v>539381.01876885188</v>
      </c>
      <c r="I11" s="116">
        <f>$C$11*POWER(SUM(1,Variables!$C$4),I1-$C$1)</f>
        <v>547471.73405038449</v>
      </c>
      <c r="J11" s="116">
        <f>$C$11*POWER(SUM(1,Variables!$C$4),J1-$C$1)</f>
        <v>555683.81006114022</v>
      </c>
      <c r="K11" s="116">
        <f>$C$11*POWER(SUM(1,Variables!$C$4),K1-$C$1)</f>
        <v>564019.06721205718</v>
      </c>
      <c r="L11" s="116">
        <f>$C$11*POWER(SUM(1,Variables!$C$4),L1-$C$1)</f>
        <v>572479.353220238</v>
      </c>
      <c r="M11" s="116">
        <f>$C$11*POWER(SUM(1,Variables!$C$4),M1-$C$1)</f>
        <v>581066.5435185415</v>
      </c>
      <c r="N11" s="116">
        <f>$C$11*POWER(SUM(1,Variables!$C$4),N1-$C$1)</f>
        <v>589782.54167131963</v>
      </c>
      <c r="O11" s="116">
        <f>$C$11*POWER(SUM(1,Variables!$C$4),O1-$C$1)</f>
        <v>598629.27979638928</v>
      </c>
      <c r="P11" s="116"/>
      <c r="Q11" s="4"/>
      <c r="R11" s="4"/>
      <c r="S11" s="116"/>
      <c r="T11" s="114"/>
      <c r="U11" s="4"/>
      <c r="V11" s="4"/>
      <c r="W11" s="4"/>
      <c r="X11" s="4"/>
      <c r="Y11" s="4"/>
      <c r="Z11" s="4"/>
      <c r="AA11" s="4"/>
      <c r="AB11" s="4"/>
    </row>
    <row r="12" spans="1:28" ht="14.25" customHeight="1">
      <c r="A12" s="127">
        <v>11</v>
      </c>
      <c r="B12" s="128" t="s">
        <v>125</v>
      </c>
      <c r="C12" s="130">
        <v>352326</v>
      </c>
      <c r="D12" s="116">
        <f>$C$12*POWER(SUM(1,Variables!$C$4),D1-$C$1)</f>
        <v>357610.88999999996</v>
      </c>
      <c r="E12" s="116">
        <f>$C$12*POWER(SUM(1,Variables!$C$4),E1-$C$1)</f>
        <v>362975.05334999989</v>
      </c>
      <c r="F12" s="116">
        <f>$C$12*POWER(SUM(1,Variables!$C$4),F1-$C$1)</f>
        <v>368419.67915024987</v>
      </c>
      <c r="G12" s="116">
        <f>$C$12*POWER(SUM(1,Variables!$C$4),G1-$C$1)</f>
        <v>373945.97433750355</v>
      </c>
      <c r="H12" s="116">
        <f>$C$12*POWER(SUM(1,Variables!$C$4),H1-$C$1)</f>
        <v>379555.16395256604</v>
      </c>
      <c r="I12" s="116">
        <f>$C$12*POWER(SUM(1,Variables!$C$4),I1-$C$1)</f>
        <v>385248.49141185445</v>
      </c>
      <c r="J12" s="116">
        <f>$C$12*POWER(SUM(1,Variables!$C$4),J1-$C$1)</f>
        <v>391027.21878303221</v>
      </c>
      <c r="K12" s="116">
        <f>$C$12*POWER(SUM(1,Variables!$C$4),K1-$C$1)</f>
        <v>396892.62706477765</v>
      </c>
      <c r="L12" s="116">
        <f>$C$12*POWER(SUM(1,Variables!$C$4),L1-$C$1)</f>
        <v>402846.01647074928</v>
      </c>
      <c r="M12" s="116">
        <f>$C$12*POWER(SUM(1,Variables!$C$4),M1-$C$1)</f>
        <v>408888.70671781048</v>
      </c>
      <c r="N12" s="116">
        <f>$C$12*POWER(SUM(1,Variables!$C$4),N1-$C$1)</f>
        <v>415022.03731857758</v>
      </c>
      <c r="O12" s="116">
        <f>$C$12*POWER(SUM(1,Variables!$C$4),O1-$C$1)</f>
        <v>421247.36787835619</v>
      </c>
      <c r="P12" s="116"/>
      <c r="Q12" s="4"/>
      <c r="R12" s="4"/>
      <c r="S12" s="116"/>
      <c r="T12" s="114"/>
      <c r="U12" s="4"/>
      <c r="V12" s="4"/>
      <c r="W12" s="4"/>
      <c r="X12" s="4"/>
      <c r="Y12" s="4"/>
      <c r="Z12" s="4"/>
      <c r="AA12" s="4"/>
      <c r="AB12" s="4"/>
    </row>
    <row r="13" spans="1:28" ht="14.25" customHeight="1">
      <c r="A13" s="127">
        <v>12</v>
      </c>
      <c r="B13" s="128" t="s">
        <v>152</v>
      </c>
      <c r="C13" s="130">
        <v>400436</v>
      </c>
      <c r="D13" s="116">
        <f>$C$13*POWER(SUM(1,Variables!$C$4),D1-$C$1)</f>
        <v>406442.54</v>
      </c>
      <c r="E13" s="116">
        <f>$C$13*POWER(SUM(1,Variables!$C$4),E1-$C$1)</f>
        <v>412539.1780999999</v>
      </c>
      <c r="F13" s="116">
        <f>$C$13*POWER(SUM(1,Variables!$C$4),F1-$C$1)</f>
        <v>418727.26577149983</v>
      </c>
      <c r="G13" s="116">
        <f>$C$13*POWER(SUM(1,Variables!$C$4),G1-$C$1)</f>
        <v>425008.17475807224</v>
      </c>
      <c r="H13" s="116">
        <f>$C$13*POWER(SUM(1,Variables!$C$4),H1-$C$1)</f>
        <v>431383.29737944331</v>
      </c>
      <c r="I13" s="116">
        <f>$C$13*POWER(SUM(1,Variables!$C$4),I1-$C$1)</f>
        <v>437854.04684013489</v>
      </c>
      <c r="J13" s="116">
        <f>$C$13*POWER(SUM(1,Variables!$C$4),J1-$C$1)</f>
        <v>444421.85754273681</v>
      </c>
      <c r="K13" s="116">
        <f>$C$13*POWER(SUM(1,Variables!$C$4),K1-$C$1)</f>
        <v>451088.18540587783</v>
      </c>
      <c r="L13" s="116">
        <f>$C$13*POWER(SUM(1,Variables!$C$4),L1-$C$1)</f>
        <v>457854.50818696595</v>
      </c>
      <c r="M13" s="116">
        <f>$C$13*POWER(SUM(1,Variables!$C$4),M1-$C$1)</f>
        <v>464722.32580977038</v>
      </c>
      <c r="N13" s="116">
        <f>$C$13*POWER(SUM(1,Variables!$C$4),N1-$C$1)</f>
        <v>471693.16069691686</v>
      </c>
      <c r="O13" s="116">
        <f>$C$13*POWER(SUM(1,Variables!$C$4),O1-$C$1)</f>
        <v>478768.55810737051</v>
      </c>
      <c r="P13" s="116"/>
      <c r="Q13" s="4"/>
      <c r="R13" s="4"/>
      <c r="S13" s="116"/>
      <c r="T13" s="114"/>
      <c r="U13" s="4"/>
      <c r="V13" s="4"/>
      <c r="W13" s="4"/>
      <c r="X13" s="4"/>
      <c r="Y13" s="4"/>
      <c r="Z13" s="4"/>
      <c r="AA13" s="4"/>
      <c r="AB13" s="4"/>
    </row>
    <row r="14" spans="1:28" ht="14.25" customHeight="1">
      <c r="A14" s="127">
        <v>13</v>
      </c>
      <c r="B14" s="128" t="s">
        <v>181</v>
      </c>
      <c r="C14" s="130">
        <v>451212</v>
      </c>
      <c r="D14" s="116">
        <f>$C$14*POWER(SUM(1,Variables!$C$4),D1-$C$1)</f>
        <v>457980.17999999993</v>
      </c>
      <c r="E14" s="116">
        <f>$C$14*POWER(SUM(1,Variables!$C$4),E1-$C$1)</f>
        <v>464849.8826999999</v>
      </c>
      <c r="F14" s="116">
        <f>$C$14*POWER(SUM(1,Variables!$C$4),F1-$C$1)</f>
        <v>471822.63094049983</v>
      </c>
      <c r="G14" s="116">
        <f>$C$14*POWER(SUM(1,Variables!$C$4),G1-$C$1)</f>
        <v>478899.97040460724</v>
      </c>
      <c r="H14" s="116">
        <f>$C$14*POWER(SUM(1,Variables!$C$4),H1-$C$1)</f>
        <v>486083.46996067627</v>
      </c>
      <c r="I14" s="116">
        <f>$C$14*POWER(SUM(1,Variables!$C$4),I1-$C$1)</f>
        <v>493374.72201008635</v>
      </c>
      <c r="J14" s="116">
        <f>$C$14*POWER(SUM(1,Variables!$C$4),J1-$C$1)</f>
        <v>500775.34284023754</v>
      </c>
      <c r="K14" s="116">
        <f>$C$14*POWER(SUM(1,Variables!$C$4),K1-$C$1)</f>
        <v>508286.97298284108</v>
      </c>
      <c r="L14" s="116">
        <f>$C$14*POWER(SUM(1,Variables!$C$4),L1-$C$1)</f>
        <v>515911.27757758362</v>
      </c>
      <c r="M14" s="116">
        <f>$C$14*POWER(SUM(1,Variables!$C$4),M1-$C$1)</f>
        <v>523649.94674124732</v>
      </c>
      <c r="N14" s="116">
        <f>$C$14*POWER(SUM(1,Variables!$C$4),N1-$C$1)</f>
        <v>531504.69594236603</v>
      </c>
      <c r="O14" s="116">
        <f>$C$14*POWER(SUM(1,Variables!$C$4),O1-$C$1)</f>
        <v>539477.26638150134</v>
      </c>
      <c r="P14" s="116"/>
      <c r="Q14" s="4"/>
      <c r="R14" s="4"/>
      <c r="S14" s="116"/>
      <c r="T14" s="114"/>
      <c r="U14" s="4"/>
      <c r="V14" s="4"/>
      <c r="W14" s="4"/>
      <c r="X14" s="4"/>
      <c r="Y14" s="4"/>
      <c r="Z14" s="4"/>
      <c r="AA14" s="4"/>
      <c r="AB14" s="4"/>
    </row>
    <row r="15" spans="1:28" ht="14.25" customHeight="1">
      <c r="A15" s="127">
        <v>14</v>
      </c>
      <c r="B15" s="128" t="s">
        <v>206</v>
      </c>
      <c r="C15" s="130">
        <v>314526</v>
      </c>
      <c r="D15" s="116">
        <f>$C$15*POWER(SUM(1,Variables!$C$4),D1-$C$1)</f>
        <v>319243.88999999996</v>
      </c>
      <c r="E15" s="116">
        <f>$C$15*POWER(SUM(1,Variables!$C$4),E1-$C$1)</f>
        <v>324032.54834999994</v>
      </c>
      <c r="F15" s="116">
        <f>$C$15*POWER(SUM(1,Variables!$C$4),F1-$C$1)</f>
        <v>328893.03657524986</v>
      </c>
      <c r="G15" s="116">
        <f>$C$15*POWER(SUM(1,Variables!$C$4),G1-$C$1)</f>
        <v>333826.43212387856</v>
      </c>
      <c r="H15" s="116">
        <f>$C$15*POWER(SUM(1,Variables!$C$4),H1-$C$1)</f>
        <v>338833.82860573672</v>
      </c>
      <c r="I15" s="116">
        <f>$C$15*POWER(SUM(1,Variables!$C$4),I1-$C$1)</f>
        <v>343916.33603482269</v>
      </c>
      <c r="J15" s="116">
        <f>$C$15*POWER(SUM(1,Variables!$C$4),J1-$C$1)</f>
        <v>349075.08107534499</v>
      </c>
      <c r="K15" s="116">
        <f>$C$15*POWER(SUM(1,Variables!$C$4),K1-$C$1)</f>
        <v>354311.20729147515</v>
      </c>
      <c r="L15" s="116">
        <f>$C$15*POWER(SUM(1,Variables!$C$4),L1-$C$1)</f>
        <v>359625.87540084723</v>
      </c>
      <c r="M15" s="116">
        <f>$C$15*POWER(SUM(1,Variables!$C$4),M1-$C$1)</f>
        <v>365020.26353185985</v>
      </c>
      <c r="N15" s="116">
        <f>$C$15*POWER(SUM(1,Variables!$C$4),N1-$C$1)</f>
        <v>370495.56748483772</v>
      </c>
      <c r="O15" s="116">
        <f>$C$15*POWER(SUM(1,Variables!$C$4),O1-$C$1)</f>
        <v>376053.00099711021</v>
      </c>
      <c r="P15" s="116"/>
      <c r="Q15" s="4"/>
      <c r="R15" s="4"/>
      <c r="S15" s="116"/>
      <c r="T15" s="114"/>
      <c r="U15" s="4"/>
      <c r="V15" s="4"/>
      <c r="W15" s="4"/>
      <c r="X15" s="4"/>
      <c r="Y15" s="4"/>
      <c r="Z15" s="4"/>
      <c r="AA15" s="4"/>
      <c r="AB15" s="4"/>
    </row>
    <row r="16" spans="1:28" ht="14.25" customHeight="1">
      <c r="A16" s="127">
        <v>15</v>
      </c>
      <c r="B16" s="128" t="s">
        <v>207</v>
      </c>
      <c r="C16" s="130">
        <v>275641</v>
      </c>
      <c r="D16" s="116">
        <f>$C$16*POWER(SUM(1,Variables!$C$4),D1-$C$1)</f>
        <v>279775.61499999999</v>
      </c>
      <c r="E16" s="116">
        <f>$C$16*POWER(SUM(1,Variables!$C$4),E1-$C$1)</f>
        <v>283972.24922499992</v>
      </c>
      <c r="F16" s="116">
        <f>$C$16*POWER(SUM(1,Variables!$C$4),F1-$C$1)</f>
        <v>288231.83296337491</v>
      </c>
      <c r="G16" s="116">
        <f>$C$16*POWER(SUM(1,Variables!$C$4),G1-$C$1)</f>
        <v>292555.31045782549</v>
      </c>
      <c r="H16" s="116">
        <f>$C$16*POWER(SUM(1,Variables!$C$4),H1-$C$1)</f>
        <v>296943.6401146928</v>
      </c>
      <c r="I16" s="116">
        <f>$C$16*POWER(SUM(1,Variables!$C$4),I1-$C$1)</f>
        <v>301397.79471641313</v>
      </c>
      <c r="J16" s="116">
        <f>$C$16*POWER(SUM(1,Variables!$C$4),J1-$C$1)</f>
        <v>305918.76163715927</v>
      </c>
      <c r="K16" s="116">
        <f>$C$16*POWER(SUM(1,Variables!$C$4),K1-$C$1)</f>
        <v>310507.54306171666</v>
      </c>
      <c r="L16" s="116">
        <f>$C$16*POWER(SUM(1,Variables!$C$4),L1-$C$1)</f>
        <v>315165.15620764234</v>
      </c>
      <c r="M16" s="116">
        <f>$C$16*POWER(SUM(1,Variables!$C$4),M1-$C$1)</f>
        <v>319892.63355075696</v>
      </c>
      <c r="N16" s="116">
        <f>$C$16*POWER(SUM(1,Variables!$C$4),N1-$C$1)</f>
        <v>324691.02305401827</v>
      </c>
      <c r="O16" s="116">
        <f>$C$16*POWER(SUM(1,Variables!$C$4),O1-$C$1)</f>
        <v>329561.38839982852</v>
      </c>
      <c r="P16" s="116"/>
      <c r="Q16" s="4"/>
      <c r="R16" s="4"/>
      <c r="S16" s="116"/>
      <c r="T16" s="114"/>
      <c r="U16" s="4"/>
      <c r="V16" s="4"/>
      <c r="W16" s="4"/>
      <c r="X16" s="4"/>
      <c r="Y16" s="4"/>
      <c r="Z16" s="4"/>
      <c r="AA16" s="4"/>
      <c r="AB16" s="4"/>
    </row>
    <row r="17" spans="1:28" ht="14.25" customHeight="1">
      <c r="A17" s="127">
        <v>16</v>
      </c>
      <c r="B17" s="128" t="s">
        <v>208</v>
      </c>
      <c r="C17" s="130">
        <v>459349</v>
      </c>
      <c r="D17" s="116">
        <f>$C$17*POWER(SUM(1,Variables!$C$4),D1-$C$1)</f>
        <v>466239.23499999993</v>
      </c>
      <c r="E17" s="116">
        <f>$C$17*POWER(SUM(1,Variables!$C$4),E1-$C$1)</f>
        <v>473232.8235249999</v>
      </c>
      <c r="F17" s="116">
        <f>$C$17*POWER(SUM(1,Variables!$C$4),F1-$C$1)</f>
        <v>480331.31587787485</v>
      </c>
      <c r="G17" s="116">
        <f>$C$17*POWER(SUM(1,Variables!$C$4),G1-$C$1)</f>
        <v>487536.28561604285</v>
      </c>
      <c r="H17" s="116">
        <f>$C$17*POWER(SUM(1,Variables!$C$4),H1-$C$1)</f>
        <v>494849.32990028342</v>
      </c>
      <c r="I17" s="116">
        <f>$C$17*POWER(SUM(1,Variables!$C$4),I1-$C$1)</f>
        <v>502272.06984878762</v>
      </c>
      <c r="J17" s="116">
        <f>$C$17*POWER(SUM(1,Variables!$C$4),J1-$C$1)</f>
        <v>509806.15089651931</v>
      </c>
      <c r="K17" s="116">
        <f>$C$17*POWER(SUM(1,Variables!$C$4),K1-$C$1)</f>
        <v>517453.24315996707</v>
      </c>
      <c r="L17" s="116">
        <f>$C$17*POWER(SUM(1,Variables!$C$4),L1-$C$1)</f>
        <v>525215.04180736654</v>
      </c>
      <c r="M17" s="116">
        <f>$C$17*POWER(SUM(1,Variables!$C$4),M1-$C$1)</f>
        <v>533093.26743447699</v>
      </c>
      <c r="N17" s="116">
        <f>$C$17*POWER(SUM(1,Variables!$C$4),N1-$C$1)</f>
        <v>541089.66644599405</v>
      </c>
      <c r="O17" s="116">
        <f>$C$17*POWER(SUM(1,Variables!$C$4),O1-$C$1)</f>
        <v>549206.01144268387</v>
      </c>
      <c r="P17" s="116"/>
      <c r="Q17" s="4"/>
      <c r="R17" s="4"/>
      <c r="S17" s="129"/>
      <c r="T17" s="114"/>
      <c r="U17" s="4"/>
      <c r="V17" s="4"/>
      <c r="W17" s="4"/>
      <c r="X17" s="4"/>
      <c r="Y17" s="4"/>
      <c r="Z17" s="4"/>
      <c r="AA17" s="4"/>
      <c r="AB17" s="4"/>
    </row>
    <row r="18" spans="1:28" ht="14.25" customHeight="1">
      <c r="A18" s="127">
        <v>17</v>
      </c>
      <c r="B18" s="128" t="s">
        <v>209</v>
      </c>
      <c r="C18" s="130">
        <v>433723</v>
      </c>
      <c r="D18" s="116">
        <f>$C$18*POWER(SUM(1,Variables!$C$4),D1-$C$1)</f>
        <v>440228.84499999997</v>
      </c>
      <c r="E18" s="116">
        <f>$C$18*POWER(SUM(1,Variables!$C$4),E1-$C$1)</f>
        <v>446832.2776749999</v>
      </c>
      <c r="F18" s="116">
        <f>$C$18*POWER(SUM(1,Variables!$C$4),F1-$C$1)</f>
        <v>453534.76184012485</v>
      </c>
      <c r="G18" s="116">
        <f>$C$18*POWER(SUM(1,Variables!$C$4),G1-$C$1)</f>
        <v>460337.78326772666</v>
      </c>
      <c r="H18" s="116">
        <f>$C$18*POWER(SUM(1,Variables!$C$4),H1-$C$1)</f>
        <v>467242.85001674248</v>
      </c>
      <c r="I18" s="116">
        <f>$C$18*POWER(SUM(1,Variables!$C$4),I1-$C$1)</f>
        <v>474251.49276699353</v>
      </c>
      <c r="J18" s="116">
        <f>$C$18*POWER(SUM(1,Variables!$C$4),J1-$C$1)</f>
        <v>481365.26515849837</v>
      </c>
      <c r="K18" s="116">
        <f>$C$18*POWER(SUM(1,Variables!$C$4),K1-$C$1)</f>
        <v>488585.74413587578</v>
      </c>
      <c r="L18" s="116">
        <f>$C$18*POWER(SUM(1,Variables!$C$4),L1-$C$1)</f>
        <v>495914.53029791388</v>
      </c>
      <c r="M18" s="116">
        <f>$C$18*POWER(SUM(1,Variables!$C$4),M1-$C$1)</f>
        <v>503353.2482523825</v>
      </c>
      <c r="N18" s="116">
        <f>$C$18*POWER(SUM(1,Variables!$C$4),N1-$C$1)</f>
        <v>510903.54697616817</v>
      </c>
      <c r="O18" s="116">
        <f>$C$18*POWER(SUM(1,Variables!$C$4),O1-$C$1)</f>
        <v>518567.10018081061</v>
      </c>
      <c r="P18" s="116"/>
      <c r="Q18" s="4"/>
      <c r="R18" s="4"/>
      <c r="S18" s="116"/>
      <c r="T18" s="114"/>
      <c r="U18" s="4"/>
      <c r="V18" s="4"/>
      <c r="W18" s="4"/>
      <c r="X18" s="4"/>
      <c r="Y18" s="4"/>
      <c r="Z18" s="4"/>
      <c r="AA18" s="4"/>
      <c r="AB18" s="4"/>
    </row>
    <row r="19" spans="1:28" ht="14.25" customHeight="1">
      <c r="A19" s="127">
        <v>18</v>
      </c>
      <c r="B19" s="128" t="s">
        <v>210</v>
      </c>
      <c r="C19" s="130">
        <v>274622</v>
      </c>
      <c r="D19" s="116">
        <f>$C$19*POWER(SUM(1,Variables!$C$4),D1-$C$1)</f>
        <v>278741.32999999996</v>
      </c>
      <c r="E19" s="116">
        <f>$C$19*POWER(SUM(1,Variables!$C$4),E1-$C$1)</f>
        <v>282922.44994999992</v>
      </c>
      <c r="F19" s="116">
        <f>$C$19*POWER(SUM(1,Variables!$C$4),F1-$C$1)</f>
        <v>287166.28669924987</v>
      </c>
      <c r="G19" s="116">
        <f>$C$19*POWER(SUM(1,Variables!$C$4),G1-$C$1)</f>
        <v>291473.78099973861</v>
      </c>
      <c r="H19" s="116">
        <f>$C$19*POWER(SUM(1,Variables!$C$4),H1-$C$1)</f>
        <v>295845.88771473465</v>
      </c>
      <c r="I19" s="116">
        <f>$C$19*POWER(SUM(1,Variables!$C$4),I1-$C$1)</f>
        <v>300283.57603045559</v>
      </c>
      <c r="J19" s="116">
        <f>$C$19*POWER(SUM(1,Variables!$C$4),J1-$C$1)</f>
        <v>304787.82967091241</v>
      </c>
      <c r="K19" s="116">
        <f>$C$19*POWER(SUM(1,Variables!$C$4),K1-$C$1)</f>
        <v>309359.64711597603</v>
      </c>
      <c r="L19" s="116">
        <f>$C$19*POWER(SUM(1,Variables!$C$4),L1-$C$1)</f>
        <v>314000.04182271566</v>
      </c>
      <c r="M19" s="116">
        <f>$C$19*POWER(SUM(1,Variables!$C$4),M1-$C$1)</f>
        <v>318710.04245005635</v>
      </c>
      <c r="N19" s="116">
        <f>$C$19*POWER(SUM(1,Variables!$C$4),N1-$C$1)</f>
        <v>323490.69308680715</v>
      </c>
      <c r="O19" s="116">
        <f>$C$19*POWER(SUM(1,Variables!$C$4),O1-$C$1)</f>
        <v>328343.05348310916</v>
      </c>
      <c r="P19" s="116"/>
      <c r="Q19" s="4"/>
      <c r="R19" s="4"/>
      <c r="S19" s="116"/>
      <c r="T19" s="114"/>
      <c r="U19" s="4"/>
      <c r="V19" s="4"/>
      <c r="W19" s="4"/>
      <c r="X19" s="4"/>
      <c r="Y19" s="4"/>
      <c r="Z19" s="4"/>
      <c r="AA19" s="4"/>
      <c r="AB19" s="4"/>
    </row>
    <row r="20" spans="1:28" ht="14.25" customHeight="1">
      <c r="A20" s="127">
        <v>19</v>
      </c>
      <c r="B20" s="128" t="s">
        <v>211</v>
      </c>
      <c r="C20" s="130">
        <v>277270</v>
      </c>
      <c r="D20" s="116">
        <f>$C$20*POWER(SUM(1,Variables!$C$4),D1-$C$1)</f>
        <v>281429.05</v>
      </c>
      <c r="E20" s="116">
        <f>$C$20*POWER(SUM(1,Variables!$C$4),E1-$C$1)</f>
        <v>285650.48574999993</v>
      </c>
      <c r="F20" s="116">
        <f>$C$20*POWER(SUM(1,Variables!$C$4),F1-$C$1)</f>
        <v>289935.24303624989</v>
      </c>
      <c r="G20" s="116">
        <f>$C$20*POWER(SUM(1,Variables!$C$4),G1-$C$1)</f>
        <v>294284.27168179362</v>
      </c>
      <c r="H20" s="116">
        <f>$C$20*POWER(SUM(1,Variables!$C$4),H1-$C$1)</f>
        <v>298698.53575702047</v>
      </c>
      <c r="I20" s="116">
        <f>$C$20*POWER(SUM(1,Variables!$C$4),I1-$C$1)</f>
        <v>303179.01379337569</v>
      </c>
      <c r="J20" s="116">
        <f>$C$20*POWER(SUM(1,Variables!$C$4),J1-$C$1)</f>
        <v>307726.69900027628</v>
      </c>
      <c r="K20" s="116">
        <f>$C$20*POWER(SUM(1,Variables!$C$4),K1-$C$1)</f>
        <v>312342.5994852804</v>
      </c>
      <c r="L20" s="116">
        <f>$C$20*POWER(SUM(1,Variables!$C$4),L1-$C$1)</f>
        <v>317027.73847755959</v>
      </c>
      <c r="M20" s="116">
        <f>$C$20*POWER(SUM(1,Variables!$C$4),M1-$C$1)</f>
        <v>321783.15455472295</v>
      </c>
      <c r="N20" s="116">
        <f>$C$20*POWER(SUM(1,Variables!$C$4),N1-$C$1)</f>
        <v>326609.90187304374</v>
      </c>
      <c r="O20" s="116">
        <f>$C$20*POWER(SUM(1,Variables!$C$4),O1-$C$1)</f>
        <v>331509.05040113931</v>
      </c>
      <c r="P20" s="116"/>
      <c r="Q20" s="4"/>
      <c r="R20" s="4"/>
      <c r="S20" s="116"/>
      <c r="T20" s="114"/>
      <c r="U20" s="4"/>
      <c r="V20" s="4"/>
      <c r="W20" s="4"/>
      <c r="X20" s="4"/>
      <c r="Y20" s="4"/>
      <c r="Z20" s="4"/>
      <c r="AA20" s="4"/>
      <c r="AB20" s="4"/>
    </row>
    <row r="21" spans="1:28" ht="14.25" customHeight="1">
      <c r="A21" s="127">
        <v>20</v>
      </c>
      <c r="B21" s="128" t="s">
        <v>212</v>
      </c>
      <c r="C21" s="130">
        <v>167991</v>
      </c>
      <c r="D21" s="116">
        <f>$C$21*POWER(SUM(1,Variables!$C$4),D1-$C$1)</f>
        <v>170510.86499999999</v>
      </c>
      <c r="E21" s="116">
        <f>$C$21*POWER(SUM(1,Variables!$C$4),E1-$C$1)</f>
        <v>173068.52797499995</v>
      </c>
      <c r="F21" s="116">
        <f>$C$21*POWER(SUM(1,Variables!$C$4),F1-$C$1)</f>
        <v>175664.55589462494</v>
      </c>
      <c r="G21" s="116">
        <f>$C$21*POWER(SUM(1,Variables!$C$4),G1-$C$1)</f>
        <v>178299.52423304427</v>
      </c>
      <c r="H21" s="116">
        <f>$C$21*POWER(SUM(1,Variables!$C$4),H1-$C$1)</f>
        <v>180974.01709653993</v>
      </c>
      <c r="I21" s="116">
        <f>$C$21*POWER(SUM(1,Variables!$C$4),I1-$C$1)</f>
        <v>183688.627352988</v>
      </c>
      <c r="J21" s="116">
        <f>$C$21*POWER(SUM(1,Variables!$C$4),J1-$C$1)</f>
        <v>186443.95676328277</v>
      </c>
      <c r="K21" s="116">
        <f>$C$21*POWER(SUM(1,Variables!$C$4),K1-$C$1)</f>
        <v>189240.61611473199</v>
      </c>
      <c r="L21" s="116">
        <f>$C$21*POWER(SUM(1,Variables!$C$4),L1-$C$1)</f>
        <v>192079.22535645295</v>
      </c>
      <c r="M21" s="116">
        <f>$C$21*POWER(SUM(1,Variables!$C$4),M1-$C$1)</f>
        <v>194960.41373679973</v>
      </c>
      <c r="N21" s="116">
        <f>$C$21*POWER(SUM(1,Variables!$C$4),N1-$C$1)</f>
        <v>197884.8199428517</v>
      </c>
      <c r="O21" s="116">
        <f>$C$21*POWER(SUM(1,Variables!$C$4),O1-$C$1)</f>
        <v>200853.09224199443</v>
      </c>
      <c r="P21" s="116"/>
      <c r="Q21" s="4"/>
      <c r="R21" s="4"/>
      <c r="S21" s="116"/>
      <c r="T21" s="114"/>
      <c r="U21" s="4"/>
      <c r="V21" s="4"/>
      <c r="W21" s="4"/>
      <c r="X21" s="4"/>
      <c r="Y21" s="4"/>
      <c r="Z21" s="4"/>
      <c r="AA21" s="4"/>
      <c r="AB21" s="4"/>
    </row>
    <row r="22" spans="1:28" ht="14.25" customHeight="1">
      <c r="A22" s="127">
        <v>21</v>
      </c>
      <c r="B22" s="128" t="s">
        <v>213</v>
      </c>
      <c r="C22" s="130">
        <v>177573</v>
      </c>
      <c r="D22" s="116">
        <f>$C$22*POWER(SUM(1,Variables!$C$4),D1-$C$1)</f>
        <v>180236.59499999997</v>
      </c>
      <c r="E22" s="116">
        <f>$C$22*POWER(SUM(1,Variables!$C$4),E1-$C$1)</f>
        <v>182940.14392499995</v>
      </c>
      <c r="F22" s="116">
        <f>$C$22*POWER(SUM(1,Variables!$C$4),F1-$C$1)</f>
        <v>185684.24608387492</v>
      </c>
      <c r="G22" s="116">
        <f>$C$22*POWER(SUM(1,Variables!$C$4),G1-$C$1)</f>
        <v>188469.50977513302</v>
      </c>
      <c r="H22" s="116">
        <f>$C$22*POWER(SUM(1,Variables!$C$4),H1-$C$1)</f>
        <v>191296.55242175999</v>
      </c>
      <c r="I22" s="116">
        <f>$C$22*POWER(SUM(1,Variables!$C$4),I1-$C$1)</f>
        <v>194166.00070808636</v>
      </c>
      <c r="J22" s="116">
        <f>$C$22*POWER(SUM(1,Variables!$C$4),J1-$C$1)</f>
        <v>197078.49071870762</v>
      </c>
      <c r="K22" s="116">
        <f>$C$22*POWER(SUM(1,Variables!$C$4),K1-$C$1)</f>
        <v>200034.66807948821</v>
      </c>
      <c r="L22" s="116">
        <f>$C$22*POWER(SUM(1,Variables!$C$4),L1-$C$1)</f>
        <v>203035.18810068051</v>
      </c>
      <c r="M22" s="116">
        <f>$C$22*POWER(SUM(1,Variables!$C$4),M1-$C$1)</f>
        <v>206080.71592219069</v>
      </c>
      <c r="N22" s="116">
        <f>$C$22*POWER(SUM(1,Variables!$C$4),N1-$C$1)</f>
        <v>209171.92666102355</v>
      </c>
      <c r="O22" s="116">
        <f>$C$22*POWER(SUM(1,Variables!$C$4),O1-$C$1)</f>
        <v>212309.50556093885</v>
      </c>
      <c r="P22" s="4"/>
      <c r="Q22" s="4"/>
      <c r="R22" s="4"/>
      <c r="S22" s="4"/>
      <c r="T22" s="114"/>
      <c r="U22" s="4"/>
      <c r="V22" s="4"/>
      <c r="W22" s="4"/>
      <c r="X22" s="4"/>
      <c r="Y22" s="4"/>
      <c r="Z22" s="4"/>
      <c r="AA22" s="4"/>
      <c r="AB22" s="4"/>
    </row>
    <row r="23" spans="1:28" ht="14.25" customHeight="1">
      <c r="A23" s="127">
        <v>22</v>
      </c>
      <c r="B23" s="128" t="s">
        <v>214</v>
      </c>
      <c r="C23" s="130">
        <v>156789</v>
      </c>
      <c r="D23" s="116">
        <f>$C$23*POWER(SUM(1,Variables!$C$4),D1-$C$1)</f>
        <v>159140.83499999999</v>
      </c>
      <c r="E23" s="116">
        <f>$C$23*POWER(SUM(1,Variables!$C$4),E1-$C$1)</f>
        <v>161527.94752499997</v>
      </c>
      <c r="F23" s="116">
        <f>$C$23*POWER(SUM(1,Variables!$C$4),F1-$C$1)</f>
        <v>163950.86673787495</v>
      </c>
      <c r="G23" s="116">
        <f>$C$23*POWER(SUM(1,Variables!$C$4),G1-$C$1)</f>
        <v>166410.12973894304</v>
      </c>
      <c r="H23" s="116">
        <f>$C$23*POWER(SUM(1,Variables!$C$4),H1-$C$1)</f>
        <v>168906.28168502715</v>
      </c>
      <c r="I23" s="116">
        <f>$C$23*POWER(SUM(1,Variables!$C$4),I1-$C$1)</f>
        <v>171439.87591030254</v>
      </c>
      <c r="J23" s="116">
        <f>$C$23*POWER(SUM(1,Variables!$C$4),J1-$C$1)</f>
        <v>174011.47404895705</v>
      </c>
      <c r="K23" s="116">
        <f>$C$23*POWER(SUM(1,Variables!$C$4),K1-$C$1)</f>
        <v>176621.64615969139</v>
      </c>
      <c r="L23" s="116">
        <f>$C$23*POWER(SUM(1,Variables!$C$4),L1-$C$1)</f>
        <v>179270.97085208673</v>
      </c>
      <c r="M23" s="116">
        <f>$C$23*POWER(SUM(1,Variables!$C$4),M1-$C$1)</f>
        <v>181960.03541486801</v>
      </c>
      <c r="N23" s="116">
        <f>$C$23*POWER(SUM(1,Variables!$C$4),N1-$C$1)</f>
        <v>184689.43594609102</v>
      </c>
      <c r="O23" s="116">
        <f>$C$23*POWER(SUM(1,Variables!$C$4),O1-$C$1)</f>
        <v>187459.77748528233</v>
      </c>
      <c r="P23" s="4"/>
      <c r="Q23" s="4"/>
      <c r="R23" s="4"/>
      <c r="S23" s="4"/>
      <c r="T23" s="114"/>
      <c r="U23" s="4"/>
      <c r="V23" s="4"/>
      <c r="W23" s="4"/>
      <c r="X23" s="4"/>
      <c r="Y23" s="4"/>
      <c r="Z23" s="4"/>
      <c r="AA23" s="4"/>
      <c r="AB23" s="4"/>
    </row>
    <row r="24" spans="1:28" ht="14.25" customHeight="1">
      <c r="A24" s="127">
        <v>23</v>
      </c>
      <c r="B24" s="128" t="s">
        <v>215</v>
      </c>
      <c r="C24" s="130">
        <v>120679</v>
      </c>
      <c r="D24" s="116">
        <f>$C$24*POWER(SUM(1,Variables!$C$4),D1-$C$1)</f>
        <v>122489.18499999998</v>
      </c>
      <c r="E24" s="116">
        <f>$C$24*POWER(SUM(1,Variables!$C$4),E1-$C$1)</f>
        <v>124326.52277499996</v>
      </c>
      <c r="F24" s="116">
        <f>$C$24*POWER(SUM(1,Variables!$C$4),F1-$C$1)</f>
        <v>126191.42061662495</v>
      </c>
      <c r="G24" s="116">
        <f>$C$24*POWER(SUM(1,Variables!$C$4),G1-$C$1)</f>
        <v>128084.29192587431</v>
      </c>
      <c r="H24" s="116">
        <f>$C$24*POWER(SUM(1,Variables!$C$4),H1-$C$1)</f>
        <v>130005.5563047624</v>
      </c>
      <c r="I24" s="116">
        <f>$C$24*POWER(SUM(1,Variables!$C$4),I1-$C$1)</f>
        <v>131955.63964933381</v>
      </c>
      <c r="J24" s="116">
        <f>$C$24*POWER(SUM(1,Variables!$C$4),J1-$C$1)</f>
        <v>133934.97424407379</v>
      </c>
      <c r="K24" s="116">
        <f>$C$24*POWER(SUM(1,Variables!$C$4),K1-$C$1)</f>
        <v>135943.9988577349</v>
      </c>
      <c r="L24" s="116">
        <f>$C$24*POWER(SUM(1,Variables!$C$4),L1-$C$1)</f>
        <v>137983.1588406009</v>
      </c>
      <c r="M24" s="116">
        <f>$C$24*POWER(SUM(1,Variables!$C$4),M1-$C$1)</f>
        <v>140052.90622320989</v>
      </c>
      <c r="N24" s="116">
        <f>$C$24*POWER(SUM(1,Variables!$C$4),N1-$C$1)</f>
        <v>142153.69981655804</v>
      </c>
      <c r="O24" s="116">
        <f>$C$24*POWER(SUM(1,Variables!$C$4),O1-$C$1)</f>
        <v>144286.00531380638</v>
      </c>
      <c r="P24" s="4"/>
      <c r="Q24" s="4"/>
      <c r="R24" s="4"/>
      <c r="S24" s="4"/>
      <c r="T24" s="114"/>
      <c r="U24" s="4"/>
      <c r="V24" s="4"/>
      <c r="W24" s="4"/>
      <c r="X24" s="4"/>
      <c r="Y24" s="4"/>
      <c r="Z24" s="4"/>
      <c r="AA24" s="4"/>
      <c r="AB24" s="4"/>
    </row>
    <row r="25" spans="1:28" ht="14.25" customHeight="1">
      <c r="A25" s="127">
        <v>24</v>
      </c>
      <c r="B25" s="128" t="s">
        <v>216</v>
      </c>
      <c r="C25" s="130">
        <v>75735</v>
      </c>
      <c r="D25" s="116">
        <f>$C$25*POWER(SUM(1,Variables!$C$4),D1-$C$1)</f>
        <v>76871.024999999994</v>
      </c>
      <c r="E25" s="116">
        <f>$C$25*POWER(SUM(1,Variables!$C$4),E1-$C$1)</f>
        <v>78024.090374999985</v>
      </c>
      <c r="F25" s="116">
        <f>$C$25*POWER(SUM(1,Variables!$C$4),F1-$C$1)</f>
        <v>79194.451730624976</v>
      </c>
      <c r="G25" s="116">
        <f>$C$25*POWER(SUM(1,Variables!$C$4),G1-$C$1)</f>
        <v>80382.368506584331</v>
      </c>
      <c r="H25" s="116">
        <f>$C$25*POWER(SUM(1,Variables!$C$4),H1-$C$1)</f>
        <v>81588.104034183081</v>
      </c>
      <c r="I25" s="116">
        <f>$C$25*POWER(SUM(1,Variables!$C$4),I1-$C$1)</f>
        <v>82811.925594695815</v>
      </c>
      <c r="J25" s="116">
        <f>$C$25*POWER(SUM(1,Variables!$C$4),J1-$C$1)</f>
        <v>84054.104478616238</v>
      </c>
      <c r="K25" s="116">
        <f>$C$25*POWER(SUM(1,Variables!$C$4),K1-$C$1)</f>
        <v>85314.916045795471</v>
      </c>
      <c r="L25" s="116">
        <f>$C$25*POWER(SUM(1,Variables!$C$4),L1-$C$1)</f>
        <v>86594.639786482396</v>
      </c>
      <c r="M25" s="116">
        <f>$C$25*POWER(SUM(1,Variables!$C$4),M1-$C$1)</f>
        <v>87893.559383279629</v>
      </c>
      <c r="N25" s="116">
        <f>$C$25*POWER(SUM(1,Variables!$C$4),N1-$C$1)</f>
        <v>89211.962774028812</v>
      </c>
      <c r="O25" s="116">
        <f>$C$25*POWER(SUM(1,Variables!$C$4),O1-$C$1)</f>
        <v>90550.142215639222</v>
      </c>
      <c r="P25" s="4"/>
      <c r="Q25" s="4"/>
      <c r="R25" s="4"/>
      <c r="S25" s="4"/>
      <c r="T25" s="114"/>
      <c r="U25" s="4"/>
      <c r="V25" s="4"/>
      <c r="W25" s="4"/>
      <c r="X25" s="4"/>
      <c r="Y25" s="4"/>
      <c r="Z25" s="4"/>
      <c r="AA25" s="4"/>
      <c r="AB25" s="4"/>
    </row>
    <row r="26" spans="1:28" ht="14.25" customHeight="1">
      <c r="A26" s="127">
        <v>25</v>
      </c>
      <c r="B26" s="128" t="s">
        <v>217</v>
      </c>
      <c r="C26" s="130">
        <v>156942</v>
      </c>
      <c r="D26" s="116">
        <f>$C$26*POWER(SUM(1,Variables!$C$4),D1-$C$1)</f>
        <v>159296.12999999998</v>
      </c>
      <c r="E26" s="116">
        <f>$C$26*POWER(SUM(1,Variables!$C$4),E1-$C$1)</f>
        <v>161685.57194999995</v>
      </c>
      <c r="F26" s="116">
        <f>$C$26*POWER(SUM(1,Variables!$C$4),F1-$C$1)</f>
        <v>164110.85552924994</v>
      </c>
      <c r="G26" s="116">
        <f>$C$26*POWER(SUM(1,Variables!$C$4),G1-$C$1)</f>
        <v>166572.51836218865</v>
      </c>
      <c r="H26" s="116">
        <f>$C$26*POWER(SUM(1,Variables!$C$4),H1-$C$1)</f>
        <v>169071.10613762148</v>
      </c>
      <c r="I26" s="116">
        <f>$C$26*POWER(SUM(1,Variables!$C$4),I1-$C$1)</f>
        <v>171607.17272968576</v>
      </c>
      <c r="J26" s="116">
        <f>$C$26*POWER(SUM(1,Variables!$C$4),J1-$C$1)</f>
        <v>174181.28032063102</v>
      </c>
      <c r="K26" s="116">
        <f>$C$26*POWER(SUM(1,Variables!$C$4),K1-$C$1)</f>
        <v>176793.99952544048</v>
      </c>
      <c r="L26" s="116">
        <f>$C$26*POWER(SUM(1,Variables!$C$4),L1-$C$1)</f>
        <v>179445.90951832206</v>
      </c>
      <c r="M26" s="116">
        <f>$C$26*POWER(SUM(1,Variables!$C$4),M1-$C$1)</f>
        <v>182137.59816109686</v>
      </c>
      <c r="N26" s="116">
        <f>$C$26*POWER(SUM(1,Variables!$C$4),N1-$C$1)</f>
        <v>184869.66213351331</v>
      </c>
      <c r="O26" s="116">
        <f>$C$26*POWER(SUM(1,Variables!$C$4),O1-$C$1)</f>
        <v>187642.70706551595</v>
      </c>
      <c r="P26" s="4"/>
      <c r="Q26" s="4"/>
      <c r="R26" s="4"/>
      <c r="S26" s="4"/>
      <c r="T26" s="114"/>
      <c r="U26" s="4"/>
      <c r="V26" s="4"/>
      <c r="W26" s="4"/>
      <c r="X26" s="4"/>
      <c r="Y26" s="4"/>
      <c r="Z26" s="4"/>
      <c r="AA26" s="4"/>
      <c r="AB26" s="4"/>
    </row>
    <row r="27" spans="1:28" ht="14.25" customHeight="1">
      <c r="A27" s="127">
        <v>26</v>
      </c>
      <c r="B27" s="128" t="s">
        <v>219</v>
      </c>
      <c r="C27" s="130">
        <v>42844</v>
      </c>
      <c r="D27" s="116">
        <f>$C$27*POWER(SUM(1,Variables!$C$4),D1-$C$1)</f>
        <v>43486.659999999996</v>
      </c>
      <c r="E27" s="116">
        <f>$C$27*POWER(SUM(1,Variables!$C$4),E1-$C$1)</f>
        <v>44138.959899999987</v>
      </c>
      <c r="F27" s="116">
        <f>$C$27*POWER(SUM(1,Variables!$C$4),F1-$C$1)</f>
        <v>44801.044298499983</v>
      </c>
      <c r="G27" s="116">
        <f>$C$27*POWER(SUM(1,Variables!$C$4),G1-$C$1)</f>
        <v>45473.059962977473</v>
      </c>
      <c r="H27" s="116">
        <f>$C$27*POWER(SUM(1,Variables!$C$4),H1-$C$1)</f>
        <v>46155.155862422129</v>
      </c>
      <c r="I27" s="116">
        <f>$C$27*POWER(SUM(1,Variables!$C$4),I1-$C$1)</f>
        <v>46847.483200358452</v>
      </c>
      <c r="J27" s="116">
        <f>$C$27*POWER(SUM(1,Variables!$C$4),J1-$C$1)</f>
        <v>47550.195448363826</v>
      </c>
      <c r="K27" s="116">
        <f>$C$27*POWER(SUM(1,Variables!$C$4),K1-$C$1)</f>
        <v>48263.448380089278</v>
      </c>
      <c r="L27" s="116">
        <f>$C$27*POWER(SUM(1,Variables!$C$4),L1-$C$1)</f>
        <v>48987.400105790613</v>
      </c>
      <c r="M27" s="116">
        <f>$C$27*POWER(SUM(1,Variables!$C$4),M1-$C$1)</f>
        <v>49722.211107377465</v>
      </c>
      <c r="N27" s="116">
        <f>$C$27*POWER(SUM(1,Variables!$C$4),N1-$C$1)</f>
        <v>50468.044273988118</v>
      </c>
      <c r="O27" s="116">
        <f>$C$27*POWER(SUM(1,Variables!$C$4),O1-$C$1)</f>
        <v>51225.06493809793</v>
      </c>
      <c r="P27" s="4"/>
      <c r="Q27" s="4"/>
      <c r="R27" s="4"/>
      <c r="S27" s="4"/>
      <c r="T27" s="114"/>
      <c r="U27" s="4"/>
      <c r="V27" s="4"/>
      <c r="W27" s="4"/>
      <c r="X27" s="4"/>
      <c r="Y27" s="4"/>
      <c r="Z27" s="4"/>
      <c r="AA27" s="4"/>
      <c r="AB27" s="4"/>
    </row>
    <row r="28" spans="1:28" ht="14.25" customHeight="1">
      <c r="A28" s="127">
        <v>27</v>
      </c>
      <c r="B28" s="128" t="s">
        <v>220</v>
      </c>
      <c r="C28" s="130">
        <v>8035</v>
      </c>
      <c r="D28" s="116">
        <f>$C$28*POWER(SUM(1,Variables!$C$4),D1-$C$1)</f>
        <v>8155.5249999999996</v>
      </c>
      <c r="E28" s="116">
        <f>$C$28*POWER(SUM(1,Variables!$C$4),E1-$C$1)</f>
        <v>8277.8578749999979</v>
      </c>
      <c r="F28" s="116">
        <f>$C$28*POWER(SUM(1,Variables!$C$4),F1-$C$1)</f>
        <v>8402.0257431249975</v>
      </c>
      <c r="G28" s="116">
        <f>$C$28*POWER(SUM(1,Variables!$C$4),G1-$C$1)</f>
        <v>8528.0561292718703</v>
      </c>
      <c r="H28" s="116">
        <f>$C$28*POWER(SUM(1,Variables!$C$4),H1-$C$1)</f>
        <v>8655.9769712109482</v>
      </c>
      <c r="I28" s="116">
        <f>$C$28*POWER(SUM(1,Variables!$C$4),I1-$C$1)</f>
        <v>8785.816625779109</v>
      </c>
      <c r="J28" s="116">
        <f>$C$28*POWER(SUM(1,Variables!$C$4),J1-$C$1)</f>
        <v>8917.6038751657943</v>
      </c>
      <c r="K28" s="116">
        <f>$C$28*POWER(SUM(1,Variables!$C$4),K1-$C$1)</f>
        <v>9051.3679332932807</v>
      </c>
      <c r="L28" s="116">
        <f>$C$28*POWER(SUM(1,Variables!$C$4),L1-$C$1)</f>
        <v>9187.1384522926801</v>
      </c>
      <c r="M28" s="116">
        <f>$C$28*POWER(SUM(1,Variables!$C$4),M1-$C$1)</f>
        <v>9324.9455290770693</v>
      </c>
      <c r="N28" s="116">
        <f>$C$28*POWER(SUM(1,Variables!$C$4),N1-$C$1)</f>
        <v>9464.8197120132227</v>
      </c>
      <c r="O28" s="116">
        <f>$C$28*POWER(SUM(1,Variables!$C$4),O1-$C$1)</f>
        <v>9606.7920076934206</v>
      </c>
      <c r="P28" s="4"/>
      <c r="Q28" s="4"/>
      <c r="R28" s="4"/>
      <c r="S28" s="4"/>
      <c r="T28" s="114"/>
      <c r="U28" s="4"/>
      <c r="V28" s="4"/>
      <c r="W28" s="4"/>
      <c r="X28" s="4"/>
      <c r="Y28" s="4"/>
      <c r="Z28" s="4"/>
      <c r="AA28" s="4"/>
      <c r="AB28" s="4"/>
    </row>
    <row r="29" spans="1:28" ht="14.25" customHeight="1">
      <c r="A29" s="127">
        <v>28</v>
      </c>
      <c r="B29" s="128" t="s">
        <v>221</v>
      </c>
      <c r="C29" s="130">
        <v>48086</v>
      </c>
      <c r="D29" s="116">
        <f>$C$29*POWER(SUM(1,Variables!$C$4),D1-$C$1)</f>
        <v>48807.289999999994</v>
      </c>
      <c r="E29" s="116">
        <f>$C$29*POWER(SUM(1,Variables!$C$4),E1-$C$1)</f>
        <v>49539.399349999985</v>
      </c>
      <c r="F29" s="116">
        <f>$C$29*POWER(SUM(1,Variables!$C$4),F1-$C$1)</f>
        <v>50282.490340249984</v>
      </c>
      <c r="G29" s="116">
        <f>$C$29*POWER(SUM(1,Variables!$C$4),G1-$C$1)</f>
        <v>51036.727695353722</v>
      </c>
      <c r="H29" s="116">
        <f>$C$29*POWER(SUM(1,Variables!$C$4),H1-$C$1)</f>
        <v>51802.278610784022</v>
      </c>
      <c r="I29" s="116">
        <f>$C$29*POWER(SUM(1,Variables!$C$4),I1-$C$1)</f>
        <v>52579.312789945769</v>
      </c>
      <c r="J29" s="116">
        <f>$C$29*POWER(SUM(1,Variables!$C$4),J1-$C$1)</f>
        <v>53368.002481794952</v>
      </c>
      <c r="K29" s="116">
        <f>$C$29*POWER(SUM(1,Variables!$C$4),K1-$C$1)</f>
        <v>54168.52251902187</v>
      </c>
      <c r="L29" s="116">
        <f>$C$29*POWER(SUM(1,Variables!$C$4),L1-$C$1)</f>
        <v>54981.050356807194</v>
      </c>
      <c r="M29" s="116">
        <f>$C$29*POWER(SUM(1,Variables!$C$4),M1-$C$1)</f>
        <v>55805.76611215929</v>
      </c>
      <c r="N29" s="116">
        <f>$C$29*POWER(SUM(1,Variables!$C$4),N1-$C$1)</f>
        <v>56642.852603841675</v>
      </c>
      <c r="O29" s="116">
        <f>$C$29*POWER(SUM(1,Variables!$C$4),O1-$C$1)</f>
        <v>57492.495392899291</v>
      </c>
      <c r="P29" s="4"/>
      <c r="Q29" s="4"/>
      <c r="R29" s="4"/>
      <c r="S29" s="4"/>
      <c r="T29" s="114"/>
      <c r="U29" s="4"/>
      <c r="V29" s="4"/>
      <c r="W29" s="4"/>
      <c r="X29" s="4"/>
      <c r="Y29" s="4"/>
      <c r="Z29" s="4"/>
      <c r="AA29" s="4"/>
      <c r="AB29" s="4"/>
    </row>
    <row r="30" spans="1:28" ht="14.25" customHeight="1">
      <c r="A30" s="127">
        <v>29</v>
      </c>
      <c r="B30" s="128" t="s">
        <v>222</v>
      </c>
      <c r="C30" s="130">
        <v>48422</v>
      </c>
      <c r="D30" s="116">
        <f>$C$30*POWER(SUM(1,Variables!$C$4),D1-$C$1)</f>
        <v>49148.329999999994</v>
      </c>
      <c r="E30" s="116">
        <f>$C$30*POWER(SUM(1,Variables!$C$4),E1-$C$1)</f>
        <v>49885.554949999983</v>
      </c>
      <c r="F30" s="116">
        <f>$C$30*POWER(SUM(1,Variables!$C$4),F1-$C$1)</f>
        <v>50633.838274249982</v>
      </c>
      <c r="G30" s="116">
        <f>$C$30*POWER(SUM(1,Variables!$C$4),G1-$C$1)</f>
        <v>51393.345848363722</v>
      </c>
      <c r="H30" s="116">
        <f>$C$30*POWER(SUM(1,Variables!$C$4),H1-$C$1)</f>
        <v>52164.246036089171</v>
      </c>
      <c r="I30" s="116">
        <f>$C$30*POWER(SUM(1,Variables!$C$4),I1-$C$1)</f>
        <v>52946.709726630499</v>
      </c>
      <c r="J30" s="116">
        <f>$C$30*POWER(SUM(1,Variables!$C$4),J1-$C$1)</f>
        <v>53740.91037252995</v>
      </c>
      <c r="K30" s="116">
        <f>$C$30*POWER(SUM(1,Variables!$C$4),K1-$C$1)</f>
        <v>54547.024028117892</v>
      </c>
      <c r="L30" s="116">
        <f>$C$30*POWER(SUM(1,Variables!$C$4),L1-$C$1)</f>
        <v>55365.229388539658</v>
      </c>
      <c r="M30" s="116">
        <f>$C$30*POWER(SUM(1,Variables!$C$4),M1-$C$1)</f>
        <v>56195.70782936774</v>
      </c>
      <c r="N30" s="116">
        <f>$C$30*POWER(SUM(1,Variables!$C$4),N1-$C$1)</f>
        <v>57038.643446808252</v>
      </c>
      <c r="O30" s="116">
        <f>$C$30*POWER(SUM(1,Variables!$C$4),O1-$C$1)</f>
        <v>57894.223098510367</v>
      </c>
      <c r="P30" s="4"/>
      <c r="Q30" s="4"/>
      <c r="R30" s="4"/>
      <c r="S30" s="4"/>
      <c r="T30" s="114"/>
      <c r="U30" s="4"/>
      <c r="V30" s="4"/>
      <c r="W30" s="4"/>
      <c r="X30" s="4"/>
      <c r="Y30" s="4"/>
      <c r="Z30" s="4"/>
      <c r="AA30" s="4"/>
      <c r="AB30" s="4"/>
    </row>
    <row r="31" spans="1:28" ht="14.25" customHeight="1">
      <c r="A31" s="127">
        <v>30</v>
      </c>
      <c r="B31" s="128" t="s">
        <v>223</v>
      </c>
      <c r="C31" s="130">
        <v>19788</v>
      </c>
      <c r="D31" s="116">
        <f>$C$31*POWER(SUM(1,Variables!$C$4),D1-$C$1)</f>
        <v>20084.82</v>
      </c>
      <c r="E31" s="116">
        <f>$C$31*POWER(SUM(1,Variables!$C$4),E1-$C$1)</f>
        <v>20386.092299999993</v>
      </c>
      <c r="F31" s="116">
        <f>$C$31*POWER(SUM(1,Variables!$C$4),F1-$C$1)</f>
        <v>20691.883684499993</v>
      </c>
      <c r="G31" s="116">
        <f>$C$31*POWER(SUM(1,Variables!$C$4),G1-$C$1)</f>
        <v>21002.26193976749</v>
      </c>
      <c r="H31" s="116">
        <f>$C$31*POWER(SUM(1,Variables!$C$4),H1-$C$1)</f>
        <v>21317.295868863999</v>
      </c>
      <c r="I31" s="116">
        <f>$C$31*POWER(SUM(1,Variables!$C$4),I1-$C$1)</f>
        <v>21637.055306896953</v>
      </c>
      <c r="J31" s="116">
        <f>$C$31*POWER(SUM(1,Variables!$C$4),J1-$C$1)</f>
        <v>21961.611136500404</v>
      </c>
      <c r="K31" s="116">
        <f>$C$31*POWER(SUM(1,Variables!$C$4),K1-$C$1)</f>
        <v>22291.035303547909</v>
      </c>
      <c r="L31" s="116">
        <f>$C$31*POWER(SUM(1,Variables!$C$4),L1-$C$1)</f>
        <v>22625.400833101125</v>
      </c>
      <c r="M31" s="116">
        <f>$C$31*POWER(SUM(1,Variables!$C$4),M1-$C$1)</f>
        <v>22964.781845597641</v>
      </c>
      <c r="N31" s="116">
        <f>$C$31*POWER(SUM(1,Variables!$C$4),N1-$C$1)</f>
        <v>23309.253573281603</v>
      </c>
      <c r="O31" s="116">
        <f>$C$31*POWER(SUM(1,Variables!$C$4),O1-$C$1)</f>
        <v>23658.89237688082</v>
      </c>
      <c r="P31" s="4"/>
      <c r="Q31" s="4"/>
      <c r="R31" s="4"/>
      <c r="S31" s="4"/>
      <c r="T31" s="114"/>
      <c r="U31" s="4"/>
      <c r="V31" s="4"/>
      <c r="W31" s="4"/>
      <c r="X31" s="4"/>
      <c r="Y31" s="4"/>
      <c r="Z31" s="4"/>
      <c r="AA31" s="4"/>
      <c r="AB31" s="4"/>
    </row>
    <row r="32" spans="1:28" ht="14.25" customHeight="1">
      <c r="A32" s="127">
        <v>31</v>
      </c>
      <c r="B32" s="128" t="s">
        <v>224</v>
      </c>
      <c r="C32" s="130">
        <v>30104</v>
      </c>
      <c r="D32" s="116">
        <f>$C$32*POWER(SUM(1,Variables!$C$4),D1-$C$1)</f>
        <v>30555.559999999998</v>
      </c>
      <c r="E32" s="116">
        <f>$C$32*POWER(SUM(1,Variables!$C$4),E1-$C$1)</f>
        <v>31013.89339999999</v>
      </c>
      <c r="F32" s="116">
        <f>$C$32*POWER(SUM(1,Variables!$C$4),F1-$C$1)</f>
        <v>31479.10180099999</v>
      </c>
      <c r="G32" s="116">
        <f>$C$32*POWER(SUM(1,Variables!$C$4),G1-$C$1)</f>
        <v>31951.288328014984</v>
      </c>
      <c r="H32" s="116">
        <f>$C$32*POWER(SUM(1,Variables!$C$4),H1-$C$1)</f>
        <v>32430.557652935204</v>
      </c>
      <c r="I32" s="116">
        <f>$C$32*POWER(SUM(1,Variables!$C$4),I1-$C$1)</f>
        <v>32917.016017729227</v>
      </c>
      <c r="J32" s="116">
        <f>$C$32*POWER(SUM(1,Variables!$C$4),J1-$C$1)</f>
        <v>33410.771257995155</v>
      </c>
      <c r="K32" s="116">
        <f>$C$32*POWER(SUM(1,Variables!$C$4),K1-$C$1)</f>
        <v>33911.932826865086</v>
      </c>
      <c r="L32" s="116">
        <f>$C$32*POWER(SUM(1,Variables!$C$4),L1-$C$1)</f>
        <v>34420.611819268051</v>
      </c>
      <c r="M32" s="116">
        <f>$C$32*POWER(SUM(1,Variables!$C$4),M1-$C$1)</f>
        <v>34936.92099655707</v>
      </c>
      <c r="N32" s="116">
        <f>$C$32*POWER(SUM(1,Variables!$C$4),N1-$C$1)</f>
        <v>35460.974811505424</v>
      </c>
      <c r="O32" s="116">
        <f>$C$32*POWER(SUM(1,Variables!$C$4),O1-$C$1)</f>
        <v>35992.889433677999</v>
      </c>
      <c r="P32" s="4"/>
      <c r="Q32" s="4"/>
      <c r="R32" s="4"/>
      <c r="S32" s="4"/>
      <c r="T32" s="114"/>
      <c r="U32" s="4"/>
      <c r="V32" s="4"/>
      <c r="W32" s="4"/>
      <c r="X32" s="4"/>
      <c r="Y32" s="4"/>
      <c r="Z32" s="4"/>
      <c r="AA32" s="4"/>
      <c r="AB32" s="4"/>
    </row>
    <row r="33" spans="1:28" ht="14.25" customHeight="1">
      <c r="A33" s="127">
        <v>32</v>
      </c>
      <c r="B33" s="128" t="s">
        <v>225</v>
      </c>
      <c r="C33" s="130">
        <v>27709</v>
      </c>
      <c r="D33" s="116">
        <f>$C$33*POWER(SUM(1,Variables!$C$4),D1-$C$1)</f>
        <v>28124.634999999998</v>
      </c>
      <c r="E33" s="116">
        <f>$C$33*POWER(SUM(1,Variables!$C$4),E1-$C$1)</f>
        <v>28546.504524999993</v>
      </c>
      <c r="F33" s="116">
        <f>$C$33*POWER(SUM(1,Variables!$C$4),F1-$C$1)</f>
        <v>28974.702092874988</v>
      </c>
      <c r="G33" s="116">
        <f>$C$33*POWER(SUM(1,Variables!$C$4),G1-$C$1)</f>
        <v>29409.322624268108</v>
      </c>
      <c r="H33" s="116">
        <f>$C$33*POWER(SUM(1,Variables!$C$4),H1-$C$1)</f>
        <v>29850.462463632128</v>
      </c>
      <c r="I33" s="116">
        <f>$C$33*POWER(SUM(1,Variables!$C$4),I1-$C$1)</f>
        <v>30298.219400586604</v>
      </c>
      <c r="J33" s="116">
        <f>$C$33*POWER(SUM(1,Variables!$C$4),J1-$C$1)</f>
        <v>30752.692691595399</v>
      </c>
      <c r="K33" s="116">
        <f>$C$33*POWER(SUM(1,Variables!$C$4),K1-$C$1)</f>
        <v>31213.983081969327</v>
      </c>
      <c r="L33" s="116">
        <f>$C$33*POWER(SUM(1,Variables!$C$4),L1-$C$1)</f>
        <v>31682.192828198862</v>
      </c>
      <c r="M33" s="116">
        <f>$C$33*POWER(SUM(1,Variables!$C$4),M1-$C$1)</f>
        <v>32157.425720621843</v>
      </c>
      <c r="N33" s="116">
        <f>$C$33*POWER(SUM(1,Variables!$C$4),N1-$C$1)</f>
        <v>32639.787106431166</v>
      </c>
      <c r="O33" s="116">
        <f>$C$33*POWER(SUM(1,Variables!$C$4),O1-$C$1)</f>
        <v>33129.383913027625</v>
      </c>
      <c r="P33" s="4"/>
      <c r="Q33" s="4"/>
      <c r="R33" s="4"/>
      <c r="S33" s="4"/>
      <c r="T33" s="114"/>
      <c r="U33" s="4"/>
      <c r="V33" s="4"/>
      <c r="W33" s="4"/>
      <c r="X33" s="4"/>
      <c r="Y33" s="4"/>
      <c r="Z33" s="4"/>
      <c r="AA33" s="4"/>
      <c r="AB33" s="4"/>
    </row>
    <row r="34" spans="1:28" ht="14.25" customHeight="1">
      <c r="A34" s="127">
        <v>33</v>
      </c>
      <c r="B34" s="128" t="s">
        <v>226</v>
      </c>
      <c r="C34" s="130">
        <v>118803</v>
      </c>
      <c r="D34" s="116">
        <f>$C$34*POWER(SUM(1,Variables!$C$4),D1-$C$1)</f>
        <v>120585.04499999998</v>
      </c>
      <c r="E34" s="116">
        <f>$C$34*POWER(SUM(1,Variables!$C$4),E1-$C$1)</f>
        <v>122393.82067499997</v>
      </c>
      <c r="F34" s="116">
        <f>$C$34*POWER(SUM(1,Variables!$C$4),F1-$C$1)</f>
        <v>124229.72798512495</v>
      </c>
      <c r="G34" s="116">
        <f>$C$34*POWER(SUM(1,Variables!$C$4),G1-$C$1)</f>
        <v>126093.17390490181</v>
      </c>
      <c r="H34" s="116">
        <f>$C$34*POWER(SUM(1,Variables!$C$4),H1-$C$1)</f>
        <v>127984.57151347531</v>
      </c>
      <c r="I34" s="116">
        <f>$C$34*POWER(SUM(1,Variables!$C$4),I1-$C$1)</f>
        <v>129904.34008617743</v>
      </c>
      <c r="J34" s="116">
        <f>$C$34*POWER(SUM(1,Variables!$C$4),J1-$C$1)</f>
        <v>131852.90518747005</v>
      </c>
      <c r="K34" s="116">
        <f>$C$34*POWER(SUM(1,Variables!$C$4),K1-$C$1)</f>
        <v>133830.69876528211</v>
      </c>
      <c r="L34" s="116">
        <f>$C$34*POWER(SUM(1,Variables!$C$4),L1-$C$1)</f>
        <v>135838.15924676132</v>
      </c>
      <c r="M34" s="116">
        <f>$C$34*POWER(SUM(1,Variables!$C$4),M1-$C$1)</f>
        <v>137875.73163546273</v>
      </c>
      <c r="N34" s="116">
        <f>$C$34*POWER(SUM(1,Variables!$C$4),N1-$C$1)</f>
        <v>139943.86760999466</v>
      </c>
      <c r="O34" s="116">
        <f>$C$34*POWER(SUM(1,Variables!$C$4),O1-$C$1)</f>
        <v>142043.02562414453</v>
      </c>
      <c r="P34" s="4"/>
      <c r="Q34" s="4"/>
      <c r="R34" s="4"/>
      <c r="S34" s="4"/>
      <c r="T34" s="114"/>
      <c r="U34" s="4"/>
      <c r="V34" s="4"/>
      <c r="W34" s="4"/>
      <c r="X34" s="4"/>
      <c r="Y34" s="4"/>
      <c r="Z34" s="4"/>
      <c r="AA34" s="4"/>
      <c r="AB34" s="4"/>
    </row>
    <row r="35" spans="1:28" ht="14.25" customHeight="1">
      <c r="A35" s="127">
        <v>34</v>
      </c>
      <c r="B35" s="128" t="s">
        <v>227</v>
      </c>
      <c r="C35" s="130">
        <v>105517</v>
      </c>
      <c r="D35" s="116">
        <f>$C$35*POWER(SUM(1,Variables!$C$4),D1-$C$1)</f>
        <v>107099.75499999999</v>
      </c>
      <c r="E35" s="116">
        <f>$C$35*POWER(SUM(1,Variables!$C$4),E1-$C$1)</f>
        <v>108706.25132499998</v>
      </c>
      <c r="F35" s="116">
        <f>$C$35*POWER(SUM(1,Variables!$C$4),F1-$C$1)</f>
        <v>110336.84509487495</v>
      </c>
      <c r="G35" s="116">
        <f>$C$35*POWER(SUM(1,Variables!$C$4),G1-$C$1)</f>
        <v>111991.89777129807</v>
      </c>
      <c r="H35" s="116">
        <f>$C$35*POWER(SUM(1,Variables!$C$4),H1-$C$1)</f>
        <v>113671.77623786753</v>
      </c>
      <c r="I35" s="116">
        <f>$C$35*POWER(SUM(1,Variables!$C$4),I1-$C$1)</f>
        <v>115376.85288143551</v>
      </c>
      <c r="J35" s="116">
        <f>$C$35*POWER(SUM(1,Variables!$C$4),J1-$C$1)</f>
        <v>117107.50567465703</v>
      </c>
      <c r="K35" s="116">
        <f>$C$35*POWER(SUM(1,Variables!$C$4),K1-$C$1)</f>
        <v>118864.11825977688</v>
      </c>
      <c r="L35" s="116">
        <f>$C$35*POWER(SUM(1,Variables!$C$4),L1-$C$1)</f>
        <v>120647.08003367351</v>
      </c>
      <c r="M35" s="116">
        <f>$C$35*POWER(SUM(1,Variables!$C$4),M1-$C$1)</f>
        <v>122456.78623417859</v>
      </c>
      <c r="N35" s="116">
        <f>$C$35*POWER(SUM(1,Variables!$C$4),N1-$C$1)</f>
        <v>124293.63802769127</v>
      </c>
      <c r="O35" s="116">
        <f>$C$35*POWER(SUM(1,Variables!$C$4),O1-$C$1)</f>
        <v>126158.04259810661</v>
      </c>
      <c r="P35" s="4"/>
      <c r="Q35" s="4"/>
      <c r="R35" s="4"/>
      <c r="S35" s="4"/>
      <c r="T35" s="114"/>
      <c r="U35" s="4"/>
      <c r="V35" s="4"/>
      <c r="W35" s="4"/>
      <c r="X35" s="4"/>
      <c r="Y35" s="4"/>
      <c r="Z35" s="4"/>
      <c r="AA35" s="4"/>
      <c r="AB35" s="4"/>
    </row>
    <row r="36" spans="1:28" ht="14.25" customHeight="1">
      <c r="A36" s="127">
        <v>35</v>
      </c>
      <c r="B36" s="128" t="s">
        <v>228</v>
      </c>
      <c r="C36" s="130">
        <v>481901</v>
      </c>
      <c r="D36" s="116">
        <f>$C$36*POWER(SUM(1,Variables!$C$4),D1-$C$1)</f>
        <v>489129.51499999996</v>
      </c>
      <c r="E36" s="116">
        <f>$C$36*POWER(SUM(1,Variables!$C$4),E1-$C$1)</f>
        <v>496466.45772499987</v>
      </c>
      <c r="F36" s="116">
        <f>$C$36*POWER(SUM(1,Variables!$C$4),F1-$C$1)</f>
        <v>503913.45459087478</v>
      </c>
      <c r="G36" s="116">
        <f>$C$36*POWER(SUM(1,Variables!$C$4),G1-$C$1)</f>
        <v>511472.15640973783</v>
      </c>
      <c r="H36" s="116">
        <f>$C$36*POWER(SUM(1,Variables!$C$4),H1-$C$1)</f>
        <v>519144.23875588388</v>
      </c>
      <c r="I36" s="116">
        <f>$C$36*POWER(SUM(1,Variables!$C$4),I1-$C$1)</f>
        <v>526931.40233722201</v>
      </c>
      <c r="J36" s="116">
        <f>$C$36*POWER(SUM(1,Variables!$C$4),J1-$C$1)</f>
        <v>534835.37337228027</v>
      </c>
      <c r="K36" s="116">
        <f>$C$36*POWER(SUM(1,Variables!$C$4),K1-$C$1)</f>
        <v>542857.90397286438</v>
      </c>
      <c r="L36" s="116">
        <f>$C$36*POWER(SUM(1,Variables!$C$4),L1-$C$1)</f>
        <v>551000.77253245737</v>
      </c>
      <c r="M36" s="116">
        <f>$C$36*POWER(SUM(1,Variables!$C$4),M1-$C$1)</f>
        <v>559265.78412044409</v>
      </c>
      <c r="N36" s="116">
        <f>$C$36*POWER(SUM(1,Variables!$C$4),N1-$C$1)</f>
        <v>567654.77088225074</v>
      </c>
      <c r="O36" s="116">
        <f>$C$36*POWER(SUM(1,Variables!$C$4),O1-$C$1)</f>
        <v>576169.59244548436</v>
      </c>
      <c r="P36" s="4"/>
      <c r="Q36" s="4"/>
      <c r="R36" s="4"/>
      <c r="S36" s="4"/>
      <c r="T36" s="114"/>
      <c r="U36" s="4"/>
      <c r="V36" s="4"/>
      <c r="W36" s="4"/>
      <c r="X36" s="4"/>
      <c r="Y36" s="4"/>
      <c r="Z36" s="4"/>
      <c r="AA36" s="4"/>
      <c r="AB36" s="4"/>
    </row>
    <row r="37" spans="1:28" ht="14.25" customHeight="1">
      <c r="A37" s="127">
        <v>36</v>
      </c>
      <c r="B37" s="128" t="s">
        <v>229</v>
      </c>
      <c r="C37" s="130">
        <v>258445</v>
      </c>
      <c r="D37" s="116">
        <f>$C$37*POWER(SUM(1,Variables!$C$4),D1-$C$1)</f>
        <v>262321.67499999999</v>
      </c>
      <c r="E37" s="116">
        <f>$C$37*POWER(SUM(1,Variables!$C$4),E1-$C$1)</f>
        <v>266256.5001249999</v>
      </c>
      <c r="F37" s="116">
        <f>$C$37*POWER(SUM(1,Variables!$C$4),F1-$C$1)</f>
        <v>270250.34762687492</v>
      </c>
      <c r="G37" s="116">
        <f>$C$37*POWER(SUM(1,Variables!$C$4),G1-$C$1)</f>
        <v>274304.10284127796</v>
      </c>
      <c r="H37" s="116">
        <f>$C$37*POWER(SUM(1,Variables!$C$4),H1-$C$1)</f>
        <v>278418.66438389709</v>
      </c>
      <c r="I37" s="116">
        <f>$C$37*POWER(SUM(1,Variables!$C$4),I1-$C$1)</f>
        <v>282594.94434965553</v>
      </c>
      <c r="J37" s="116">
        <f>$C$37*POWER(SUM(1,Variables!$C$4),J1-$C$1)</f>
        <v>286833.86851490033</v>
      </c>
      <c r="K37" s="116">
        <f>$C$37*POWER(SUM(1,Variables!$C$4),K1-$C$1)</f>
        <v>291136.3765426238</v>
      </c>
      <c r="L37" s="116">
        <f>$C$37*POWER(SUM(1,Variables!$C$4),L1-$C$1)</f>
        <v>295503.42219076311</v>
      </c>
      <c r="M37" s="116">
        <f>$C$37*POWER(SUM(1,Variables!$C$4),M1-$C$1)</f>
        <v>299935.97352362453</v>
      </c>
      <c r="N37" s="116">
        <f>$C$37*POWER(SUM(1,Variables!$C$4),N1-$C$1)</f>
        <v>304435.01312647882</v>
      </c>
      <c r="O37" s="116">
        <f>$C$37*POWER(SUM(1,Variables!$C$4),O1-$C$1)</f>
        <v>309001.53832337598</v>
      </c>
      <c r="P37" s="4"/>
      <c r="Q37" s="4"/>
      <c r="R37" s="4"/>
      <c r="S37" s="4"/>
      <c r="T37" s="114"/>
      <c r="U37" s="4"/>
      <c r="V37" s="4"/>
      <c r="W37" s="4"/>
      <c r="X37" s="4"/>
      <c r="Y37" s="4"/>
      <c r="Z37" s="4"/>
      <c r="AA37" s="4"/>
      <c r="AB37" s="4"/>
    </row>
    <row r="38" spans="1:28" ht="14.25" customHeight="1">
      <c r="A38" s="127">
        <v>37</v>
      </c>
      <c r="B38" s="128" t="s">
        <v>230</v>
      </c>
      <c r="C38" s="130">
        <v>120462</v>
      </c>
      <c r="D38" s="116">
        <f>$C$38*POWER(SUM(1,Variables!$C$4),D1-$C$1)</f>
        <v>122268.93</v>
      </c>
      <c r="E38" s="116">
        <f>$C$38*POWER(SUM(1,Variables!$C$4),E1-$C$1)</f>
        <v>124102.96394999996</v>
      </c>
      <c r="F38" s="116">
        <f>$C$38*POWER(SUM(1,Variables!$C$4),F1-$C$1)</f>
        <v>125964.50840924995</v>
      </c>
      <c r="G38" s="116">
        <f>$C$38*POWER(SUM(1,Variables!$C$4),G1-$C$1)</f>
        <v>127853.97603538868</v>
      </c>
      <c r="H38" s="116">
        <f>$C$38*POWER(SUM(1,Variables!$C$4),H1-$C$1)</f>
        <v>129771.7856759195</v>
      </c>
      <c r="I38" s="116">
        <f>$C$38*POWER(SUM(1,Variables!$C$4),I1-$C$1)</f>
        <v>131718.36246105825</v>
      </c>
      <c r="J38" s="116">
        <f>$C$38*POWER(SUM(1,Variables!$C$4),J1-$C$1)</f>
        <v>133694.13789797411</v>
      </c>
      <c r="K38" s="116">
        <f>$C$38*POWER(SUM(1,Variables!$C$4),K1-$C$1)</f>
        <v>135699.54996644371</v>
      </c>
      <c r="L38" s="116">
        <f>$C$38*POWER(SUM(1,Variables!$C$4),L1-$C$1)</f>
        <v>137735.04321594036</v>
      </c>
      <c r="M38" s="116">
        <f>$C$38*POWER(SUM(1,Variables!$C$4),M1-$C$1)</f>
        <v>139801.06886417945</v>
      </c>
      <c r="N38" s="116">
        <f>$C$38*POWER(SUM(1,Variables!$C$4),N1-$C$1)</f>
        <v>141898.08489714211</v>
      </c>
      <c r="O38" s="116">
        <f>$C$38*POWER(SUM(1,Variables!$C$4),O1-$C$1)</f>
        <v>144026.55617059921</v>
      </c>
      <c r="P38" s="4"/>
      <c r="Q38" s="4"/>
      <c r="R38" s="4"/>
      <c r="S38" s="4"/>
      <c r="T38" s="114"/>
      <c r="U38" s="4"/>
      <c r="V38" s="4"/>
      <c r="W38" s="4"/>
      <c r="X38" s="4"/>
      <c r="Y38" s="4"/>
      <c r="Z38" s="4"/>
      <c r="AA38" s="4"/>
      <c r="AB38" s="4"/>
    </row>
    <row r="39" spans="1:28" ht="14.25" customHeight="1">
      <c r="A39" s="127">
        <v>38</v>
      </c>
      <c r="B39" s="128" t="s">
        <v>231</v>
      </c>
      <c r="C39" s="130">
        <v>35556</v>
      </c>
      <c r="D39" s="116">
        <f>$C$39*POWER(SUM(1,Variables!$C$4),D1-2016)</f>
        <v>37180.140301499989</v>
      </c>
      <c r="E39" s="116">
        <f>$C$39*POWER(SUM(1,Variables!$C$4),E1-$C$1)</f>
        <v>36630.68009999999</v>
      </c>
      <c r="F39" s="116">
        <f>$C$39*POWER(SUM(1,Variables!$C$4),F1-$C$1)</f>
        <v>37180.140301499989</v>
      </c>
      <c r="G39" s="116">
        <f>$C$39*POWER(SUM(1,Variables!$C$4),G1-$C$1)</f>
        <v>37737.842406022479</v>
      </c>
      <c r="H39" s="116">
        <f>$C$39*POWER(SUM(1,Variables!$C$4),H1-$C$1)</f>
        <v>38303.91004211281</v>
      </c>
      <c r="I39" s="116">
        <f>$C$39*POWER(SUM(1,Variables!$C$4),I1-$C$1)</f>
        <v>38878.4686927445</v>
      </c>
      <c r="J39" s="116">
        <f>$C$39*POWER(SUM(1,Variables!$C$4),J1-$C$1)</f>
        <v>39461.645723135662</v>
      </c>
      <c r="K39" s="116">
        <f>$C$39*POWER(SUM(1,Variables!$C$4),K1-$C$1)</f>
        <v>40053.57040898269</v>
      </c>
      <c r="L39" s="116">
        <f>$C$39*POWER(SUM(1,Variables!$C$4),L1-$C$1)</f>
        <v>40654.373965117426</v>
      </c>
      <c r="M39" s="116">
        <f>$C$39*POWER(SUM(1,Variables!$C$4),M1-$C$1)</f>
        <v>41264.18957459418</v>
      </c>
      <c r="N39" s="116">
        <f>$C$39*POWER(SUM(1,Variables!$C$4),N1-$C$1)</f>
        <v>41883.152418213089</v>
      </c>
      <c r="O39" s="116">
        <f>$C$39*POWER(SUM(1,Variables!$C$4),O1-$C$1)</f>
        <v>42511.399704486277</v>
      </c>
      <c r="P39" s="4"/>
      <c r="Q39" s="4"/>
      <c r="R39" s="4"/>
      <c r="S39" s="4"/>
      <c r="T39" s="114"/>
      <c r="U39" s="4"/>
      <c r="V39" s="4"/>
      <c r="W39" s="4"/>
      <c r="X39" s="4"/>
      <c r="Y39" s="4"/>
      <c r="Z39" s="4"/>
      <c r="AA39" s="4"/>
      <c r="AB39" s="4"/>
    </row>
    <row r="40" spans="1:28" ht="14.25" customHeight="1">
      <c r="A40" s="127">
        <v>39</v>
      </c>
      <c r="B40" s="128" t="s">
        <v>232</v>
      </c>
      <c r="C40" s="130">
        <v>67118</v>
      </c>
      <c r="D40" s="116">
        <f>$C$40*POWER(SUM(1,Variables!$C$4),D1-$C$1)</f>
        <v>68124.76999999999</v>
      </c>
      <c r="E40" s="116">
        <f>$C$40*POWER(SUM(1,Variables!$C$4),E1-$C$1)</f>
        <v>69146.641549999986</v>
      </c>
      <c r="F40" s="116">
        <f>$C$40*POWER(SUM(1,Variables!$C$4),F1-$C$1)</f>
        <v>70183.841173249966</v>
      </c>
      <c r="G40" s="116">
        <f>$C$40*POWER(SUM(1,Variables!$C$4),G1-$C$1)</f>
        <v>71236.598790848715</v>
      </c>
      <c r="H40" s="116">
        <f>$C$40*POWER(SUM(1,Variables!$C$4),H1-$C$1)</f>
        <v>72305.14777271144</v>
      </c>
      <c r="I40" s="116">
        <f>$C$40*POWER(SUM(1,Variables!$C$4),I1-$C$1)</f>
        <v>73389.724989302093</v>
      </c>
      <c r="J40" s="116">
        <f>$C$40*POWER(SUM(1,Variables!$C$4),J1-$C$1)</f>
        <v>74490.570864141613</v>
      </c>
      <c r="K40" s="116">
        <f>$C$40*POWER(SUM(1,Variables!$C$4),K1-$C$1)</f>
        <v>75607.929427103722</v>
      </c>
      <c r="L40" s="116">
        <f>$C$40*POWER(SUM(1,Variables!$C$4),L1-$C$1)</f>
        <v>76742.048368510281</v>
      </c>
      <c r="M40" s="116">
        <f>$C$40*POWER(SUM(1,Variables!$C$4),M1-$C$1)</f>
        <v>77893.179094037914</v>
      </c>
      <c r="N40" s="116">
        <f>$C$40*POWER(SUM(1,Variables!$C$4),N1-$C$1)</f>
        <v>79061.576780448479</v>
      </c>
      <c r="O40" s="116">
        <f>$C$40*POWER(SUM(1,Variables!$C$4),O1-$C$1)</f>
        <v>80247.500432155182</v>
      </c>
      <c r="P40" s="4"/>
      <c r="Q40" s="4"/>
      <c r="R40" s="4"/>
      <c r="S40" s="4"/>
      <c r="T40" s="114"/>
      <c r="U40" s="4"/>
      <c r="V40" s="4"/>
      <c r="W40" s="4"/>
      <c r="X40" s="4"/>
      <c r="Y40" s="4"/>
      <c r="Z40" s="4"/>
      <c r="AA40" s="4"/>
      <c r="AB40" s="4"/>
    </row>
    <row r="41" spans="1:28" ht="14.25" customHeight="1">
      <c r="A41" s="127">
        <v>40</v>
      </c>
      <c r="B41" s="128" t="s">
        <v>233</v>
      </c>
      <c r="C41" s="130">
        <v>3036</v>
      </c>
      <c r="D41" s="116">
        <f>$C$41*POWER(SUM(1,Variables!$C$4),D1-2016)</f>
        <v>3174.6795464999987</v>
      </c>
      <c r="E41" s="116">
        <f>$C$41*POWER(SUM(1,Variables!$C$4),E1-$C$1)</f>
        <v>3127.7630999999992</v>
      </c>
      <c r="F41" s="116">
        <f>$C$41*POWER(SUM(1,Variables!$C$4),F1-$C$1)</f>
        <v>3174.6795464999987</v>
      </c>
      <c r="G41" s="116">
        <f>$C$41*POWER(SUM(1,Variables!$C$4),G1-$C$1)</f>
        <v>3222.2997396974984</v>
      </c>
      <c r="H41" s="116">
        <f>$C$41*POWER(SUM(1,Variables!$C$4),H1-$C$1)</f>
        <v>3270.6342357929602</v>
      </c>
      <c r="I41" s="116">
        <f>$C$41*POWER(SUM(1,Variables!$C$4),I1-$C$1)</f>
        <v>3319.6937493298542</v>
      </c>
      <c r="J41" s="116">
        <f>$C$41*POWER(SUM(1,Variables!$C$4),J1-$C$1)</f>
        <v>3369.4891555698014</v>
      </c>
      <c r="K41" s="116">
        <f>$C$41*POWER(SUM(1,Variables!$C$4),K1-$C$1)</f>
        <v>3420.031492903348</v>
      </c>
      <c r="L41" s="116">
        <f>$C$41*POWER(SUM(1,Variables!$C$4),L1-$C$1)</f>
        <v>3471.331965296898</v>
      </c>
      <c r="M41" s="116">
        <f>$C$41*POWER(SUM(1,Variables!$C$4),M1-$C$1)</f>
        <v>3523.4019447763508</v>
      </c>
      <c r="N41" s="116">
        <f>$C$41*POWER(SUM(1,Variables!$C$4),N1-$C$1)</f>
        <v>3576.252973947996</v>
      </c>
      <c r="O41" s="116">
        <f>$C$41*POWER(SUM(1,Variables!$C$4),O1-$C$1)</f>
        <v>3629.8967685572152</v>
      </c>
      <c r="P41" s="4"/>
      <c r="Q41" s="4"/>
      <c r="R41" s="4"/>
      <c r="S41" s="4"/>
      <c r="T41" s="114"/>
      <c r="U41" s="4"/>
      <c r="V41" s="4"/>
      <c r="W41" s="4"/>
      <c r="X41" s="4"/>
      <c r="Y41" s="4"/>
      <c r="Z41" s="4"/>
      <c r="AA41" s="4"/>
      <c r="AB41" s="4"/>
    </row>
    <row r="42" spans="1:28" ht="14.25" customHeight="1">
      <c r="A42" s="127">
        <v>41</v>
      </c>
      <c r="B42" s="128" t="s">
        <v>234</v>
      </c>
      <c r="C42" s="130">
        <v>52321</v>
      </c>
      <c r="D42" s="116">
        <f>$C$42*POWER(SUM(1,Variables!$C$4),D1-$C$1)</f>
        <v>53105.814999999995</v>
      </c>
      <c r="E42" s="116">
        <f>$C$42*POWER(SUM(1,Variables!$C$4),E1-$C$1)</f>
        <v>53902.402224999983</v>
      </c>
      <c r="F42" s="116">
        <f>$C$42*POWER(SUM(1,Variables!$C$4),F1-$C$1)</f>
        <v>54710.938258374976</v>
      </c>
      <c r="G42" s="116">
        <f>$C$42*POWER(SUM(1,Variables!$C$4),G1-$C$1)</f>
        <v>55531.602332250593</v>
      </c>
      <c r="H42" s="116">
        <f>$C$42*POWER(SUM(1,Variables!$C$4),H1-$C$1)</f>
        <v>56364.576367234346</v>
      </c>
      <c r="I42" s="116">
        <f>$C$42*POWER(SUM(1,Variables!$C$4),I1-$C$1)</f>
        <v>57210.045012742848</v>
      </c>
      <c r="J42" s="116">
        <f>$C$42*POWER(SUM(1,Variables!$C$4),J1-$C$1)</f>
        <v>58068.195687933985</v>
      </c>
      <c r="K42" s="116">
        <f>$C$42*POWER(SUM(1,Variables!$C$4),K1-$C$1)</f>
        <v>58939.218623252993</v>
      </c>
      <c r="L42" s="116">
        <f>$C$42*POWER(SUM(1,Variables!$C$4),L1-$C$1)</f>
        <v>59823.306902601777</v>
      </c>
      <c r="M42" s="116">
        <f>$C$42*POWER(SUM(1,Variables!$C$4),M1-$C$1)</f>
        <v>60720.656506140796</v>
      </c>
      <c r="N42" s="116">
        <f>$C$42*POWER(SUM(1,Variables!$C$4),N1-$C$1)</f>
        <v>61631.466353732903</v>
      </c>
      <c r="O42" s="116">
        <f>$C$42*POWER(SUM(1,Variables!$C$4),O1-$C$1)</f>
        <v>62555.938349038879</v>
      </c>
      <c r="P42" s="4"/>
      <c r="Q42" s="4"/>
      <c r="R42" s="4"/>
      <c r="S42" s="4"/>
      <c r="T42" s="114"/>
      <c r="U42" s="4"/>
      <c r="V42" s="4"/>
      <c r="W42" s="4"/>
      <c r="X42" s="4"/>
      <c r="Y42" s="4"/>
      <c r="Z42" s="4"/>
      <c r="AA42" s="4"/>
      <c r="AB42" s="4"/>
    </row>
    <row r="43" spans="1:28" ht="14.25" customHeight="1">
      <c r="A43" s="127">
        <v>42</v>
      </c>
      <c r="B43" s="128" t="s">
        <v>235</v>
      </c>
      <c r="C43" s="130">
        <v>45521</v>
      </c>
      <c r="D43" s="116">
        <f>$C$43*POWER(SUM(1,Variables!$C$4),D1-$C$1)</f>
        <v>46203.814999999995</v>
      </c>
      <c r="E43" s="116">
        <f>$C$43*POWER(SUM(1,Variables!$C$4),E1-$C$1)</f>
        <v>46896.872224999985</v>
      </c>
      <c r="F43" s="116">
        <f>$C$43*POWER(SUM(1,Variables!$C$4),F1-$C$1)</f>
        <v>47600.325308374981</v>
      </c>
      <c r="G43" s="116">
        <f>$C$43*POWER(SUM(1,Variables!$C$4),G1-$C$1)</f>
        <v>48314.330188000597</v>
      </c>
      <c r="H43" s="116">
        <f>$C$43*POWER(SUM(1,Variables!$C$4),H1-$C$1)</f>
        <v>49039.045140820599</v>
      </c>
      <c r="I43" s="116">
        <f>$C$43*POWER(SUM(1,Variables!$C$4),I1-$C$1)</f>
        <v>49774.630817932899</v>
      </c>
      <c r="J43" s="116">
        <f>$C$43*POWER(SUM(1,Variables!$C$4),J1-$C$1)</f>
        <v>50521.250280201886</v>
      </c>
      <c r="K43" s="116">
        <f>$C$43*POWER(SUM(1,Variables!$C$4),K1-$C$1)</f>
        <v>51279.069034404914</v>
      </c>
      <c r="L43" s="116">
        <f>$C$43*POWER(SUM(1,Variables!$C$4),L1-$C$1)</f>
        <v>52048.255069920975</v>
      </c>
      <c r="M43" s="116">
        <f>$C$43*POWER(SUM(1,Variables!$C$4),M1-$C$1)</f>
        <v>52828.978895969783</v>
      </c>
      <c r="N43" s="116">
        <f>$C$43*POWER(SUM(1,Variables!$C$4),N1-$C$1)</f>
        <v>53621.413579409331</v>
      </c>
      <c r="O43" s="116">
        <f>$C$43*POWER(SUM(1,Variables!$C$4),O1-$C$1)</f>
        <v>54425.734783100459</v>
      </c>
      <c r="P43" s="4"/>
      <c r="Q43" s="4"/>
      <c r="R43" s="4"/>
      <c r="S43" s="4"/>
      <c r="T43" s="114"/>
      <c r="U43" s="4"/>
      <c r="V43" s="4"/>
      <c r="W43" s="4"/>
      <c r="X43" s="4"/>
      <c r="Y43" s="4"/>
      <c r="Z43" s="4"/>
      <c r="AA43" s="4"/>
      <c r="AB43" s="4"/>
    </row>
    <row r="44" spans="1:28" ht="14.25" customHeight="1">
      <c r="A44" s="127">
        <v>43</v>
      </c>
      <c r="B44" s="128" t="s">
        <v>236</v>
      </c>
      <c r="C44" s="130">
        <v>24037</v>
      </c>
      <c r="D44" s="116">
        <f>$C$44*POWER(SUM(1,Variables!$C$4),D1-$C$1)</f>
        <v>24397.554999999997</v>
      </c>
      <c r="E44" s="116">
        <f>$C$44*POWER(SUM(1,Variables!$C$4),E1-$C$1)</f>
        <v>24763.518324999994</v>
      </c>
      <c r="F44" s="116">
        <f>$C$44*POWER(SUM(1,Variables!$C$4),F1-$C$1)</f>
        <v>25134.971099874991</v>
      </c>
      <c r="G44" s="116">
        <f>$C$44*POWER(SUM(1,Variables!$C$4),G1-$C$1)</f>
        <v>25511.99566637311</v>
      </c>
      <c r="H44" s="116">
        <f>$C$44*POWER(SUM(1,Variables!$C$4),H1-$C$1)</f>
        <v>25894.675601368705</v>
      </c>
      <c r="I44" s="116">
        <f>$C$44*POWER(SUM(1,Variables!$C$4),I1-$C$1)</f>
        <v>26283.09573538923</v>
      </c>
      <c r="J44" s="116">
        <f>$C$44*POWER(SUM(1,Variables!$C$4),J1-$C$1)</f>
        <v>26677.342171420063</v>
      </c>
      <c r="K44" s="116">
        <f>$C$44*POWER(SUM(1,Variables!$C$4),K1-$C$1)</f>
        <v>27077.502303991365</v>
      </c>
      <c r="L44" s="116">
        <f>$C$44*POWER(SUM(1,Variables!$C$4),L1-$C$1)</f>
        <v>27483.664838551231</v>
      </c>
      <c r="M44" s="116">
        <f>$C$44*POWER(SUM(1,Variables!$C$4),M1-$C$1)</f>
        <v>27895.919811129497</v>
      </c>
      <c r="N44" s="116">
        <f>$C$44*POWER(SUM(1,Variables!$C$4),N1-$C$1)</f>
        <v>28314.358608296436</v>
      </c>
      <c r="O44" s="116">
        <f>$C$44*POWER(SUM(1,Variables!$C$4),O1-$C$1)</f>
        <v>28739.073987420874</v>
      </c>
      <c r="P44" s="4"/>
      <c r="Q44" s="4"/>
      <c r="R44" s="4"/>
      <c r="S44" s="4"/>
      <c r="T44" s="114"/>
      <c r="U44" s="4"/>
      <c r="V44" s="4"/>
      <c r="W44" s="4"/>
      <c r="X44" s="4"/>
      <c r="Y44" s="4"/>
      <c r="Z44" s="4"/>
      <c r="AA44" s="4"/>
      <c r="AB44" s="4"/>
    </row>
    <row r="45" spans="1:28" ht="14.25" customHeight="1">
      <c r="A45" s="127">
        <v>44</v>
      </c>
      <c r="B45" s="128" t="s">
        <v>241</v>
      </c>
      <c r="C45" s="130">
        <v>88908</v>
      </c>
      <c r="D45" s="116">
        <f>$C$45*POWER(SUM(1,Variables!$C$4),2019-2016)</f>
        <v>92969.172964499958</v>
      </c>
      <c r="E45" s="116">
        <f>$D$45*POWER(SUM(1,Variables!$C$4),E1-$C$1)</f>
        <v>95779.166217351943</v>
      </c>
      <c r="F45" s="116">
        <f>$D$45*POWER(SUM(1,Variables!$C$4),F1-$C$1)</f>
        <v>97215.853710612209</v>
      </c>
      <c r="G45" s="116">
        <f>$D$45*POWER(SUM(1,Variables!$C$4),G1-$C$1)</f>
        <v>98674.091516271379</v>
      </c>
      <c r="H45" s="116">
        <f>$D$45*POWER(SUM(1,Variables!$C$4),H1-$C$1)</f>
        <v>100154.20288901543</v>
      </c>
      <c r="I45" s="116">
        <f>$D$45*POWER(SUM(1,Variables!$C$4),I1-$C$1)</f>
        <v>101656.51593235065</v>
      </c>
      <c r="J45" s="116">
        <f>$D$45*POWER(SUM(1,Variables!$C$4),J1-$C$1)</f>
        <v>103181.36367133589</v>
      </c>
      <c r="K45" s="116">
        <f>$D$45*POWER(SUM(1,Variables!$C$4),K1-$C$1)</f>
        <v>104729.08412640593</v>
      </c>
      <c r="L45" s="116">
        <f>$D$45*POWER(SUM(1,Variables!$C$4),L1-$C$1)</f>
        <v>106300.020388302</v>
      </c>
      <c r="M45" s="116">
        <f>$D$45*POWER(SUM(1,Variables!$C$4),M1-$C$1)</f>
        <v>107894.52069412652</v>
      </c>
      <c r="N45" s="116">
        <f>$D$45*POWER(SUM(1,Variables!$C$4),N1-$C$1)</f>
        <v>109512.9385045384</v>
      </c>
      <c r="O45" s="116">
        <f>$D$45*POWER(SUM(1,Variables!$C$4),O1-$C$1)</f>
        <v>111155.63258210645</v>
      </c>
      <c r="P45" s="4"/>
      <c r="Q45" s="4"/>
      <c r="R45" s="4"/>
      <c r="S45" s="4"/>
      <c r="T45" s="114"/>
      <c r="U45" s="4"/>
      <c r="V45" s="4"/>
      <c r="W45" s="4"/>
      <c r="X45" s="4"/>
      <c r="Y45" s="4"/>
      <c r="Z45" s="4"/>
      <c r="AA45" s="4"/>
      <c r="AB45" s="4"/>
    </row>
    <row r="46" spans="1:28" ht="14.25" customHeight="1">
      <c r="A46" s="127">
        <v>45</v>
      </c>
      <c r="B46" s="128" t="s">
        <v>242</v>
      </c>
      <c r="C46" s="130">
        <v>23616</v>
      </c>
      <c r="D46" s="116">
        <f>$C$46*POWER(SUM(1,Variables!$C$4),D1-$C$1)</f>
        <v>23970.239999999998</v>
      </c>
      <c r="E46" s="116">
        <f>$C$46*POWER(SUM(1,Variables!$C$4),E1-$C$1)</f>
        <v>24329.793599999994</v>
      </c>
      <c r="F46" s="116">
        <f>$C$46*POWER(SUM(1,Variables!$C$4),F1-$C$1)</f>
        <v>24694.74050399999</v>
      </c>
      <c r="G46" s="116">
        <f>$C$46*POWER(SUM(1,Variables!$C$4),G1-$C$1)</f>
        <v>25065.161611559986</v>
      </c>
      <c r="H46" s="116">
        <f>$C$46*POWER(SUM(1,Variables!$C$4),H1-$C$1)</f>
        <v>25441.139035733384</v>
      </c>
      <c r="I46" s="116">
        <f>$C$46*POWER(SUM(1,Variables!$C$4),I1-$C$1)</f>
        <v>25822.75612126938</v>
      </c>
      <c r="J46" s="116">
        <f>$C$46*POWER(SUM(1,Variables!$C$4),J1-$C$1)</f>
        <v>26210.097463088416</v>
      </c>
      <c r="K46" s="116">
        <f>$C$46*POWER(SUM(1,Variables!$C$4),K1-$C$1)</f>
        <v>26603.248925034739</v>
      </c>
      <c r="L46" s="116">
        <f>$C$46*POWER(SUM(1,Variables!$C$4),L1-$C$1)</f>
        <v>27002.297658910258</v>
      </c>
      <c r="M46" s="116">
        <f>$C$46*POWER(SUM(1,Variables!$C$4),M1-$C$1)</f>
        <v>27407.332123793909</v>
      </c>
      <c r="N46" s="116">
        <f>$C$46*POWER(SUM(1,Variables!$C$4),N1-$C$1)</f>
        <v>27818.442105650814</v>
      </c>
      <c r="O46" s="116">
        <f>$C$46*POWER(SUM(1,Variables!$C$4),O1-$C$1)</f>
        <v>28235.718737235569</v>
      </c>
      <c r="P46" s="4"/>
      <c r="Q46" s="4"/>
      <c r="R46" s="4"/>
      <c r="S46" s="4"/>
      <c r="T46" s="114"/>
      <c r="U46" s="4"/>
      <c r="V46" s="4"/>
      <c r="W46" s="4"/>
      <c r="X46" s="4"/>
      <c r="Y46" s="4"/>
      <c r="Z46" s="4"/>
      <c r="AA46" s="4"/>
      <c r="AB46" s="4"/>
    </row>
    <row r="47" spans="1:28" ht="14.25" customHeight="1">
      <c r="A47" s="127">
        <v>46</v>
      </c>
      <c r="B47" s="128" t="s">
        <v>243</v>
      </c>
      <c r="C47" s="130">
        <v>30183</v>
      </c>
      <c r="D47" s="116">
        <f>$C$47*POWER(SUM(1,Variables!$C$4),D1-$C$1)</f>
        <v>30635.744999999995</v>
      </c>
      <c r="E47" s="116">
        <f>$C$47*POWER(SUM(1,Variables!$C$4),E1-$C$1)</f>
        <v>31095.281174999993</v>
      </c>
      <c r="F47" s="116">
        <f>$C$47*POWER(SUM(1,Variables!$C$4),F1-$C$1)</f>
        <v>31561.710392624987</v>
      </c>
      <c r="G47" s="116">
        <f>$C$47*POWER(SUM(1,Variables!$C$4),G1-$C$1)</f>
        <v>32035.13604851436</v>
      </c>
      <c r="H47" s="116">
        <f>$C$47*POWER(SUM(1,Variables!$C$4),H1-$C$1)</f>
        <v>32515.663089242069</v>
      </c>
      <c r="I47" s="116">
        <f>$C$47*POWER(SUM(1,Variables!$C$4),I1-$C$1)</f>
        <v>33003.398035580693</v>
      </c>
      <c r="J47" s="116">
        <f>$C$47*POWER(SUM(1,Variables!$C$4),J1-$C$1)</f>
        <v>33498.449006114402</v>
      </c>
      <c r="K47" s="116">
        <f>$C$47*POWER(SUM(1,Variables!$C$4),K1-$C$1)</f>
        <v>34000.925741206112</v>
      </c>
      <c r="L47" s="116">
        <f>$C$47*POWER(SUM(1,Variables!$C$4),L1-$C$1)</f>
        <v>34510.939627324202</v>
      </c>
      <c r="M47" s="116">
        <f>$C$47*POWER(SUM(1,Variables!$C$4),M1-$C$1)</f>
        <v>35028.603721734056</v>
      </c>
      <c r="N47" s="116">
        <f>$C$47*POWER(SUM(1,Variables!$C$4),N1-$C$1)</f>
        <v>35554.032777560067</v>
      </c>
      <c r="O47" s="116">
        <f>$C$47*POWER(SUM(1,Variables!$C$4),O1-$C$1)</f>
        <v>36087.343269223456</v>
      </c>
      <c r="P47" s="4"/>
      <c r="Q47" s="4"/>
      <c r="R47" s="4"/>
      <c r="S47" s="4"/>
      <c r="T47" s="114"/>
      <c r="U47" s="4"/>
      <c r="V47" s="4"/>
      <c r="W47" s="4"/>
      <c r="X47" s="4"/>
      <c r="Y47" s="4"/>
      <c r="Z47" s="4"/>
      <c r="AA47" s="4"/>
      <c r="AB47" s="4"/>
    </row>
    <row r="48" spans="1:28" ht="14.25" customHeight="1">
      <c r="A48" s="127">
        <v>47</v>
      </c>
      <c r="B48" s="128" t="s">
        <v>244</v>
      </c>
      <c r="C48" s="130" t="s">
        <v>245</v>
      </c>
      <c r="D48" s="116">
        <v>63964</v>
      </c>
      <c r="E48" s="116">
        <f>$D$48*POWER(SUM(1,Variables!$C$4),E1-$C$1)</f>
        <v>65897.311899999986</v>
      </c>
      <c r="F48" s="116">
        <f>$D$48*POWER(SUM(1,Variables!$C$4),F1-$C$1)</f>
        <v>66885.771578499975</v>
      </c>
      <c r="G48" s="116">
        <f>$D$48*POWER(SUM(1,Variables!$C$4),G1-$C$1)</f>
        <v>67889.058152177458</v>
      </c>
      <c r="H48" s="116">
        <f>$D$48*POWER(SUM(1,Variables!$C$4),H1-$C$1)</f>
        <v>68907.394024460111</v>
      </c>
      <c r="I48" s="116">
        <f>$D$48*POWER(SUM(1,Variables!$C$4),I1-$C$1)</f>
        <v>69941.004934827011</v>
      </c>
      <c r="J48" s="116">
        <f>$D$48*POWER(SUM(1,Variables!$C$4),J1-$C$1)</f>
        <v>70990.120008849393</v>
      </c>
      <c r="K48" s="116">
        <f>$D$48*POWER(SUM(1,Variables!$C$4),K1-$C$1)</f>
        <v>72054.97180898214</v>
      </c>
      <c r="L48" s="116">
        <f>$D$48*POWER(SUM(1,Variables!$C$4),L1-$C$1)</f>
        <v>73135.796386116854</v>
      </c>
      <c r="M48" s="116">
        <f>$D$48*POWER(SUM(1,Variables!$C$4),M1-$C$1)</f>
        <v>74232.833331908609</v>
      </c>
      <c r="N48" s="116">
        <f>$D$48*POWER(SUM(1,Variables!$C$4),N1-$C$1)</f>
        <v>75346.325831887225</v>
      </c>
      <c r="O48" s="116">
        <f>$D$48*POWER(SUM(1,Variables!$C$4),O1-$C$1)</f>
        <v>76476.520719365508</v>
      </c>
      <c r="P48" s="4"/>
      <c r="Q48" s="4"/>
      <c r="R48" s="4"/>
      <c r="S48" s="4"/>
      <c r="T48" s="114"/>
      <c r="U48" s="4"/>
      <c r="V48" s="4"/>
      <c r="W48" s="4"/>
      <c r="X48" s="4"/>
      <c r="Y48" s="4"/>
      <c r="Z48" s="4"/>
      <c r="AA48" s="4"/>
      <c r="AB48" s="4"/>
    </row>
    <row r="49" spans="1:28" ht="14.25" customHeight="1">
      <c r="A49" s="147"/>
      <c r="B49" s="21"/>
      <c r="C49" s="148" t="s">
        <v>246</v>
      </c>
      <c r="D49" s="4"/>
      <c r="E49" s="4"/>
      <c r="F49" s="4"/>
      <c r="G49" s="4"/>
      <c r="H49" s="4"/>
      <c r="I49" s="4"/>
      <c r="J49" s="4"/>
      <c r="K49" s="4"/>
      <c r="L49" s="4"/>
      <c r="M49" s="4"/>
      <c r="N49" s="4"/>
      <c r="O49" s="4"/>
      <c r="P49" s="4"/>
      <c r="Q49" s="4"/>
      <c r="R49" s="4"/>
      <c r="S49" s="4"/>
      <c r="T49" s="129"/>
      <c r="U49" s="4"/>
      <c r="V49" s="4"/>
      <c r="W49" s="4"/>
      <c r="X49" s="4"/>
      <c r="Y49" s="4"/>
      <c r="Z49" s="4"/>
      <c r="AA49" s="4"/>
      <c r="AB49" s="4"/>
    </row>
    <row r="50" spans="1:28" ht="14.25" customHeight="1">
      <c r="A50" s="147"/>
      <c r="B50" s="4"/>
      <c r="C50" s="4"/>
      <c r="D50" s="4"/>
      <c r="E50" s="4"/>
      <c r="F50" s="4"/>
      <c r="G50" s="4"/>
      <c r="H50" s="4"/>
      <c r="I50" s="4"/>
      <c r="J50" s="4"/>
      <c r="K50" s="4"/>
      <c r="L50" s="4"/>
      <c r="M50" s="4"/>
      <c r="N50" s="4"/>
      <c r="O50" s="4"/>
      <c r="P50" s="4"/>
      <c r="Q50" s="4"/>
      <c r="R50" s="4"/>
      <c r="S50" s="4"/>
      <c r="T50" s="129"/>
      <c r="U50" s="4"/>
      <c r="V50" s="4"/>
      <c r="W50" s="4"/>
      <c r="X50" s="4"/>
      <c r="Y50" s="4"/>
      <c r="Z50" s="4"/>
      <c r="AA50" s="4"/>
      <c r="AB50" s="4"/>
    </row>
    <row r="51" spans="1:28" ht="14.25" customHeight="1">
      <c r="A51" s="147"/>
      <c r="B51" s="4"/>
      <c r="C51" s="4"/>
      <c r="D51" s="4"/>
      <c r="E51" s="4"/>
      <c r="F51" s="4"/>
      <c r="G51" s="4"/>
      <c r="H51" s="4"/>
      <c r="I51" s="4"/>
      <c r="J51" s="4"/>
      <c r="K51" s="4"/>
      <c r="L51" s="4"/>
      <c r="M51" s="4"/>
      <c r="N51" s="4"/>
      <c r="O51" s="4"/>
      <c r="P51" s="4"/>
      <c r="Q51" s="4"/>
      <c r="R51" s="4"/>
      <c r="S51" s="4"/>
      <c r="T51" s="157"/>
      <c r="U51" s="4"/>
      <c r="V51" s="4"/>
      <c r="W51" s="4"/>
      <c r="X51" s="4"/>
      <c r="Y51" s="4"/>
      <c r="Z51" s="4"/>
      <c r="AA51" s="4"/>
      <c r="AB51" s="4"/>
    </row>
    <row r="52" spans="1:28" ht="14.25" customHeight="1">
      <c r="A52" s="147"/>
      <c r="B52" s="4"/>
      <c r="C52" s="4"/>
      <c r="D52" s="4"/>
      <c r="E52" s="4"/>
      <c r="F52" s="4"/>
      <c r="G52" s="4"/>
      <c r="H52" s="4"/>
      <c r="I52" s="4"/>
      <c r="J52" s="4"/>
      <c r="K52" s="4"/>
      <c r="L52" s="4"/>
      <c r="M52" s="4"/>
      <c r="N52" s="4"/>
      <c r="O52" s="4"/>
      <c r="P52" s="4"/>
      <c r="Q52" s="4"/>
      <c r="R52" s="4"/>
      <c r="S52" s="4"/>
      <c r="T52" s="99"/>
      <c r="U52" s="4"/>
      <c r="V52" s="4"/>
      <c r="W52" s="4"/>
      <c r="X52" s="4"/>
      <c r="Y52" s="4"/>
      <c r="Z52" s="4"/>
      <c r="AA52" s="4"/>
      <c r="AB52" s="4"/>
    </row>
    <row r="53" spans="1:28" ht="14.25" customHeight="1">
      <c r="A53" s="147"/>
      <c r="B53" s="4"/>
      <c r="C53" s="4"/>
      <c r="D53" s="4"/>
      <c r="E53" s="4"/>
      <c r="F53" s="4"/>
      <c r="G53" s="4"/>
      <c r="H53" s="4"/>
      <c r="I53" s="4"/>
      <c r="J53" s="4"/>
      <c r="K53" s="4"/>
      <c r="L53" s="4"/>
      <c r="M53" s="4"/>
      <c r="N53" s="4"/>
      <c r="O53" s="4"/>
      <c r="P53" s="4"/>
      <c r="Q53" s="4"/>
      <c r="R53" s="4"/>
      <c r="S53" s="4"/>
      <c r="T53" s="99"/>
      <c r="U53" s="4"/>
      <c r="V53" s="4"/>
      <c r="W53" s="4"/>
      <c r="X53" s="4"/>
      <c r="Y53" s="4"/>
      <c r="Z53" s="4"/>
      <c r="AA53" s="4"/>
      <c r="AB53" s="4"/>
    </row>
    <row r="54" spans="1:28" ht="14.25" customHeight="1">
      <c r="A54" s="147"/>
      <c r="B54" s="4"/>
      <c r="C54" s="4"/>
      <c r="D54" s="4"/>
      <c r="E54" s="4"/>
      <c r="F54" s="4"/>
      <c r="G54" s="4"/>
      <c r="H54" s="4"/>
      <c r="I54" s="4"/>
      <c r="J54" s="4"/>
      <c r="K54" s="4"/>
      <c r="L54" s="4"/>
      <c r="M54" s="4"/>
      <c r="N54" s="4"/>
      <c r="O54" s="4"/>
      <c r="P54" s="4"/>
      <c r="Q54" s="4"/>
      <c r="R54" s="4"/>
      <c r="S54" s="4"/>
      <c r="T54" s="99"/>
      <c r="U54" s="4"/>
      <c r="V54" s="4"/>
      <c r="W54" s="4"/>
      <c r="X54" s="4"/>
      <c r="Y54" s="4"/>
      <c r="Z54" s="4"/>
      <c r="AA54" s="4"/>
      <c r="AB54" s="4"/>
    </row>
    <row r="55" spans="1:28" ht="14.25" customHeight="1">
      <c r="A55" s="147"/>
      <c r="B55" s="4"/>
      <c r="C55" s="4"/>
      <c r="D55" s="4"/>
      <c r="E55" s="4"/>
      <c r="F55" s="4"/>
      <c r="G55" s="4"/>
      <c r="H55" s="4"/>
      <c r="I55" s="4"/>
      <c r="J55" s="4"/>
      <c r="K55" s="4"/>
      <c r="L55" s="4"/>
      <c r="M55" s="4"/>
      <c r="N55" s="4"/>
      <c r="O55" s="4"/>
      <c r="P55" s="4"/>
      <c r="Q55" s="4"/>
      <c r="R55" s="4"/>
      <c r="S55" s="4"/>
      <c r="T55" s="99"/>
      <c r="U55" s="4"/>
      <c r="V55" s="4"/>
      <c r="W55" s="4"/>
      <c r="X55" s="4"/>
      <c r="Y55" s="4"/>
      <c r="Z55" s="4"/>
      <c r="AA55" s="4"/>
      <c r="AB55" s="4"/>
    </row>
    <row r="56" spans="1:28" ht="14.25" customHeight="1">
      <c r="A56" s="147"/>
      <c r="B56" s="4"/>
      <c r="C56" s="4"/>
      <c r="D56" s="4"/>
      <c r="E56" s="4"/>
      <c r="F56" s="4"/>
      <c r="G56" s="4"/>
      <c r="H56" s="4"/>
      <c r="I56" s="4"/>
      <c r="J56" s="4"/>
      <c r="K56" s="4"/>
      <c r="L56" s="4"/>
      <c r="M56" s="4"/>
      <c r="N56" s="4"/>
      <c r="O56" s="4"/>
      <c r="P56" s="4"/>
      <c r="Q56" s="4"/>
      <c r="R56" s="4"/>
      <c r="S56" s="4"/>
      <c r="T56" s="99"/>
      <c r="U56" s="4"/>
      <c r="V56" s="4"/>
      <c r="W56" s="4"/>
      <c r="X56" s="4"/>
      <c r="Y56" s="4"/>
      <c r="Z56" s="4"/>
      <c r="AA56" s="4"/>
      <c r="AB56" s="4"/>
    </row>
    <row r="57" spans="1:28" ht="14.25" customHeight="1">
      <c r="A57" s="147"/>
      <c r="B57" s="4"/>
      <c r="C57" s="99"/>
      <c r="D57" s="4"/>
      <c r="E57" s="4"/>
      <c r="F57" s="4"/>
      <c r="G57" s="4"/>
      <c r="H57" s="4"/>
      <c r="I57" s="4"/>
      <c r="J57" s="4"/>
      <c r="K57" s="4"/>
      <c r="L57" s="4"/>
      <c r="M57" s="4"/>
      <c r="N57" s="4"/>
      <c r="O57" s="4"/>
      <c r="P57" s="4"/>
      <c r="Q57" s="4"/>
      <c r="R57" s="4"/>
      <c r="S57" s="4"/>
      <c r="T57" s="99"/>
      <c r="U57" s="4"/>
      <c r="V57" s="4"/>
      <c r="W57" s="4"/>
      <c r="X57" s="4"/>
      <c r="Y57" s="4"/>
      <c r="Z57" s="4"/>
      <c r="AA57" s="4"/>
      <c r="AB57" s="4"/>
    </row>
    <row r="58" spans="1:28" ht="14.25" customHeight="1">
      <c r="A58" s="147"/>
      <c r="B58" s="4"/>
      <c r="C58" s="99"/>
      <c r="D58" s="4"/>
      <c r="E58" s="4"/>
      <c r="F58" s="4"/>
      <c r="G58" s="4"/>
      <c r="H58" s="4"/>
      <c r="I58" s="4"/>
      <c r="J58" s="4"/>
      <c r="K58" s="4"/>
      <c r="L58" s="4"/>
      <c r="M58" s="4"/>
      <c r="N58" s="4"/>
      <c r="O58" s="4"/>
      <c r="P58" s="4"/>
      <c r="Q58" s="4"/>
      <c r="R58" s="4"/>
      <c r="S58" s="4"/>
      <c r="T58" s="99"/>
      <c r="U58" s="4"/>
      <c r="V58" s="4"/>
      <c r="W58" s="4"/>
      <c r="X58" s="4"/>
      <c r="Y58" s="4"/>
      <c r="Z58" s="4"/>
      <c r="AA58" s="4"/>
      <c r="AB58" s="4"/>
    </row>
    <row r="59" spans="1:28" ht="14.25" customHeight="1">
      <c r="A59" s="147"/>
      <c r="B59" s="4"/>
      <c r="C59" s="99"/>
      <c r="D59" s="4"/>
      <c r="E59" s="4"/>
      <c r="F59" s="4"/>
      <c r="G59" s="4"/>
      <c r="H59" s="4"/>
      <c r="I59" s="4"/>
      <c r="J59" s="4"/>
      <c r="K59" s="4"/>
      <c r="L59" s="4"/>
      <c r="M59" s="4"/>
      <c r="N59" s="4"/>
      <c r="O59" s="4"/>
      <c r="P59" s="4"/>
      <c r="Q59" s="4"/>
      <c r="R59" s="4"/>
      <c r="S59" s="4"/>
      <c r="T59" s="99"/>
      <c r="U59" s="4"/>
      <c r="V59" s="4"/>
      <c r="W59" s="4"/>
      <c r="X59" s="4"/>
      <c r="Y59" s="4"/>
      <c r="Z59" s="4"/>
      <c r="AA59" s="4"/>
      <c r="AB59" s="4"/>
    </row>
    <row r="60" spans="1:28" ht="14.25" customHeight="1">
      <c r="A60" s="147"/>
      <c r="B60" s="4"/>
      <c r="C60" s="99"/>
      <c r="D60" s="4"/>
      <c r="E60" s="4"/>
      <c r="F60" s="4"/>
      <c r="G60" s="4"/>
      <c r="H60" s="4"/>
      <c r="I60" s="4"/>
      <c r="J60" s="4"/>
      <c r="K60" s="4"/>
      <c r="L60" s="4"/>
      <c r="M60" s="4"/>
      <c r="N60" s="4"/>
      <c r="O60" s="4"/>
      <c r="P60" s="4"/>
      <c r="Q60" s="4"/>
      <c r="R60" s="4"/>
      <c r="S60" s="4"/>
      <c r="T60" s="99"/>
      <c r="U60" s="4"/>
      <c r="V60" s="4"/>
      <c r="W60" s="4"/>
      <c r="X60" s="4"/>
      <c r="Y60" s="4"/>
      <c r="Z60" s="4"/>
      <c r="AA60" s="4"/>
      <c r="AB60" s="4"/>
    </row>
    <row r="61" spans="1:28" ht="14.25" customHeight="1">
      <c r="A61" s="147"/>
      <c r="B61" s="4"/>
      <c r="C61" s="99"/>
      <c r="D61" s="4"/>
      <c r="E61" s="4"/>
      <c r="F61" s="4"/>
      <c r="G61" s="4"/>
      <c r="H61" s="4"/>
      <c r="I61" s="4"/>
      <c r="J61" s="4"/>
      <c r="K61" s="4"/>
      <c r="L61" s="4"/>
      <c r="M61" s="4"/>
      <c r="N61" s="4"/>
      <c r="O61" s="4"/>
      <c r="P61" s="4"/>
      <c r="Q61" s="4"/>
      <c r="R61" s="4"/>
      <c r="S61" s="4"/>
      <c r="T61" s="99"/>
      <c r="U61" s="4"/>
      <c r="V61" s="4"/>
      <c r="W61" s="4"/>
      <c r="X61" s="4"/>
      <c r="Y61" s="4"/>
      <c r="Z61" s="4"/>
      <c r="AA61" s="4"/>
      <c r="AB61" s="4"/>
    </row>
    <row r="62" spans="1:28" ht="14.25" customHeight="1">
      <c r="A62" s="147"/>
      <c r="B62" s="4"/>
      <c r="C62" s="99"/>
      <c r="D62" s="4"/>
      <c r="E62" s="4"/>
      <c r="F62" s="4"/>
      <c r="G62" s="4"/>
      <c r="H62" s="4"/>
      <c r="I62" s="4"/>
      <c r="J62" s="4"/>
      <c r="K62" s="4"/>
      <c r="L62" s="4"/>
      <c r="M62" s="4"/>
      <c r="N62" s="4"/>
      <c r="O62" s="4"/>
      <c r="P62" s="4"/>
      <c r="Q62" s="4"/>
      <c r="R62" s="4"/>
      <c r="S62" s="4"/>
      <c r="T62" s="99"/>
      <c r="U62" s="4"/>
      <c r="V62" s="4"/>
      <c r="W62" s="4"/>
      <c r="X62" s="4"/>
      <c r="Y62" s="4"/>
      <c r="Z62" s="4"/>
      <c r="AA62" s="4"/>
      <c r="AB62" s="4"/>
    </row>
    <row r="63" spans="1:28" ht="14.25" customHeight="1">
      <c r="A63" s="147"/>
      <c r="B63" s="4"/>
      <c r="C63" s="99"/>
      <c r="D63" s="4"/>
      <c r="E63" s="4"/>
      <c r="F63" s="4"/>
      <c r="G63" s="4"/>
      <c r="H63" s="4"/>
      <c r="I63" s="4"/>
      <c r="J63" s="4"/>
      <c r="K63" s="4"/>
      <c r="L63" s="4"/>
      <c r="M63" s="4"/>
      <c r="N63" s="4"/>
      <c r="O63" s="4"/>
      <c r="P63" s="4"/>
      <c r="Q63" s="4"/>
      <c r="R63" s="4"/>
      <c r="S63" s="4"/>
      <c r="T63" s="99"/>
      <c r="U63" s="4"/>
      <c r="V63" s="4"/>
      <c r="W63" s="4"/>
      <c r="X63" s="4"/>
      <c r="Y63" s="4"/>
      <c r="Z63" s="4"/>
      <c r="AA63" s="4"/>
      <c r="AB63" s="4"/>
    </row>
    <row r="64" spans="1:28" ht="14.25" customHeight="1">
      <c r="A64" s="147"/>
      <c r="B64" s="4"/>
      <c r="C64" s="99"/>
      <c r="D64" s="4"/>
      <c r="E64" s="4"/>
      <c r="F64" s="4"/>
      <c r="G64" s="4"/>
      <c r="H64" s="4"/>
      <c r="I64" s="4"/>
      <c r="J64" s="4"/>
      <c r="K64" s="4"/>
      <c r="L64" s="4"/>
      <c r="M64" s="4"/>
      <c r="N64" s="4"/>
      <c r="O64" s="4"/>
      <c r="P64" s="4"/>
      <c r="Q64" s="4"/>
      <c r="R64" s="4"/>
      <c r="S64" s="4"/>
      <c r="T64" s="99"/>
      <c r="U64" s="4"/>
      <c r="V64" s="4"/>
      <c r="W64" s="4"/>
      <c r="X64" s="4"/>
      <c r="Y64" s="4"/>
      <c r="Z64" s="4"/>
      <c r="AA64" s="4"/>
      <c r="AB64" s="4"/>
    </row>
    <row r="65" spans="1:28" ht="14.25" customHeight="1">
      <c r="A65" s="147"/>
      <c r="B65" s="4"/>
      <c r="C65" s="99"/>
      <c r="D65" s="4"/>
      <c r="E65" s="4"/>
      <c r="F65" s="4"/>
      <c r="G65" s="4"/>
      <c r="H65" s="4"/>
      <c r="I65" s="4"/>
      <c r="J65" s="4"/>
      <c r="K65" s="4"/>
      <c r="L65" s="4"/>
      <c r="M65" s="4"/>
      <c r="N65" s="4"/>
      <c r="O65" s="4"/>
      <c r="P65" s="4"/>
      <c r="Q65" s="4"/>
      <c r="R65" s="4"/>
      <c r="S65" s="4"/>
      <c r="T65" s="99"/>
      <c r="U65" s="4"/>
      <c r="V65" s="4"/>
      <c r="W65" s="4"/>
      <c r="X65" s="4"/>
      <c r="Y65" s="4"/>
      <c r="Z65" s="4"/>
      <c r="AA65" s="4"/>
      <c r="AB65" s="4"/>
    </row>
    <row r="66" spans="1:28" ht="14.25" customHeight="1">
      <c r="A66" s="147"/>
      <c r="B66" s="4"/>
      <c r="C66" s="99"/>
      <c r="D66" s="4"/>
      <c r="E66" s="4"/>
      <c r="F66" s="4"/>
      <c r="G66" s="4"/>
      <c r="H66" s="4"/>
      <c r="I66" s="4"/>
      <c r="J66" s="4"/>
      <c r="K66" s="4"/>
      <c r="L66" s="4"/>
      <c r="M66" s="4"/>
      <c r="N66" s="4"/>
      <c r="O66" s="4"/>
      <c r="P66" s="4"/>
      <c r="Q66" s="4"/>
      <c r="R66" s="4"/>
      <c r="S66" s="4"/>
      <c r="T66" s="99"/>
      <c r="U66" s="4"/>
      <c r="V66" s="4"/>
      <c r="W66" s="4"/>
      <c r="X66" s="4"/>
      <c r="Y66" s="4"/>
      <c r="Z66" s="4"/>
      <c r="AA66" s="4"/>
      <c r="AB66" s="4"/>
    </row>
    <row r="67" spans="1:28" ht="14.25" customHeight="1">
      <c r="A67" s="147"/>
      <c r="B67" s="4"/>
      <c r="C67" s="99"/>
      <c r="D67" s="4"/>
      <c r="E67" s="4"/>
      <c r="F67" s="4"/>
      <c r="G67" s="4"/>
      <c r="H67" s="4"/>
      <c r="I67" s="4"/>
      <c r="J67" s="4"/>
      <c r="K67" s="4"/>
      <c r="L67" s="4"/>
      <c r="M67" s="4"/>
      <c r="N67" s="4"/>
      <c r="O67" s="4"/>
      <c r="P67" s="4"/>
      <c r="Q67" s="4"/>
      <c r="R67" s="4"/>
      <c r="S67" s="4"/>
      <c r="T67" s="99"/>
      <c r="U67" s="4"/>
      <c r="V67" s="4"/>
      <c r="W67" s="4"/>
      <c r="X67" s="4"/>
      <c r="Y67" s="4"/>
      <c r="Z67" s="4"/>
      <c r="AA67" s="4"/>
      <c r="AB67" s="4"/>
    </row>
    <row r="68" spans="1:28" ht="14.25" customHeight="1">
      <c r="A68" s="147"/>
      <c r="B68" s="4"/>
      <c r="C68" s="99"/>
      <c r="D68" s="4"/>
      <c r="E68" s="4"/>
      <c r="F68" s="4"/>
      <c r="G68" s="4"/>
      <c r="H68" s="4"/>
      <c r="I68" s="4"/>
      <c r="J68" s="4"/>
      <c r="K68" s="4"/>
      <c r="L68" s="4"/>
      <c r="M68" s="4"/>
      <c r="N68" s="4"/>
      <c r="O68" s="4"/>
      <c r="P68" s="4"/>
      <c r="Q68" s="4"/>
      <c r="R68" s="4"/>
      <c r="S68" s="4"/>
      <c r="T68" s="99"/>
      <c r="U68" s="4"/>
      <c r="V68" s="4"/>
      <c r="W68" s="4"/>
      <c r="X68" s="4"/>
      <c r="Y68" s="4"/>
      <c r="Z68" s="4"/>
      <c r="AA68" s="4"/>
      <c r="AB68" s="4"/>
    </row>
    <row r="69" spans="1:28" ht="14.25" customHeight="1">
      <c r="A69" s="147"/>
      <c r="B69" s="4"/>
      <c r="C69" s="99"/>
      <c r="D69" s="4"/>
      <c r="E69" s="4"/>
      <c r="F69" s="4"/>
      <c r="G69" s="4"/>
      <c r="H69" s="4"/>
      <c r="I69" s="4"/>
      <c r="J69" s="4"/>
      <c r="K69" s="4"/>
      <c r="L69" s="4"/>
      <c r="M69" s="4"/>
      <c r="N69" s="4"/>
      <c r="O69" s="4"/>
      <c r="P69" s="4"/>
      <c r="Q69" s="4"/>
      <c r="R69" s="4"/>
      <c r="S69" s="4"/>
      <c r="T69" s="99"/>
      <c r="U69" s="4"/>
      <c r="V69" s="4"/>
      <c r="W69" s="4"/>
      <c r="X69" s="4"/>
      <c r="Y69" s="4"/>
      <c r="Z69" s="4"/>
      <c r="AA69" s="4"/>
      <c r="AB69" s="4"/>
    </row>
    <row r="70" spans="1:28" ht="14.25" customHeight="1">
      <c r="A70" s="147"/>
      <c r="B70" s="4"/>
      <c r="C70" s="99"/>
      <c r="D70" s="4"/>
      <c r="E70" s="4"/>
      <c r="F70" s="4"/>
      <c r="G70" s="4"/>
      <c r="H70" s="4"/>
      <c r="I70" s="4"/>
      <c r="J70" s="4"/>
      <c r="K70" s="4"/>
      <c r="L70" s="4"/>
      <c r="M70" s="4"/>
      <c r="N70" s="4"/>
      <c r="O70" s="4"/>
      <c r="P70" s="4"/>
      <c r="Q70" s="4"/>
      <c r="R70" s="4"/>
      <c r="S70" s="4"/>
      <c r="T70" s="99"/>
      <c r="U70" s="4"/>
      <c r="V70" s="4"/>
      <c r="W70" s="4"/>
      <c r="X70" s="4"/>
      <c r="Y70" s="4"/>
      <c r="Z70" s="4"/>
      <c r="AA70" s="4"/>
      <c r="AB70" s="4"/>
    </row>
    <row r="71" spans="1:28" ht="14.25" customHeight="1">
      <c r="A71" s="147"/>
      <c r="B71" s="4"/>
      <c r="C71" s="99"/>
      <c r="D71" s="4"/>
      <c r="E71" s="4"/>
      <c r="F71" s="4"/>
      <c r="G71" s="4"/>
      <c r="H71" s="4"/>
      <c r="I71" s="4"/>
      <c r="J71" s="4"/>
      <c r="K71" s="4"/>
      <c r="L71" s="4"/>
      <c r="M71" s="4"/>
      <c r="N71" s="4"/>
      <c r="O71" s="4"/>
      <c r="P71" s="4"/>
      <c r="Q71" s="4"/>
      <c r="R71" s="4"/>
      <c r="S71" s="4"/>
      <c r="T71" s="99"/>
      <c r="U71" s="4"/>
      <c r="V71" s="4"/>
      <c r="W71" s="4"/>
      <c r="X71" s="4"/>
      <c r="Y71" s="4"/>
      <c r="Z71" s="4"/>
      <c r="AA71" s="4"/>
      <c r="AB71" s="4"/>
    </row>
    <row r="72" spans="1:28" ht="14.25" customHeight="1">
      <c r="A72" s="147"/>
      <c r="B72" s="4"/>
      <c r="C72" s="99"/>
      <c r="D72" s="4"/>
      <c r="E72" s="4"/>
      <c r="F72" s="4"/>
      <c r="G72" s="4"/>
      <c r="H72" s="4"/>
      <c r="I72" s="4"/>
      <c r="J72" s="4"/>
      <c r="K72" s="4"/>
      <c r="L72" s="4"/>
      <c r="M72" s="4"/>
      <c r="N72" s="4"/>
      <c r="O72" s="4"/>
      <c r="P72" s="4"/>
      <c r="Q72" s="4"/>
      <c r="R72" s="4"/>
      <c r="S72" s="4"/>
      <c r="T72" s="99"/>
      <c r="U72" s="4"/>
      <c r="V72" s="4"/>
      <c r="W72" s="4"/>
      <c r="X72" s="4"/>
      <c r="Y72" s="4"/>
      <c r="Z72" s="4"/>
      <c r="AA72" s="4"/>
      <c r="AB72" s="4"/>
    </row>
    <row r="73" spans="1:28" ht="14.25" customHeight="1">
      <c r="A73" s="147"/>
      <c r="B73" s="4"/>
      <c r="C73" s="99"/>
      <c r="D73" s="4"/>
      <c r="E73" s="4"/>
      <c r="F73" s="4"/>
      <c r="G73" s="4"/>
      <c r="H73" s="4"/>
      <c r="I73" s="4"/>
      <c r="J73" s="4"/>
      <c r="K73" s="4"/>
      <c r="L73" s="4"/>
      <c r="M73" s="4"/>
      <c r="N73" s="4"/>
      <c r="O73" s="4"/>
      <c r="P73" s="4"/>
      <c r="Q73" s="4"/>
      <c r="R73" s="4"/>
      <c r="S73" s="4"/>
      <c r="T73" s="99"/>
      <c r="U73" s="4"/>
      <c r="V73" s="4"/>
      <c r="W73" s="4"/>
      <c r="X73" s="4"/>
      <c r="Y73" s="4"/>
      <c r="Z73" s="4"/>
      <c r="AA73" s="4"/>
      <c r="AB73" s="4"/>
    </row>
    <row r="74" spans="1:28" ht="14.25" customHeight="1">
      <c r="A74" s="147"/>
      <c r="B74" s="4"/>
      <c r="C74" s="99"/>
      <c r="D74" s="4"/>
      <c r="E74" s="4"/>
      <c r="F74" s="4"/>
      <c r="G74" s="4"/>
      <c r="H74" s="4"/>
      <c r="I74" s="4"/>
      <c r="J74" s="4"/>
      <c r="K74" s="4"/>
      <c r="L74" s="4"/>
      <c r="M74" s="4"/>
      <c r="N74" s="4"/>
      <c r="O74" s="4"/>
      <c r="P74" s="4"/>
      <c r="Q74" s="4"/>
      <c r="R74" s="4"/>
      <c r="S74" s="4"/>
      <c r="T74" s="99"/>
      <c r="U74" s="4"/>
      <c r="V74" s="4"/>
      <c r="W74" s="4"/>
      <c r="X74" s="4"/>
      <c r="Y74" s="4"/>
      <c r="Z74" s="4"/>
      <c r="AA74" s="4"/>
      <c r="AB74" s="4"/>
    </row>
    <row r="75" spans="1:28" ht="14.25" customHeight="1">
      <c r="A75" s="147"/>
      <c r="B75" s="4"/>
      <c r="C75" s="99"/>
      <c r="D75" s="4"/>
      <c r="E75" s="4"/>
      <c r="F75" s="4"/>
      <c r="G75" s="4"/>
      <c r="H75" s="4"/>
      <c r="I75" s="4"/>
      <c r="J75" s="4"/>
      <c r="K75" s="4"/>
      <c r="L75" s="4"/>
      <c r="M75" s="4"/>
      <c r="N75" s="4"/>
      <c r="O75" s="4"/>
      <c r="P75" s="4"/>
      <c r="Q75" s="4"/>
      <c r="R75" s="4"/>
      <c r="S75" s="4"/>
      <c r="T75" s="99"/>
      <c r="U75" s="4"/>
      <c r="V75" s="4"/>
      <c r="W75" s="4"/>
      <c r="X75" s="4"/>
      <c r="Y75" s="4"/>
      <c r="Z75" s="4"/>
      <c r="AA75" s="4"/>
      <c r="AB75" s="4"/>
    </row>
    <row r="76" spans="1:28" ht="14.25" customHeight="1">
      <c r="A76" s="147"/>
      <c r="B76" s="4"/>
      <c r="C76" s="99"/>
      <c r="D76" s="4"/>
      <c r="E76" s="4"/>
      <c r="F76" s="4"/>
      <c r="G76" s="4"/>
      <c r="H76" s="4"/>
      <c r="I76" s="4"/>
      <c r="J76" s="4"/>
      <c r="K76" s="4"/>
      <c r="L76" s="4"/>
      <c r="M76" s="4"/>
      <c r="N76" s="4"/>
      <c r="O76" s="4"/>
      <c r="P76" s="4"/>
      <c r="Q76" s="4"/>
      <c r="R76" s="4"/>
      <c r="S76" s="4"/>
      <c r="T76" s="99"/>
      <c r="U76" s="4"/>
      <c r="V76" s="4"/>
      <c r="W76" s="4"/>
      <c r="X76" s="4"/>
      <c r="Y76" s="4"/>
      <c r="Z76" s="4"/>
      <c r="AA76" s="4"/>
      <c r="AB76" s="4"/>
    </row>
    <row r="77" spans="1:28" ht="14.25" customHeight="1">
      <c r="A77" s="147"/>
      <c r="B77" s="4"/>
      <c r="C77" s="99"/>
      <c r="D77" s="4"/>
      <c r="E77" s="4"/>
      <c r="F77" s="4"/>
      <c r="G77" s="4"/>
      <c r="H77" s="4"/>
      <c r="I77" s="4"/>
      <c r="J77" s="4"/>
      <c r="K77" s="4"/>
      <c r="L77" s="4"/>
      <c r="M77" s="4"/>
      <c r="N77" s="4"/>
      <c r="O77" s="4"/>
      <c r="P77" s="4"/>
      <c r="Q77" s="4"/>
      <c r="R77" s="4"/>
      <c r="S77" s="4"/>
      <c r="T77" s="99"/>
      <c r="U77" s="4"/>
      <c r="V77" s="4"/>
      <c r="W77" s="4"/>
      <c r="X77" s="4"/>
      <c r="Y77" s="4"/>
      <c r="Z77" s="4"/>
      <c r="AA77" s="4"/>
      <c r="AB77" s="4"/>
    </row>
    <row r="78" spans="1:28" ht="14.25" customHeight="1">
      <c r="A78" s="147"/>
      <c r="B78" s="4"/>
      <c r="C78" s="99"/>
      <c r="D78" s="4"/>
      <c r="E78" s="4"/>
      <c r="F78" s="4"/>
      <c r="G78" s="4"/>
      <c r="H78" s="4"/>
      <c r="I78" s="4"/>
      <c r="J78" s="4"/>
      <c r="K78" s="4"/>
      <c r="L78" s="4"/>
      <c r="M78" s="4"/>
      <c r="N78" s="4"/>
      <c r="O78" s="4"/>
      <c r="P78" s="4"/>
      <c r="Q78" s="4"/>
      <c r="R78" s="4"/>
      <c r="S78" s="4"/>
      <c r="T78" s="99"/>
      <c r="U78" s="4"/>
      <c r="V78" s="4"/>
      <c r="W78" s="4"/>
      <c r="X78" s="4"/>
      <c r="Y78" s="4"/>
      <c r="Z78" s="4"/>
      <c r="AA78" s="4"/>
      <c r="AB78" s="4"/>
    </row>
    <row r="79" spans="1:28" ht="14.25" customHeight="1">
      <c r="A79" s="147"/>
      <c r="B79" s="4"/>
      <c r="C79" s="99"/>
      <c r="D79" s="4"/>
      <c r="E79" s="4"/>
      <c r="F79" s="4"/>
      <c r="G79" s="4"/>
      <c r="H79" s="4"/>
      <c r="I79" s="4"/>
      <c r="J79" s="4"/>
      <c r="K79" s="4"/>
      <c r="L79" s="4"/>
      <c r="M79" s="4"/>
      <c r="N79" s="4"/>
      <c r="O79" s="4"/>
      <c r="P79" s="4"/>
      <c r="Q79" s="4"/>
      <c r="R79" s="4"/>
      <c r="S79" s="4"/>
      <c r="T79" s="99"/>
      <c r="U79" s="4"/>
      <c r="V79" s="4"/>
      <c r="W79" s="4"/>
      <c r="X79" s="4"/>
      <c r="Y79" s="4"/>
      <c r="Z79" s="4"/>
      <c r="AA79" s="4"/>
      <c r="AB79" s="4"/>
    </row>
    <row r="80" spans="1:28" ht="14.25" customHeight="1">
      <c r="A80" s="147"/>
      <c r="B80" s="4"/>
      <c r="C80" s="99"/>
      <c r="D80" s="4"/>
      <c r="E80" s="4"/>
      <c r="F80" s="4"/>
      <c r="G80" s="4"/>
      <c r="H80" s="4"/>
      <c r="I80" s="4"/>
      <c r="J80" s="4"/>
      <c r="K80" s="4"/>
      <c r="L80" s="4"/>
      <c r="M80" s="4"/>
      <c r="N80" s="4"/>
      <c r="O80" s="4"/>
      <c r="P80" s="4"/>
      <c r="Q80" s="4"/>
      <c r="R80" s="4"/>
      <c r="S80" s="4"/>
      <c r="T80" s="99"/>
      <c r="U80" s="4"/>
      <c r="V80" s="4"/>
      <c r="W80" s="4"/>
      <c r="X80" s="4"/>
      <c r="Y80" s="4"/>
      <c r="Z80" s="4"/>
      <c r="AA80" s="4"/>
      <c r="AB80" s="4"/>
    </row>
    <row r="81" spans="1:28" ht="14.25" customHeight="1">
      <c r="A81" s="147"/>
      <c r="B81" s="4"/>
      <c r="C81" s="99"/>
      <c r="D81" s="4"/>
      <c r="E81" s="4"/>
      <c r="F81" s="4"/>
      <c r="G81" s="4"/>
      <c r="H81" s="4"/>
      <c r="I81" s="4"/>
      <c r="J81" s="4"/>
      <c r="K81" s="4"/>
      <c r="L81" s="4"/>
      <c r="M81" s="4"/>
      <c r="N81" s="4"/>
      <c r="O81" s="4"/>
      <c r="P81" s="4"/>
      <c r="Q81" s="4"/>
      <c r="R81" s="4"/>
      <c r="S81" s="4"/>
      <c r="T81" s="99"/>
      <c r="U81" s="4"/>
      <c r="V81" s="4"/>
      <c r="W81" s="4"/>
      <c r="X81" s="4"/>
      <c r="Y81" s="4"/>
      <c r="Z81" s="4"/>
      <c r="AA81" s="4"/>
      <c r="AB81" s="4"/>
    </row>
    <row r="82" spans="1:28" ht="14.25" customHeight="1">
      <c r="A82" s="147"/>
      <c r="B82" s="4"/>
      <c r="C82" s="99"/>
      <c r="D82" s="4"/>
      <c r="E82" s="4"/>
      <c r="F82" s="4"/>
      <c r="G82" s="4"/>
      <c r="H82" s="4"/>
      <c r="I82" s="4"/>
      <c r="J82" s="4"/>
      <c r="K82" s="4"/>
      <c r="L82" s="4"/>
      <c r="M82" s="4"/>
      <c r="N82" s="4"/>
      <c r="O82" s="4"/>
      <c r="P82" s="4"/>
      <c r="Q82" s="4"/>
      <c r="R82" s="4"/>
      <c r="S82" s="4"/>
      <c r="T82" s="99"/>
      <c r="U82" s="4"/>
      <c r="V82" s="4"/>
      <c r="W82" s="4"/>
      <c r="X82" s="4"/>
      <c r="Y82" s="4"/>
      <c r="Z82" s="4"/>
      <c r="AA82" s="4"/>
      <c r="AB82" s="4"/>
    </row>
    <row r="83" spans="1:28" ht="14.25" customHeight="1">
      <c r="A83" s="147"/>
      <c r="B83" s="4"/>
      <c r="C83" s="99"/>
      <c r="D83" s="4"/>
      <c r="E83" s="4"/>
      <c r="F83" s="4"/>
      <c r="G83" s="4"/>
      <c r="H83" s="4"/>
      <c r="I83" s="4"/>
      <c r="J83" s="4"/>
      <c r="K83" s="4"/>
      <c r="L83" s="4"/>
      <c r="M83" s="4"/>
      <c r="N83" s="4"/>
      <c r="O83" s="4"/>
      <c r="P83" s="4"/>
      <c r="Q83" s="4"/>
      <c r="R83" s="4"/>
      <c r="S83" s="4"/>
      <c r="T83" s="99"/>
      <c r="U83" s="4"/>
      <c r="V83" s="4"/>
      <c r="W83" s="4"/>
      <c r="X83" s="4"/>
      <c r="Y83" s="4"/>
      <c r="Z83" s="4"/>
      <c r="AA83" s="4"/>
      <c r="AB83" s="4"/>
    </row>
    <row r="84" spans="1:28" ht="14.25" customHeight="1">
      <c r="A84" s="147"/>
      <c r="B84" s="4"/>
      <c r="C84" s="99"/>
      <c r="D84" s="4"/>
      <c r="E84" s="4"/>
      <c r="F84" s="4"/>
      <c r="G84" s="4"/>
      <c r="H84" s="4"/>
      <c r="I84" s="4"/>
      <c r="J84" s="4"/>
      <c r="K84" s="4"/>
      <c r="L84" s="4"/>
      <c r="M84" s="4"/>
      <c r="N84" s="4"/>
      <c r="O84" s="4"/>
      <c r="P84" s="4"/>
      <c r="Q84" s="4"/>
      <c r="R84" s="4"/>
      <c r="S84" s="4"/>
      <c r="T84" s="99"/>
      <c r="U84" s="4"/>
      <c r="V84" s="4"/>
      <c r="W84" s="4"/>
      <c r="X84" s="4"/>
      <c r="Y84" s="4"/>
      <c r="Z84" s="4"/>
      <c r="AA84" s="4"/>
      <c r="AB84" s="4"/>
    </row>
    <row r="85" spans="1:28" ht="14.25" customHeight="1">
      <c r="A85" s="147"/>
      <c r="B85" s="4"/>
      <c r="C85" s="99"/>
      <c r="D85" s="4"/>
      <c r="E85" s="4"/>
      <c r="F85" s="4"/>
      <c r="G85" s="4"/>
      <c r="H85" s="4"/>
      <c r="I85" s="4"/>
      <c r="J85" s="4"/>
      <c r="K85" s="4"/>
      <c r="L85" s="4"/>
      <c r="M85" s="4"/>
      <c r="N85" s="4"/>
      <c r="O85" s="4"/>
      <c r="P85" s="4"/>
      <c r="Q85" s="4"/>
      <c r="R85" s="4"/>
      <c r="S85" s="4"/>
      <c r="T85" s="99"/>
      <c r="U85" s="4"/>
      <c r="V85" s="4"/>
      <c r="W85" s="4"/>
      <c r="X85" s="4"/>
      <c r="Y85" s="4"/>
      <c r="Z85" s="4"/>
      <c r="AA85" s="4"/>
      <c r="AB85" s="4"/>
    </row>
    <row r="86" spans="1:28" ht="14.25" customHeight="1">
      <c r="A86" s="147"/>
      <c r="B86" s="4"/>
      <c r="C86" s="99"/>
      <c r="D86" s="4"/>
      <c r="E86" s="4"/>
      <c r="F86" s="4"/>
      <c r="G86" s="4"/>
      <c r="H86" s="4"/>
      <c r="I86" s="4"/>
      <c r="J86" s="4"/>
      <c r="K86" s="4"/>
      <c r="L86" s="4"/>
      <c r="M86" s="4"/>
      <c r="N86" s="4"/>
      <c r="O86" s="4"/>
      <c r="P86" s="4"/>
      <c r="Q86" s="4"/>
      <c r="R86" s="4"/>
      <c r="S86" s="4"/>
      <c r="T86" s="99"/>
      <c r="U86" s="4"/>
      <c r="V86" s="4"/>
      <c r="W86" s="4"/>
      <c r="X86" s="4"/>
      <c r="Y86" s="4"/>
      <c r="Z86" s="4"/>
      <c r="AA86" s="4"/>
      <c r="AB86" s="4"/>
    </row>
    <row r="87" spans="1:28" ht="14.25" customHeight="1">
      <c r="A87" s="147"/>
      <c r="B87" s="4"/>
      <c r="C87" s="99"/>
      <c r="D87" s="4"/>
      <c r="E87" s="4"/>
      <c r="F87" s="4"/>
      <c r="G87" s="4"/>
      <c r="H87" s="4"/>
      <c r="I87" s="4"/>
      <c r="J87" s="4"/>
      <c r="K87" s="4"/>
      <c r="L87" s="4"/>
      <c r="M87" s="4"/>
      <c r="N87" s="4"/>
      <c r="O87" s="4"/>
      <c r="P87" s="4"/>
      <c r="Q87" s="4"/>
      <c r="R87" s="4"/>
      <c r="S87" s="4"/>
      <c r="T87" s="99"/>
      <c r="U87" s="4"/>
      <c r="V87" s="4"/>
      <c r="W87" s="4"/>
      <c r="X87" s="4"/>
      <c r="Y87" s="4"/>
      <c r="Z87" s="4"/>
      <c r="AA87" s="4"/>
      <c r="AB87" s="4"/>
    </row>
    <row r="88" spans="1:28" ht="14.25" customHeight="1">
      <c r="A88" s="147"/>
      <c r="B88" s="4"/>
      <c r="C88" s="99"/>
      <c r="D88" s="4"/>
      <c r="E88" s="4"/>
      <c r="F88" s="4"/>
      <c r="G88" s="4"/>
      <c r="H88" s="4"/>
      <c r="I88" s="4"/>
      <c r="J88" s="4"/>
      <c r="K88" s="4"/>
      <c r="L88" s="4"/>
      <c r="M88" s="4"/>
      <c r="N88" s="4"/>
      <c r="O88" s="4"/>
      <c r="P88" s="4"/>
      <c r="Q88" s="4"/>
      <c r="R88" s="4"/>
      <c r="S88" s="4"/>
      <c r="T88" s="99"/>
      <c r="U88" s="4"/>
      <c r="V88" s="4"/>
      <c r="W88" s="4"/>
      <c r="X88" s="4"/>
      <c r="Y88" s="4"/>
      <c r="Z88" s="4"/>
      <c r="AA88" s="4"/>
      <c r="AB88" s="4"/>
    </row>
    <row r="89" spans="1:28" ht="14.25" customHeight="1">
      <c r="A89" s="147"/>
      <c r="B89" s="4"/>
      <c r="C89" s="99"/>
      <c r="D89" s="4"/>
      <c r="E89" s="4"/>
      <c r="F89" s="4"/>
      <c r="G89" s="4"/>
      <c r="H89" s="4"/>
      <c r="I89" s="4"/>
      <c r="J89" s="4"/>
      <c r="K89" s="4"/>
      <c r="L89" s="4"/>
      <c r="M89" s="4"/>
      <c r="N89" s="4"/>
      <c r="O89" s="4"/>
      <c r="P89" s="4"/>
      <c r="Q89" s="4"/>
      <c r="R89" s="4"/>
      <c r="S89" s="4"/>
      <c r="T89" s="99"/>
      <c r="U89" s="4"/>
      <c r="V89" s="4"/>
      <c r="W89" s="4"/>
      <c r="X89" s="4"/>
      <c r="Y89" s="4"/>
      <c r="Z89" s="4"/>
      <c r="AA89" s="4"/>
      <c r="AB89" s="4"/>
    </row>
    <row r="90" spans="1:28" ht="14.25" customHeight="1">
      <c r="A90" s="147"/>
      <c r="B90" s="4"/>
      <c r="C90" s="99"/>
      <c r="D90" s="4"/>
      <c r="E90" s="4"/>
      <c r="F90" s="4"/>
      <c r="G90" s="4"/>
      <c r="H90" s="4"/>
      <c r="I90" s="4"/>
      <c r="J90" s="4"/>
      <c r="K90" s="4"/>
      <c r="L90" s="4"/>
      <c r="M90" s="4"/>
      <c r="N90" s="4"/>
      <c r="O90" s="4"/>
      <c r="P90" s="4"/>
      <c r="Q90" s="4"/>
      <c r="R90" s="4"/>
      <c r="S90" s="4"/>
      <c r="T90" s="99"/>
      <c r="U90" s="4"/>
      <c r="V90" s="4"/>
      <c r="W90" s="4"/>
      <c r="X90" s="4"/>
      <c r="Y90" s="4"/>
      <c r="Z90" s="4"/>
      <c r="AA90" s="4"/>
      <c r="AB90" s="4"/>
    </row>
    <row r="91" spans="1:28" ht="14.25" customHeight="1">
      <c r="A91" s="147"/>
      <c r="B91" s="4"/>
      <c r="C91" s="99"/>
      <c r="D91" s="4"/>
      <c r="E91" s="4"/>
      <c r="F91" s="4"/>
      <c r="G91" s="4"/>
      <c r="H91" s="4"/>
      <c r="I91" s="4"/>
      <c r="J91" s="4"/>
      <c r="K91" s="4"/>
      <c r="L91" s="4"/>
      <c r="M91" s="4"/>
      <c r="N91" s="4"/>
      <c r="O91" s="4"/>
      <c r="P91" s="4"/>
      <c r="Q91" s="4"/>
      <c r="R91" s="4"/>
      <c r="S91" s="4"/>
      <c r="T91" s="99"/>
      <c r="U91" s="4"/>
      <c r="V91" s="4"/>
      <c r="W91" s="4"/>
      <c r="X91" s="4"/>
      <c r="Y91" s="4"/>
      <c r="Z91" s="4"/>
      <c r="AA91" s="4"/>
      <c r="AB91" s="4"/>
    </row>
    <row r="92" spans="1:28" ht="14.25" customHeight="1">
      <c r="A92" s="147"/>
      <c r="B92" s="4"/>
      <c r="C92" s="99"/>
      <c r="D92" s="4"/>
      <c r="E92" s="4"/>
      <c r="F92" s="4"/>
      <c r="G92" s="4"/>
      <c r="H92" s="4"/>
      <c r="I92" s="4"/>
      <c r="J92" s="4"/>
      <c r="K92" s="4"/>
      <c r="L92" s="4"/>
      <c r="M92" s="4"/>
      <c r="N92" s="4"/>
      <c r="O92" s="4"/>
      <c r="P92" s="4"/>
      <c r="Q92" s="4"/>
      <c r="R92" s="4"/>
      <c r="S92" s="4"/>
      <c r="T92" s="99"/>
      <c r="U92" s="4"/>
      <c r="V92" s="4"/>
      <c r="W92" s="4"/>
      <c r="X92" s="4"/>
      <c r="Y92" s="4"/>
      <c r="Z92" s="4"/>
      <c r="AA92" s="4"/>
      <c r="AB92" s="4"/>
    </row>
    <row r="93" spans="1:28" ht="14.25" customHeight="1">
      <c r="A93" s="147"/>
      <c r="B93" s="4"/>
      <c r="C93" s="99"/>
      <c r="D93" s="4"/>
      <c r="E93" s="4"/>
      <c r="F93" s="4"/>
      <c r="G93" s="4"/>
      <c r="H93" s="4"/>
      <c r="I93" s="4"/>
      <c r="J93" s="4"/>
      <c r="K93" s="4"/>
      <c r="L93" s="4"/>
      <c r="M93" s="4"/>
      <c r="N93" s="4"/>
      <c r="O93" s="4"/>
      <c r="P93" s="4"/>
      <c r="Q93" s="4"/>
      <c r="R93" s="4"/>
      <c r="S93" s="4"/>
      <c r="T93" s="99"/>
      <c r="U93" s="4"/>
      <c r="V93" s="4"/>
      <c r="W93" s="4"/>
      <c r="X93" s="4"/>
      <c r="Y93" s="4"/>
      <c r="Z93" s="4"/>
      <c r="AA93" s="4"/>
      <c r="AB93" s="4"/>
    </row>
    <row r="94" spans="1:28" ht="14.25" customHeight="1">
      <c r="A94" s="147"/>
      <c r="B94" s="4"/>
      <c r="C94" s="99"/>
      <c r="D94" s="4"/>
      <c r="E94" s="4"/>
      <c r="F94" s="4"/>
      <c r="G94" s="4"/>
      <c r="H94" s="4"/>
      <c r="I94" s="4"/>
      <c r="J94" s="4"/>
      <c r="K94" s="4"/>
      <c r="L94" s="4"/>
      <c r="M94" s="4"/>
      <c r="N94" s="4"/>
      <c r="O94" s="4"/>
      <c r="P94" s="4"/>
      <c r="Q94" s="4"/>
      <c r="R94" s="4"/>
      <c r="S94" s="4"/>
      <c r="T94" s="99"/>
      <c r="U94" s="4"/>
      <c r="V94" s="4"/>
      <c r="W94" s="4"/>
      <c r="X94" s="4"/>
      <c r="Y94" s="4"/>
      <c r="Z94" s="4"/>
      <c r="AA94" s="4"/>
      <c r="AB94" s="4"/>
    </row>
    <row r="95" spans="1:28" ht="14.25" customHeight="1">
      <c r="A95" s="147"/>
      <c r="B95" s="4"/>
      <c r="C95" s="99"/>
      <c r="D95" s="4"/>
      <c r="E95" s="4"/>
      <c r="F95" s="4"/>
      <c r="G95" s="4"/>
      <c r="H95" s="4"/>
      <c r="I95" s="4"/>
      <c r="J95" s="4"/>
      <c r="K95" s="4"/>
      <c r="L95" s="4"/>
      <c r="M95" s="4"/>
      <c r="N95" s="4"/>
      <c r="O95" s="4"/>
      <c r="P95" s="4"/>
      <c r="Q95" s="4"/>
      <c r="R95" s="4"/>
      <c r="S95" s="4"/>
      <c r="T95" s="99"/>
      <c r="U95" s="4"/>
      <c r="V95" s="4"/>
      <c r="W95" s="4"/>
      <c r="X95" s="4"/>
      <c r="Y95" s="4"/>
      <c r="Z95" s="4"/>
      <c r="AA95" s="4"/>
      <c r="AB95" s="4"/>
    </row>
    <row r="96" spans="1:28" ht="14.25" customHeight="1">
      <c r="A96" s="147"/>
      <c r="B96" s="4"/>
      <c r="C96" s="99"/>
      <c r="D96" s="4"/>
      <c r="E96" s="4"/>
      <c r="F96" s="4"/>
      <c r="G96" s="4"/>
      <c r="H96" s="4"/>
      <c r="I96" s="4"/>
      <c r="J96" s="4"/>
      <c r="K96" s="4"/>
      <c r="L96" s="4"/>
      <c r="M96" s="4"/>
      <c r="N96" s="4"/>
      <c r="O96" s="4"/>
      <c r="P96" s="4"/>
      <c r="Q96" s="4"/>
      <c r="R96" s="4"/>
      <c r="S96" s="4"/>
      <c r="T96" s="99"/>
      <c r="U96" s="4"/>
      <c r="V96" s="4"/>
      <c r="W96" s="4"/>
      <c r="X96" s="4"/>
      <c r="Y96" s="4"/>
      <c r="Z96" s="4"/>
      <c r="AA96" s="4"/>
      <c r="AB96" s="4"/>
    </row>
    <row r="97" spans="1:28" ht="14.25" customHeight="1">
      <c r="A97" s="147"/>
      <c r="B97" s="4"/>
      <c r="C97" s="4"/>
      <c r="D97" s="4"/>
      <c r="E97" s="4"/>
      <c r="F97" s="4"/>
      <c r="G97" s="4"/>
      <c r="H97" s="4"/>
      <c r="I97" s="4"/>
      <c r="J97" s="4"/>
      <c r="K97" s="4"/>
      <c r="L97" s="4"/>
      <c r="M97" s="4"/>
      <c r="N97" s="4"/>
      <c r="O97" s="4"/>
      <c r="P97" s="4"/>
      <c r="Q97" s="4"/>
      <c r="R97" s="4"/>
      <c r="S97" s="4"/>
      <c r="T97" s="99"/>
      <c r="U97" s="4"/>
      <c r="V97" s="4"/>
      <c r="W97" s="4"/>
      <c r="X97" s="4"/>
      <c r="Y97" s="4"/>
      <c r="Z97" s="4"/>
      <c r="AA97" s="4"/>
      <c r="AB97" s="4"/>
    </row>
    <row r="98" spans="1:28" ht="14.25" customHeight="1">
      <c r="A98" s="147"/>
      <c r="B98" s="4"/>
      <c r="C98" s="4"/>
      <c r="D98" s="4"/>
      <c r="E98" s="4"/>
      <c r="F98" s="4"/>
      <c r="G98" s="4"/>
      <c r="H98" s="4"/>
      <c r="I98" s="4"/>
      <c r="J98" s="4"/>
      <c r="K98" s="4"/>
      <c r="L98" s="4"/>
      <c r="M98" s="4"/>
      <c r="N98" s="4"/>
      <c r="O98" s="4"/>
      <c r="P98" s="4"/>
      <c r="Q98" s="4"/>
      <c r="R98" s="4"/>
      <c r="S98" s="4"/>
      <c r="T98" s="99"/>
      <c r="U98" s="4"/>
      <c r="V98" s="4"/>
      <c r="W98" s="4"/>
      <c r="X98" s="4"/>
      <c r="Y98" s="4"/>
      <c r="Z98" s="4"/>
      <c r="AA98" s="4"/>
      <c r="AB98" s="4"/>
    </row>
    <row r="99" spans="1:28" ht="14.25" customHeight="1">
      <c r="A99" s="147"/>
      <c r="B99" s="4"/>
      <c r="C99" s="148"/>
      <c r="D99" s="4"/>
      <c r="E99" s="4"/>
      <c r="F99" s="4"/>
      <c r="G99" s="4"/>
      <c r="H99" s="4"/>
      <c r="I99" s="4"/>
      <c r="J99" s="4"/>
      <c r="K99" s="4"/>
      <c r="L99" s="4"/>
      <c r="M99" s="4"/>
      <c r="N99" s="4"/>
      <c r="O99" s="4"/>
      <c r="P99" s="4"/>
      <c r="Q99" s="4"/>
      <c r="R99" s="4"/>
      <c r="S99" s="4"/>
      <c r="T99" s="99"/>
      <c r="U99" s="4"/>
      <c r="V99" s="4"/>
      <c r="W99" s="4"/>
      <c r="X99" s="4"/>
      <c r="Y99" s="4"/>
      <c r="Z99" s="4"/>
      <c r="AA99" s="4"/>
      <c r="AB99" s="4"/>
    </row>
    <row r="100" spans="1:28" ht="14.25" customHeight="1">
      <c r="A100" s="147"/>
      <c r="B100" s="4"/>
      <c r="C100" s="4"/>
      <c r="D100" s="4"/>
      <c r="E100" s="4"/>
      <c r="F100" s="4"/>
      <c r="G100" s="4"/>
      <c r="H100" s="4"/>
      <c r="I100" s="4"/>
      <c r="J100" s="4"/>
      <c r="K100" s="4"/>
      <c r="L100" s="4"/>
      <c r="M100" s="4"/>
      <c r="N100" s="4"/>
      <c r="O100" s="4"/>
      <c r="P100" s="4"/>
      <c r="Q100" s="4"/>
      <c r="R100" s="4"/>
      <c r="S100" s="4"/>
      <c r="T100" s="99"/>
      <c r="U100" s="4"/>
      <c r="V100" s="4"/>
      <c r="W100" s="4"/>
      <c r="X100" s="4"/>
      <c r="Y100" s="4"/>
      <c r="Z100" s="4"/>
      <c r="AA100" s="4"/>
      <c r="AB100" s="4"/>
    </row>
    <row r="101" spans="1:28" ht="14.25" customHeight="1">
      <c r="A101" s="147"/>
      <c r="B101" s="4"/>
      <c r="C101" s="4"/>
      <c r="D101" s="4"/>
      <c r="E101" s="4"/>
      <c r="F101" s="4"/>
      <c r="G101" s="4"/>
      <c r="H101" s="4"/>
      <c r="I101" s="4"/>
      <c r="J101" s="4"/>
      <c r="K101" s="4"/>
      <c r="L101" s="4"/>
      <c r="M101" s="4"/>
      <c r="N101" s="4"/>
      <c r="O101" s="4"/>
      <c r="P101" s="4"/>
      <c r="Q101" s="4"/>
      <c r="R101" s="4"/>
      <c r="S101" s="4"/>
      <c r="T101" s="99"/>
      <c r="U101" s="4"/>
      <c r="V101" s="4"/>
      <c r="W101" s="4"/>
      <c r="X101" s="4"/>
      <c r="Y101" s="4"/>
      <c r="Z101" s="4"/>
      <c r="AA101" s="4"/>
      <c r="AB101" s="4"/>
    </row>
    <row r="102" spans="1:28" ht="14.25" customHeight="1">
      <c r="A102" s="147"/>
      <c r="B102" s="4"/>
      <c r="C102" s="4"/>
      <c r="D102" s="4"/>
      <c r="E102" s="4"/>
      <c r="F102" s="4"/>
      <c r="G102" s="4"/>
      <c r="H102" s="4"/>
      <c r="I102" s="4"/>
      <c r="J102" s="4"/>
      <c r="K102" s="4"/>
      <c r="L102" s="4"/>
      <c r="M102" s="4"/>
      <c r="N102" s="4"/>
      <c r="O102" s="4"/>
      <c r="P102" s="4"/>
      <c r="Q102" s="4"/>
      <c r="R102" s="4"/>
      <c r="S102" s="4"/>
      <c r="T102" s="99"/>
      <c r="U102" s="4"/>
      <c r="V102" s="4"/>
      <c r="W102" s="4"/>
      <c r="X102" s="4"/>
      <c r="Y102" s="4"/>
      <c r="Z102" s="4"/>
      <c r="AA102" s="4"/>
      <c r="AB102" s="4"/>
    </row>
    <row r="103" spans="1:28" ht="14.25" customHeight="1">
      <c r="A103" s="147"/>
      <c r="B103" s="4"/>
      <c r="C103" s="4"/>
      <c r="D103" s="4"/>
      <c r="E103" s="4"/>
      <c r="F103" s="4"/>
      <c r="G103" s="4"/>
      <c r="H103" s="4"/>
      <c r="I103" s="4"/>
      <c r="J103" s="4"/>
      <c r="K103" s="4"/>
      <c r="L103" s="4"/>
      <c r="M103" s="4"/>
      <c r="N103" s="4"/>
      <c r="O103" s="4"/>
      <c r="P103" s="4"/>
      <c r="Q103" s="4"/>
      <c r="R103" s="4"/>
      <c r="S103" s="4"/>
      <c r="T103" s="99"/>
      <c r="U103" s="4"/>
      <c r="V103" s="4"/>
      <c r="W103" s="4"/>
      <c r="X103" s="4"/>
      <c r="Y103" s="4"/>
      <c r="Z103" s="4"/>
      <c r="AA103" s="4"/>
      <c r="AB103" s="4"/>
    </row>
    <row r="104" spans="1:28" ht="14.25" customHeight="1">
      <c r="A104" s="147"/>
      <c r="B104" s="4"/>
      <c r="C104" s="4"/>
      <c r="D104" s="4"/>
      <c r="E104" s="4"/>
      <c r="F104" s="4"/>
      <c r="G104" s="4"/>
      <c r="H104" s="4"/>
      <c r="I104" s="4"/>
      <c r="J104" s="4"/>
      <c r="K104" s="4"/>
      <c r="L104" s="4"/>
      <c r="M104" s="4"/>
      <c r="N104" s="4"/>
      <c r="O104" s="4"/>
      <c r="P104" s="4"/>
      <c r="Q104" s="4"/>
      <c r="R104" s="4"/>
      <c r="S104" s="4"/>
      <c r="T104" s="99"/>
      <c r="U104" s="4"/>
      <c r="V104" s="4"/>
      <c r="W104" s="4"/>
      <c r="X104" s="4"/>
      <c r="Y104" s="4"/>
      <c r="Z104" s="4"/>
      <c r="AA104" s="4"/>
      <c r="AB104" s="4"/>
    </row>
    <row r="105" spans="1:28" ht="14.25" customHeight="1">
      <c r="A105" s="147"/>
      <c r="B105" s="4"/>
      <c r="C105" s="4"/>
      <c r="D105" s="4"/>
      <c r="E105" s="4"/>
      <c r="F105" s="4"/>
      <c r="G105" s="4"/>
      <c r="H105" s="4"/>
      <c r="I105" s="4"/>
      <c r="J105" s="4"/>
      <c r="K105" s="4"/>
      <c r="L105" s="4"/>
      <c r="M105" s="4"/>
      <c r="N105" s="4"/>
      <c r="O105" s="4"/>
      <c r="P105" s="4"/>
      <c r="Q105" s="4"/>
      <c r="R105" s="4"/>
      <c r="S105" s="4"/>
      <c r="T105" s="99"/>
      <c r="U105" s="4"/>
      <c r="V105" s="4"/>
      <c r="W105" s="4"/>
      <c r="X105" s="4"/>
      <c r="Y105" s="4"/>
      <c r="Z105" s="4"/>
      <c r="AA105" s="4"/>
      <c r="AB105" s="4"/>
    </row>
    <row r="106" spans="1:28" ht="14.25" customHeight="1">
      <c r="A106" s="147"/>
      <c r="B106" s="4"/>
      <c r="C106" s="4"/>
      <c r="D106" s="4"/>
      <c r="E106" s="4"/>
      <c r="F106" s="4"/>
      <c r="G106" s="4"/>
      <c r="H106" s="4"/>
      <c r="I106" s="4"/>
      <c r="J106" s="4"/>
      <c r="K106" s="4"/>
      <c r="L106" s="4"/>
      <c r="M106" s="4"/>
      <c r="N106" s="4"/>
      <c r="O106" s="4"/>
      <c r="P106" s="4"/>
      <c r="Q106" s="4"/>
      <c r="R106" s="4"/>
      <c r="S106" s="4"/>
      <c r="T106" s="99"/>
      <c r="U106" s="4"/>
      <c r="V106" s="4"/>
      <c r="W106" s="4"/>
      <c r="X106" s="4"/>
      <c r="Y106" s="4"/>
      <c r="Z106" s="4"/>
      <c r="AA106" s="4"/>
      <c r="AB106" s="4"/>
    </row>
    <row r="107" spans="1:28" ht="14.25" customHeight="1">
      <c r="A107" s="147"/>
      <c r="B107" s="4"/>
      <c r="C107" s="4"/>
      <c r="D107" s="4"/>
      <c r="E107" s="4"/>
      <c r="F107" s="4"/>
      <c r="G107" s="4"/>
      <c r="H107" s="4"/>
      <c r="I107" s="4"/>
      <c r="J107" s="4"/>
      <c r="K107" s="4"/>
      <c r="L107" s="4"/>
      <c r="M107" s="4"/>
      <c r="N107" s="4"/>
      <c r="O107" s="4"/>
      <c r="P107" s="4"/>
      <c r="Q107" s="4"/>
      <c r="R107" s="4"/>
      <c r="S107" s="4"/>
      <c r="T107" s="99"/>
      <c r="U107" s="4"/>
      <c r="V107" s="4"/>
      <c r="W107" s="4"/>
      <c r="X107" s="4"/>
      <c r="Y107" s="4"/>
      <c r="Z107" s="4"/>
      <c r="AA107" s="4"/>
      <c r="AB107" s="4"/>
    </row>
    <row r="108" spans="1:28" ht="14.25" customHeight="1">
      <c r="A108" s="147"/>
      <c r="B108" s="4"/>
      <c r="C108" s="4"/>
      <c r="D108" s="4"/>
      <c r="E108" s="4"/>
      <c r="F108" s="4"/>
      <c r="G108" s="4"/>
      <c r="H108" s="4"/>
      <c r="I108" s="4"/>
      <c r="J108" s="4"/>
      <c r="K108" s="4"/>
      <c r="L108" s="4"/>
      <c r="M108" s="4"/>
      <c r="N108" s="4"/>
      <c r="O108" s="4"/>
      <c r="P108" s="4"/>
      <c r="Q108" s="4"/>
      <c r="R108" s="4"/>
      <c r="S108" s="4"/>
      <c r="T108" s="99"/>
      <c r="U108" s="4"/>
      <c r="V108" s="4"/>
      <c r="W108" s="4"/>
      <c r="X108" s="4"/>
      <c r="Y108" s="4"/>
      <c r="Z108" s="4"/>
      <c r="AA108" s="4"/>
      <c r="AB108" s="4"/>
    </row>
    <row r="109" spans="1:28" ht="14.25" customHeight="1">
      <c r="A109" s="147"/>
      <c r="B109" s="4"/>
      <c r="C109" s="4"/>
      <c r="D109" s="4"/>
      <c r="E109" s="4"/>
      <c r="F109" s="4"/>
      <c r="G109" s="4"/>
      <c r="H109" s="4"/>
      <c r="I109" s="4"/>
      <c r="J109" s="4"/>
      <c r="K109" s="4"/>
      <c r="L109" s="4"/>
      <c r="M109" s="4"/>
      <c r="N109" s="4"/>
      <c r="O109" s="4"/>
      <c r="P109" s="4"/>
      <c r="Q109" s="4"/>
      <c r="R109" s="4"/>
      <c r="S109" s="4"/>
      <c r="T109" s="99"/>
      <c r="U109" s="4"/>
      <c r="V109" s="4"/>
      <c r="W109" s="4"/>
      <c r="X109" s="4"/>
      <c r="Y109" s="4"/>
      <c r="Z109" s="4"/>
      <c r="AA109" s="4"/>
      <c r="AB109" s="4"/>
    </row>
    <row r="110" spans="1:28" ht="14.25" customHeight="1">
      <c r="A110" s="147"/>
      <c r="B110" s="4"/>
      <c r="C110" s="4"/>
      <c r="D110" s="4"/>
      <c r="E110" s="4"/>
      <c r="F110" s="4"/>
      <c r="G110" s="4"/>
      <c r="H110" s="4"/>
      <c r="I110" s="4"/>
      <c r="J110" s="4"/>
      <c r="K110" s="4"/>
      <c r="L110" s="4"/>
      <c r="M110" s="4"/>
      <c r="N110" s="4"/>
      <c r="O110" s="4"/>
      <c r="P110" s="4"/>
      <c r="Q110" s="4"/>
      <c r="R110" s="4"/>
      <c r="S110" s="4"/>
      <c r="T110" s="99"/>
      <c r="U110" s="4"/>
      <c r="V110" s="4"/>
      <c r="W110" s="4"/>
      <c r="X110" s="4"/>
      <c r="Y110" s="4"/>
      <c r="Z110" s="4"/>
      <c r="AA110" s="4"/>
      <c r="AB110" s="4"/>
    </row>
    <row r="111" spans="1:28" ht="14.25" customHeight="1">
      <c r="A111" s="147"/>
      <c r="B111" s="4"/>
      <c r="C111" s="4"/>
      <c r="D111" s="4"/>
      <c r="E111" s="4"/>
      <c r="F111" s="4"/>
      <c r="G111" s="4"/>
      <c r="H111" s="4"/>
      <c r="I111" s="4"/>
      <c r="J111" s="4"/>
      <c r="K111" s="4"/>
      <c r="L111" s="4"/>
      <c r="M111" s="4"/>
      <c r="N111" s="4"/>
      <c r="O111" s="4"/>
      <c r="P111" s="4"/>
      <c r="Q111" s="4"/>
      <c r="R111" s="4"/>
      <c r="S111" s="4"/>
      <c r="T111" s="99"/>
      <c r="U111" s="4"/>
      <c r="V111" s="4"/>
      <c r="W111" s="4"/>
      <c r="X111" s="4"/>
      <c r="Y111" s="4"/>
      <c r="Z111" s="4"/>
      <c r="AA111" s="4"/>
      <c r="AB111" s="4"/>
    </row>
    <row r="112" spans="1:28" ht="14.25" customHeight="1">
      <c r="A112" s="147"/>
      <c r="B112" s="4"/>
      <c r="C112" s="4"/>
      <c r="D112" s="4"/>
      <c r="E112" s="4"/>
      <c r="F112" s="4"/>
      <c r="G112" s="4"/>
      <c r="H112" s="4"/>
      <c r="I112" s="4"/>
      <c r="J112" s="4"/>
      <c r="K112" s="4"/>
      <c r="L112" s="4"/>
      <c r="M112" s="4"/>
      <c r="N112" s="4"/>
      <c r="O112" s="4"/>
      <c r="P112" s="4"/>
      <c r="Q112" s="4"/>
      <c r="R112" s="4"/>
      <c r="S112" s="4"/>
      <c r="T112" s="99"/>
      <c r="U112" s="4"/>
      <c r="V112" s="4"/>
      <c r="W112" s="4"/>
      <c r="X112" s="4"/>
      <c r="Y112" s="4"/>
      <c r="Z112" s="4"/>
      <c r="AA112" s="4"/>
      <c r="AB112" s="4"/>
    </row>
    <row r="113" spans="1:28" ht="14.25" customHeight="1">
      <c r="A113" s="147"/>
      <c r="B113" s="4"/>
      <c r="C113" s="4"/>
      <c r="D113" s="4"/>
      <c r="E113" s="4"/>
      <c r="F113" s="4"/>
      <c r="G113" s="4"/>
      <c r="H113" s="4"/>
      <c r="I113" s="4"/>
      <c r="J113" s="4"/>
      <c r="K113" s="4"/>
      <c r="L113" s="4"/>
      <c r="M113" s="4"/>
      <c r="N113" s="4"/>
      <c r="O113" s="4"/>
      <c r="P113" s="4"/>
      <c r="Q113" s="4"/>
      <c r="R113" s="4"/>
      <c r="S113" s="4"/>
      <c r="T113" s="99"/>
      <c r="U113" s="4"/>
      <c r="V113" s="4"/>
      <c r="W113" s="4"/>
      <c r="X113" s="4"/>
      <c r="Y113" s="4"/>
      <c r="Z113" s="4"/>
      <c r="AA113" s="4"/>
      <c r="AB113" s="4"/>
    </row>
    <row r="114" spans="1:28" ht="14.25" customHeight="1">
      <c r="A114" s="147"/>
      <c r="B114" s="4"/>
      <c r="C114" s="4"/>
      <c r="D114" s="4"/>
      <c r="E114" s="4"/>
      <c r="F114" s="4"/>
      <c r="G114" s="4"/>
      <c r="H114" s="4"/>
      <c r="I114" s="4"/>
      <c r="J114" s="4"/>
      <c r="K114" s="4"/>
      <c r="L114" s="4"/>
      <c r="M114" s="4"/>
      <c r="N114" s="4"/>
      <c r="O114" s="4"/>
      <c r="P114" s="4"/>
      <c r="Q114" s="4"/>
      <c r="R114" s="4"/>
      <c r="S114" s="4"/>
      <c r="T114" s="99"/>
      <c r="U114" s="4"/>
      <c r="V114" s="4"/>
      <c r="W114" s="4"/>
      <c r="X114" s="4"/>
      <c r="Y114" s="4"/>
      <c r="Z114" s="4"/>
      <c r="AA114" s="4"/>
      <c r="AB114" s="4"/>
    </row>
    <row r="115" spans="1:28" ht="14.25" customHeight="1">
      <c r="A115" s="147"/>
      <c r="B115" s="4"/>
      <c r="C115" s="4"/>
      <c r="D115" s="4"/>
      <c r="E115" s="4"/>
      <c r="F115" s="4"/>
      <c r="G115" s="4"/>
      <c r="H115" s="4"/>
      <c r="I115" s="4"/>
      <c r="J115" s="4"/>
      <c r="K115" s="4"/>
      <c r="L115" s="4"/>
      <c r="M115" s="4"/>
      <c r="N115" s="4"/>
      <c r="O115" s="4"/>
      <c r="P115" s="4"/>
      <c r="Q115" s="4"/>
      <c r="R115" s="4"/>
      <c r="S115" s="4"/>
      <c r="T115" s="99"/>
      <c r="U115" s="4"/>
      <c r="V115" s="4"/>
      <c r="W115" s="4"/>
      <c r="X115" s="4"/>
      <c r="Y115" s="4"/>
      <c r="Z115" s="4"/>
      <c r="AA115" s="4"/>
      <c r="AB115" s="4"/>
    </row>
    <row r="116" spans="1:28" ht="14.25" customHeight="1">
      <c r="A116" s="147"/>
      <c r="B116" s="4"/>
      <c r="C116" s="4"/>
      <c r="D116" s="4"/>
      <c r="E116" s="4"/>
      <c r="F116" s="4"/>
      <c r="G116" s="4"/>
      <c r="H116" s="4"/>
      <c r="I116" s="4"/>
      <c r="J116" s="4"/>
      <c r="K116" s="4"/>
      <c r="L116" s="4"/>
      <c r="M116" s="4"/>
      <c r="N116" s="4"/>
      <c r="O116" s="4"/>
      <c r="P116" s="4"/>
      <c r="Q116" s="4"/>
      <c r="R116" s="4"/>
      <c r="S116" s="4"/>
      <c r="T116" s="99"/>
      <c r="U116" s="4"/>
      <c r="V116" s="4"/>
      <c r="W116" s="4"/>
      <c r="X116" s="4"/>
      <c r="Y116" s="4"/>
      <c r="Z116" s="4"/>
      <c r="AA116" s="4"/>
      <c r="AB116" s="4"/>
    </row>
    <row r="117" spans="1:28" ht="14.25" customHeight="1">
      <c r="A117" s="147"/>
      <c r="B117" s="4"/>
      <c r="C117" s="4"/>
      <c r="D117" s="4"/>
      <c r="E117" s="4"/>
      <c r="F117" s="4"/>
      <c r="G117" s="4"/>
      <c r="H117" s="4"/>
      <c r="I117" s="4"/>
      <c r="J117" s="4"/>
      <c r="K117" s="4"/>
      <c r="L117" s="4"/>
      <c r="M117" s="4"/>
      <c r="N117" s="4"/>
      <c r="O117" s="4"/>
      <c r="P117" s="4"/>
      <c r="Q117" s="4"/>
      <c r="R117" s="4"/>
      <c r="S117" s="4"/>
      <c r="T117" s="99"/>
      <c r="U117" s="4"/>
      <c r="V117" s="4"/>
      <c r="W117" s="4"/>
      <c r="X117" s="4"/>
      <c r="Y117" s="4"/>
      <c r="Z117" s="4"/>
      <c r="AA117" s="4"/>
      <c r="AB117" s="4"/>
    </row>
    <row r="118" spans="1:28" ht="14.25" customHeight="1">
      <c r="A118" s="147"/>
      <c r="B118" s="4"/>
      <c r="C118" s="4"/>
      <c r="D118" s="4"/>
      <c r="E118" s="4"/>
      <c r="F118" s="4"/>
      <c r="G118" s="4"/>
      <c r="H118" s="4"/>
      <c r="I118" s="4"/>
      <c r="J118" s="4"/>
      <c r="K118" s="4"/>
      <c r="L118" s="4"/>
      <c r="M118" s="4"/>
      <c r="N118" s="4"/>
      <c r="O118" s="4"/>
      <c r="P118" s="4"/>
      <c r="Q118" s="4"/>
      <c r="R118" s="4"/>
      <c r="S118" s="4"/>
      <c r="T118" s="99"/>
      <c r="U118" s="4"/>
      <c r="V118" s="4"/>
      <c r="W118" s="4"/>
      <c r="X118" s="4"/>
      <c r="Y118" s="4"/>
      <c r="Z118" s="4"/>
      <c r="AA118" s="4"/>
      <c r="AB118" s="4"/>
    </row>
    <row r="119" spans="1:28" ht="14.25" customHeight="1">
      <c r="A119" s="147"/>
      <c r="B119" s="4"/>
      <c r="C119" s="4"/>
      <c r="D119" s="4"/>
      <c r="E119" s="4"/>
      <c r="F119" s="4"/>
      <c r="G119" s="4"/>
      <c r="H119" s="4"/>
      <c r="I119" s="4"/>
      <c r="J119" s="4"/>
      <c r="K119" s="4"/>
      <c r="L119" s="4"/>
      <c r="M119" s="4"/>
      <c r="N119" s="4"/>
      <c r="O119" s="4"/>
      <c r="P119" s="4"/>
      <c r="Q119" s="4"/>
      <c r="R119" s="4"/>
      <c r="S119" s="4"/>
      <c r="T119" s="99"/>
      <c r="U119" s="4"/>
      <c r="V119" s="4"/>
      <c r="W119" s="4"/>
      <c r="X119" s="4"/>
      <c r="Y119" s="4"/>
      <c r="Z119" s="4"/>
      <c r="AA119" s="4"/>
      <c r="AB119" s="4"/>
    </row>
    <row r="120" spans="1:28" ht="14.25" customHeight="1">
      <c r="A120" s="147"/>
      <c r="B120" s="4"/>
      <c r="C120" s="4"/>
      <c r="D120" s="4"/>
      <c r="E120" s="4"/>
      <c r="F120" s="4"/>
      <c r="G120" s="4"/>
      <c r="H120" s="4"/>
      <c r="I120" s="4"/>
      <c r="J120" s="4"/>
      <c r="K120" s="4"/>
      <c r="L120" s="4"/>
      <c r="M120" s="4"/>
      <c r="N120" s="4"/>
      <c r="O120" s="4"/>
      <c r="P120" s="4"/>
      <c r="Q120" s="4"/>
      <c r="R120" s="4"/>
      <c r="S120" s="4"/>
      <c r="T120" s="99"/>
      <c r="U120" s="4"/>
      <c r="V120" s="4"/>
      <c r="W120" s="4"/>
      <c r="X120" s="4"/>
      <c r="Y120" s="4"/>
      <c r="Z120" s="4"/>
      <c r="AA120" s="4"/>
      <c r="AB120" s="4"/>
    </row>
    <row r="121" spans="1:28" ht="14.25" customHeight="1">
      <c r="A121" s="147"/>
      <c r="B121" s="4"/>
      <c r="C121" s="4"/>
      <c r="D121" s="4"/>
      <c r="E121" s="4"/>
      <c r="F121" s="4"/>
      <c r="G121" s="4"/>
      <c r="H121" s="4"/>
      <c r="I121" s="4"/>
      <c r="J121" s="4"/>
      <c r="K121" s="4"/>
      <c r="L121" s="4"/>
      <c r="M121" s="4"/>
      <c r="N121" s="4"/>
      <c r="O121" s="4"/>
      <c r="P121" s="4"/>
      <c r="Q121" s="4"/>
      <c r="R121" s="4"/>
      <c r="S121" s="4"/>
      <c r="T121" s="99"/>
      <c r="U121" s="4"/>
      <c r="V121" s="4"/>
      <c r="W121" s="4"/>
      <c r="X121" s="4"/>
      <c r="Y121" s="4"/>
      <c r="Z121" s="4"/>
      <c r="AA121" s="4"/>
      <c r="AB121" s="4"/>
    </row>
    <row r="122" spans="1:28" ht="14.25" customHeight="1">
      <c r="A122" s="147"/>
      <c r="B122" s="4"/>
      <c r="C122" s="4"/>
      <c r="D122" s="4"/>
      <c r="E122" s="4"/>
      <c r="F122" s="4"/>
      <c r="G122" s="4"/>
      <c r="H122" s="4"/>
      <c r="I122" s="4"/>
      <c r="J122" s="4"/>
      <c r="K122" s="4"/>
      <c r="L122" s="4"/>
      <c r="M122" s="4"/>
      <c r="N122" s="4"/>
      <c r="O122" s="4"/>
      <c r="P122" s="4"/>
      <c r="Q122" s="4"/>
      <c r="R122" s="4"/>
      <c r="S122" s="4"/>
      <c r="T122" s="99"/>
      <c r="U122" s="4"/>
      <c r="V122" s="4"/>
      <c r="W122" s="4"/>
      <c r="X122" s="4"/>
      <c r="Y122" s="4"/>
      <c r="Z122" s="4"/>
      <c r="AA122" s="4"/>
      <c r="AB122" s="4"/>
    </row>
    <row r="123" spans="1:28" ht="14.25" customHeight="1">
      <c r="A123" s="147"/>
      <c r="B123" s="4"/>
      <c r="C123" s="4"/>
      <c r="D123" s="4"/>
      <c r="E123" s="4"/>
      <c r="F123" s="4"/>
      <c r="G123" s="4"/>
      <c r="H123" s="4"/>
      <c r="I123" s="4"/>
      <c r="J123" s="4"/>
      <c r="K123" s="4"/>
      <c r="L123" s="4"/>
      <c r="M123" s="4"/>
      <c r="N123" s="4"/>
      <c r="O123" s="4"/>
      <c r="P123" s="4"/>
      <c r="Q123" s="4"/>
      <c r="R123" s="4"/>
      <c r="S123" s="4"/>
      <c r="T123" s="99"/>
      <c r="U123" s="4"/>
      <c r="V123" s="4"/>
      <c r="W123" s="4"/>
      <c r="X123" s="4"/>
      <c r="Y123" s="4"/>
      <c r="Z123" s="4"/>
      <c r="AA123" s="4"/>
      <c r="AB123" s="4"/>
    </row>
    <row r="124" spans="1:28" ht="14.25" customHeight="1">
      <c r="A124" s="147"/>
      <c r="B124" s="4"/>
      <c r="C124" s="4"/>
      <c r="D124" s="4"/>
      <c r="E124" s="4"/>
      <c r="F124" s="4"/>
      <c r="G124" s="4"/>
      <c r="H124" s="4"/>
      <c r="I124" s="4"/>
      <c r="J124" s="4"/>
      <c r="K124" s="4"/>
      <c r="L124" s="4"/>
      <c r="M124" s="4"/>
      <c r="N124" s="4"/>
      <c r="O124" s="4"/>
      <c r="P124" s="4"/>
      <c r="Q124" s="4"/>
      <c r="R124" s="4"/>
      <c r="S124" s="4"/>
      <c r="T124" s="99"/>
      <c r="U124" s="4"/>
      <c r="V124" s="4"/>
      <c r="W124" s="4"/>
      <c r="X124" s="4"/>
      <c r="Y124" s="4"/>
      <c r="Z124" s="4"/>
      <c r="AA124" s="4"/>
      <c r="AB124" s="4"/>
    </row>
    <row r="125" spans="1:28" ht="14.25" customHeight="1">
      <c r="A125" s="147"/>
      <c r="B125" s="4"/>
      <c r="C125" s="4"/>
      <c r="D125" s="4"/>
      <c r="E125" s="4"/>
      <c r="F125" s="4"/>
      <c r="G125" s="4"/>
      <c r="H125" s="4"/>
      <c r="I125" s="4"/>
      <c r="J125" s="4"/>
      <c r="K125" s="4"/>
      <c r="L125" s="4"/>
      <c r="M125" s="4"/>
      <c r="N125" s="4"/>
      <c r="O125" s="4"/>
      <c r="P125" s="4"/>
      <c r="Q125" s="4"/>
      <c r="R125" s="4"/>
      <c r="S125" s="4"/>
      <c r="T125" s="99"/>
      <c r="U125" s="4"/>
      <c r="V125" s="4"/>
      <c r="W125" s="4"/>
      <c r="X125" s="4"/>
      <c r="Y125" s="4"/>
      <c r="Z125" s="4"/>
      <c r="AA125" s="4"/>
      <c r="AB125" s="4"/>
    </row>
    <row r="126" spans="1:28" ht="14.25" customHeight="1">
      <c r="A126" s="147"/>
      <c r="B126" s="4"/>
      <c r="C126" s="4"/>
      <c r="D126" s="4"/>
      <c r="E126" s="4"/>
      <c r="F126" s="4"/>
      <c r="G126" s="4"/>
      <c r="H126" s="4"/>
      <c r="I126" s="4"/>
      <c r="J126" s="4"/>
      <c r="K126" s="4"/>
      <c r="L126" s="4"/>
      <c r="M126" s="4"/>
      <c r="N126" s="4"/>
      <c r="O126" s="4"/>
      <c r="P126" s="4"/>
      <c r="Q126" s="4"/>
      <c r="R126" s="4"/>
      <c r="S126" s="4"/>
      <c r="T126" s="99"/>
      <c r="U126" s="4"/>
      <c r="V126" s="4"/>
      <c r="W126" s="4"/>
      <c r="X126" s="4"/>
      <c r="Y126" s="4"/>
      <c r="Z126" s="4"/>
      <c r="AA126" s="4"/>
      <c r="AB126" s="4"/>
    </row>
    <row r="127" spans="1:28" ht="14.25" customHeight="1">
      <c r="A127" s="147"/>
      <c r="B127" s="4"/>
      <c r="C127" s="4"/>
      <c r="D127" s="4"/>
      <c r="E127" s="4"/>
      <c r="F127" s="4"/>
      <c r="G127" s="4"/>
      <c r="H127" s="4"/>
      <c r="I127" s="4"/>
      <c r="J127" s="4"/>
      <c r="K127" s="4"/>
      <c r="L127" s="4"/>
      <c r="M127" s="4"/>
      <c r="N127" s="4"/>
      <c r="O127" s="4"/>
      <c r="P127" s="4"/>
      <c r="Q127" s="4"/>
      <c r="R127" s="4"/>
      <c r="S127" s="4"/>
      <c r="T127" s="99"/>
      <c r="U127" s="4"/>
      <c r="V127" s="4"/>
      <c r="W127" s="4"/>
      <c r="X127" s="4"/>
      <c r="Y127" s="4"/>
      <c r="Z127" s="4"/>
      <c r="AA127" s="4"/>
      <c r="AB127" s="4"/>
    </row>
    <row r="128" spans="1:28" ht="14.25" customHeight="1">
      <c r="A128" s="147"/>
      <c r="B128" s="4"/>
      <c r="C128" s="4"/>
      <c r="D128" s="4"/>
      <c r="E128" s="4"/>
      <c r="F128" s="4"/>
      <c r="G128" s="4"/>
      <c r="H128" s="4"/>
      <c r="I128" s="4"/>
      <c r="J128" s="4"/>
      <c r="K128" s="4"/>
      <c r="L128" s="4"/>
      <c r="M128" s="4"/>
      <c r="N128" s="4"/>
      <c r="O128" s="4"/>
      <c r="P128" s="4"/>
      <c r="Q128" s="4"/>
      <c r="R128" s="4"/>
      <c r="S128" s="4"/>
      <c r="T128" s="99"/>
      <c r="U128" s="4"/>
      <c r="V128" s="4"/>
      <c r="W128" s="4"/>
      <c r="X128" s="4"/>
      <c r="Y128" s="4"/>
      <c r="Z128" s="4"/>
      <c r="AA128" s="4"/>
      <c r="AB128" s="4"/>
    </row>
    <row r="129" spans="1:28" ht="14.25" customHeight="1">
      <c r="A129" s="147"/>
      <c r="B129" s="4"/>
      <c r="C129" s="4"/>
      <c r="D129" s="4"/>
      <c r="E129" s="4"/>
      <c r="F129" s="4"/>
      <c r="G129" s="4"/>
      <c r="H129" s="4"/>
      <c r="I129" s="4"/>
      <c r="J129" s="4"/>
      <c r="K129" s="4"/>
      <c r="L129" s="4"/>
      <c r="M129" s="4"/>
      <c r="N129" s="4"/>
      <c r="O129" s="4"/>
      <c r="P129" s="4"/>
      <c r="Q129" s="4"/>
      <c r="R129" s="4"/>
      <c r="S129" s="4"/>
      <c r="T129" s="99"/>
      <c r="U129" s="4"/>
      <c r="V129" s="4"/>
      <c r="W129" s="4"/>
      <c r="X129" s="4"/>
      <c r="Y129" s="4"/>
      <c r="Z129" s="4"/>
      <c r="AA129" s="4"/>
      <c r="AB129" s="4"/>
    </row>
    <row r="130" spans="1:28" ht="14.25" customHeight="1">
      <c r="A130" s="147"/>
      <c r="B130" s="4"/>
      <c r="C130" s="4"/>
      <c r="D130" s="4"/>
      <c r="E130" s="4"/>
      <c r="F130" s="4"/>
      <c r="G130" s="4"/>
      <c r="H130" s="4"/>
      <c r="I130" s="4"/>
      <c r="J130" s="4"/>
      <c r="K130" s="4"/>
      <c r="L130" s="4"/>
      <c r="M130" s="4"/>
      <c r="N130" s="4"/>
      <c r="O130" s="4"/>
      <c r="P130" s="4"/>
      <c r="Q130" s="4"/>
      <c r="R130" s="4"/>
      <c r="S130" s="4"/>
      <c r="T130" s="99"/>
      <c r="U130" s="4"/>
      <c r="V130" s="4"/>
      <c r="W130" s="4"/>
      <c r="X130" s="4"/>
      <c r="Y130" s="4"/>
      <c r="Z130" s="4"/>
      <c r="AA130" s="4"/>
      <c r="AB130" s="4"/>
    </row>
    <row r="131" spans="1:28" ht="14.25" customHeight="1">
      <c r="A131" s="147"/>
      <c r="B131" s="4"/>
      <c r="C131" s="4"/>
      <c r="D131" s="4"/>
      <c r="E131" s="4"/>
      <c r="F131" s="4"/>
      <c r="G131" s="4"/>
      <c r="H131" s="4"/>
      <c r="I131" s="4"/>
      <c r="J131" s="4"/>
      <c r="K131" s="4"/>
      <c r="L131" s="4"/>
      <c r="M131" s="4"/>
      <c r="N131" s="4"/>
      <c r="O131" s="4"/>
      <c r="P131" s="4"/>
      <c r="Q131" s="4"/>
      <c r="R131" s="4"/>
      <c r="S131" s="4"/>
      <c r="T131" s="99"/>
      <c r="U131" s="4"/>
      <c r="V131" s="4"/>
      <c r="W131" s="4"/>
      <c r="X131" s="4"/>
      <c r="Y131" s="4"/>
      <c r="Z131" s="4"/>
      <c r="AA131" s="4"/>
      <c r="AB131" s="4"/>
    </row>
    <row r="132" spans="1:28" ht="14.25" customHeight="1">
      <c r="A132" s="147"/>
      <c r="B132" s="4"/>
      <c r="C132" s="4"/>
      <c r="D132" s="4"/>
      <c r="E132" s="4"/>
      <c r="F132" s="4"/>
      <c r="G132" s="4"/>
      <c r="H132" s="4"/>
      <c r="I132" s="4"/>
      <c r="J132" s="4"/>
      <c r="K132" s="4"/>
      <c r="L132" s="4"/>
      <c r="M132" s="4"/>
      <c r="N132" s="4"/>
      <c r="O132" s="4"/>
      <c r="P132" s="4"/>
      <c r="Q132" s="4"/>
      <c r="R132" s="4"/>
      <c r="S132" s="4"/>
      <c r="T132" s="99"/>
      <c r="U132" s="4"/>
      <c r="V132" s="4"/>
      <c r="W132" s="4"/>
      <c r="X132" s="4"/>
      <c r="Y132" s="4"/>
      <c r="Z132" s="4"/>
      <c r="AA132" s="4"/>
      <c r="AB132" s="4"/>
    </row>
    <row r="133" spans="1:28" ht="14.25" customHeight="1">
      <c r="A133" s="147"/>
      <c r="B133" s="4"/>
      <c r="C133" s="4"/>
      <c r="D133" s="4"/>
      <c r="E133" s="4"/>
      <c r="F133" s="4"/>
      <c r="G133" s="4"/>
      <c r="H133" s="4"/>
      <c r="I133" s="4"/>
      <c r="J133" s="4"/>
      <c r="K133" s="4"/>
      <c r="L133" s="4"/>
      <c r="M133" s="4"/>
      <c r="N133" s="4"/>
      <c r="O133" s="4"/>
      <c r="P133" s="4"/>
      <c r="Q133" s="4"/>
      <c r="R133" s="4"/>
      <c r="S133" s="4"/>
      <c r="T133" s="99"/>
      <c r="U133" s="4"/>
      <c r="V133" s="4"/>
      <c r="W133" s="4"/>
      <c r="X133" s="4"/>
      <c r="Y133" s="4"/>
      <c r="Z133" s="4"/>
      <c r="AA133" s="4"/>
      <c r="AB133" s="4"/>
    </row>
    <row r="134" spans="1:28" ht="14.25" customHeight="1">
      <c r="A134" s="147"/>
      <c r="B134" s="4"/>
      <c r="C134" s="4"/>
      <c r="D134" s="4"/>
      <c r="E134" s="4"/>
      <c r="F134" s="4"/>
      <c r="G134" s="4"/>
      <c r="H134" s="4"/>
      <c r="I134" s="4"/>
      <c r="J134" s="4"/>
      <c r="K134" s="4"/>
      <c r="L134" s="4"/>
      <c r="M134" s="4"/>
      <c r="N134" s="4"/>
      <c r="O134" s="4"/>
      <c r="P134" s="4"/>
      <c r="Q134" s="4"/>
      <c r="R134" s="4"/>
      <c r="S134" s="4"/>
      <c r="T134" s="99"/>
      <c r="U134" s="4"/>
      <c r="V134" s="4"/>
      <c r="W134" s="4"/>
      <c r="X134" s="4"/>
      <c r="Y134" s="4"/>
      <c r="Z134" s="4"/>
      <c r="AA134" s="4"/>
      <c r="AB134" s="4"/>
    </row>
    <row r="135" spans="1:28" ht="14.25" customHeight="1">
      <c r="A135" s="147"/>
      <c r="B135" s="4"/>
      <c r="C135" s="4"/>
      <c r="D135" s="4"/>
      <c r="E135" s="4"/>
      <c r="F135" s="4"/>
      <c r="G135" s="4"/>
      <c r="H135" s="4"/>
      <c r="I135" s="4"/>
      <c r="J135" s="4"/>
      <c r="K135" s="4"/>
      <c r="L135" s="4"/>
      <c r="M135" s="4"/>
      <c r="N135" s="4"/>
      <c r="O135" s="4"/>
      <c r="P135" s="4"/>
      <c r="Q135" s="4"/>
      <c r="R135" s="4"/>
      <c r="S135" s="4"/>
      <c r="T135" s="99"/>
      <c r="U135" s="4"/>
      <c r="V135" s="4"/>
      <c r="W135" s="4"/>
      <c r="X135" s="4"/>
      <c r="Y135" s="4"/>
      <c r="Z135" s="4"/>
      <c r="AA135" s="4"/>
      <c r="AB135" s="4"/>
    </row>
    <row r="136" spans="1:28" ht="14.25" customHeight="1">
      <c r="A136" s="147"/>
      <c r="B136" s="4"/>
      <c r="C136" s="4"/>
      <c r="D136" s="4"/>
      <c r="E136" s="4"/>
      <c r="F136" s="4"/>
      <c r="G136" s="4"/>
      <c r="H136" s="4"/>
      <c r="I136" s="4"/>
      <c r="J136" s="4"/>
      <c r="K136" s="4"/>
      <c r="L136" s="4"/>
      <c r="M136" s="4"/>
      <c r="N136" s="4"/>
      <c r="O136" s="4"/>
      <c r="P136" s="4"/>
      <c r="Q136" s="4"/>
      <c r="R136" s="4"/>
      <c r="S136" s="4"/>
      <c r="T136" s="99"/>
      <c r="U136" s="4"/>
      <c r="V136" s="4"/>
      <c r="W136" s="4"/>
      <c r="X136" s="4"/>
      <c r="Y136" s="4"/>
      <c r="Z136" s="4"/>
      <c r="AA136" s="4"/>
      <c r="AB136" s="4"/>
    </row>
    <row r="137" spans="1:28" ht="14.25" customHeight="1">
      <c r="A137" s="147"/>
      <c r="B137" s="4"/>
      <c r="C137" s="4"/>
      <c r="D137" s="4"/>
      <c r="E137" s="4"/>
      <c r="F137" s="4"/>
      <c r="G137" s="4"/>
      <c r="H137" s="4"/>
      <c r="I137" s="4"/>
      <c r="J137" s="4"/>
      <c r="K137" s="4"/>
      <c r="L137" s="4"/>
      <c r="M137" s="4"/>
      <c r="N137" s="4"/>
      <c r="O137" s="4"/>
      <c r="P137" s="4"/>
      <c r="Q137" s="4"/>
      <c r="R137" s="4"/>
      <c r="S137" s="4"/>
      <c r="T137" s="99"/>
      <c r="U137" s="4"/>
      <c r="V137" s="4"/>
      <c r="W137" s="4"/>
      <c r="X137" s="4"/>
      <c r="Y137" s="4"/>
      <c r="Z137" s="4"/>
      <c r="AA137" s="4"/>
      <c r="AB137" s="4"/>
    </row>
    <row r="138" spans="1:28" ht="14.25" customHeight="1">
      <c r="A138" s="147"/>
      <c r="B138" s="4"/>
      <c r="C138" s="4"/>
      <c r="D138" s="4"/>
      <c r="E138" s="4"/>
      <c r="F138" s="4"/>
      <c r="G138" s="4"/>
      <c r="H138" s="4"/>
      <c r="I138" s="4"/>
      <c r="J138" s="4"/>
      <c r="K138" s="4"/>
      <c r="L138" s="4"/>
      <c r="M138" s="4"/>
      <c r="N138" s="4"/>
      <c r="O138" s="4"/>
      <c r="P138" s="4"/>
      <c r="Q138" s="4"/>
      <c r="R138" s="4"/>
      <c r="S138" s="4"/>
      <c r="T138" s="99"/>
      <c r="U138" s="4"/>
      <c r="V138" s="4"/>
      <c r="W138" s="4"/>
      <c r="X138" s="4"/>
      <c r="Y138" s="4"/>
      <c r="Z138" s="4"/>
      <c r="AA138" s="4"/>
      <c r="AB138" s="4"/>
    </row>
    <row r="139" spans="1:28" ht="14.25" customHeight="1">
      <c r="A139" s="147"/>
      <c r="B139" s="4"/>
      <c r="C139" s="4"/>
      <c r="D139" s="4"/>
      <c r="E139" s="4"/>
      <c r="F139" s="4"/>
      <c r="G139" s="4"/>
      <c r="H139" s="4"/>
      <c r="I139" s="4"/>
      <c r="J139" s="4"/>
      <c r="K139" s="4"/>
      <c r="L139" s="4"/>
      <c r="M139" s="4"/>
      <c r="N139" s="4"/>
      <c r="O139" s="4"/>
      <c r="P139" s="4"/>
      <c r="Q139" s="4"/>
      <c r="R139" s="4"/>
      <c r="S139" s="4"/>
      <c r="T139" s="99"/>
      <c r="U139" s="4"/>
      <c r="V139" s="4"/>
      <c r="W139" s="4"/>
      <c r="X139" s="4"/>
      <c r="Y139" s="4"/>
      <c r="Z139" s="4"/>
      <c r="AA139" s="4"/>
      <c r="AB139" s="4"/>
    </row>
    <row r="140" spans="1:28" ht="14.25" customHeight="1">
      <c r="A140" s="147"/>
      <c r="B140" s="4"/>
      <c r="C140" s="4"/>
      <c r="D140" s="4"/>
      <c r="E140" s="4"/>
      <c r="F140" s="4"/>
      <c r="G140" s="4"/>
      <c r="H140" s="4"/>
      <c r="I140" s="4"/>
      <c r="J140" s="4"/>
      <c r="K140" s="4"/>
      <c r="L140" s="4"/>
      <c r="M140" s="4"/>
      <c r="N140" s="4"/>
      <c r="O140" s="4"/>
      <c r="P140" s="4"/>
      <c r="Q140" s="4"/>
      <c r="R140" s="4"/>
      <c r="S140" s="4"/>
      <c r="T140" s="99"/>
      <c r="U140" s="4"/>
      <c r="V140" s="4"/>
      <c r="W140" s="4"/>
      <c r="X140" s="4"/>
      <c r="Y140" s="4"/>
      <c r="Z140" s="4"/>
      <c r="AA140" s="4"/>
      <c r="AB140" s="4"/>
    </row>
    <row r="141" spans="1:28" ht="14.25" customHeight="1">
      <c r="A141" s="147"/>
      <c r="B141" s="4"/>
      <c r="C141" s="4"/>
      <c r="D141" s="4"/>
      <c r="E141" s="4"/>
      <c r="F141" s="4"/>
      <c r="G141" s="4"/>
      <c r="H141" s="4"/>
      <c r="I141" s="4"/>
      <c r="J141" s="4"/>
      <c r="K141" s="4"/>
      <c r="L141" s="4"/>
      <c r="M141" s="4"/>
      <c r="N141" s="4"/>
      <c r="O141" s="4"/>
      <c r="P141" s="4"/>
      <c r="Q141" s="4"/>
      <c r="R141" s="4"/>
      <c r="S141" s="4"/>
      <c r="T141" s="99"/>
      <c r="U141" s="4"/>
      <c r="V141" s="4"/>
      <c r="W141" s="4"/>
      <c r="X141" s="4"/>
      <c r="Y141" s="4"/>
      <c r="Z141" s="4"/>
      <c r="AA141" s="4"/>
      <c r="AB141" s="4"/>
    </row>
    <row r="142" spans="1:28" ht="14.25" customHeight="1">
      <c r="A142" s="147"/>
      <c r="B142" s="4"/>
      <c r="C142" s="4"/>
      <c r="D142" s="4"/>
      <c r="E142" s="4"/>
      <c r="F142" s="4"/>
      <c r="G142" s="4"/>
      <c r="H142" s="4"/>
      <c r="I142" s="4"/>
      <c r="J142" s="4"/>
      <c r="K142" s="4"/>
      <c r="L142" s="4"/>
      <c r="M142" s="4"/>
      <c r="N142" s="4"/>
      <c r="O142" s="4"/>
      <c r="P142" s="4"/>
      <c r="Q142" s="4"/>
      <c r="R142" s="4"/>
      <c r="S142" s="4"/>
      <c r="T142" s="99"/>
      <c r="U142" s="4"/>
      <c r="V142" s="4"/>
      <c r="W142" s="4"/>
      <c r="X142" s="4"/>
      <c r="Y142" s="4"/>
      <c r="Z142" s="4"/>
      <c r="AA142" s="4"/>
      <c r="AB142" s="4"/>
    </row>
    <row r="143" spans="1:28" ht="14.25" customHeight="1">
      <c r="A143" s="147"/>
      <c r="B143" s="4"/>
      <c r="C143" s="4"/>
      <c r="D143" s="4"/>
      <c r="E143" s="4"/>
      <c r="F143" s="4"/>
      <c r="G143" s="4"/>
      <c r="H143" s="4"/>
      <c r="I143" s="4"/>
      <c r="J143" s="4"/>
      <c r="K143" s="4"/>
      <c r="L143" s="4"/>
      <c r="M143" s="4"/>
      <c r="N143" s="4"/>
      <c r="O143" s="4"/>
      <c r="P143" s="4"/>
      <c r="Q143" s="4"/>
      <c r="R143" s="4"/>
      <c r="S143" s="4"/>
      <c r="T143" s="99"/>
      <c r="U143" s="4"/>
      <c r="V143" s="4"/>
      <c r="W143" s="4"/>
      <c r="X143" s="4"/>
      <c r="Y143" s="4"/>
      <c r="Z143" s="4"/>
      <c r="AA143" s="4"/>
      <c r="AB143" s="4"/>
    </row>
    <row r="144" spans="1:28" ht="14.25" customHeight="1">
      <c r="A144" s="147"/>
      <c r="B144" s="4"/>
      <c r="C144" s="4"/>
      <c r="D144" s="4"/>
      <c r="E144" s="4"/>
      <c r="F144" s="4"/>
      <c r="G144" s="4"/>
      <c r="H144" s="4"/>
      <c r="I144" s="4"/>
      <c r="J144" s="4"/>
      <c r="K144" s="4"/>
      <c r="L144" s="4"/>
      <c r="M144" s="4"/>
      <c r="N144" s="4"/>
      <c r="O144" s="4"/>
      <c r="P144" s="4"/>
      <c r="Q144" s="4"/>
      <c r="R144" s="4"/>
      <c r="S144" s="4"/>
      <c r="T144" s="99"/>
      <c r="U144" s="4"/>
      <c r="V144" s="4"/>
      <c r="W144" s="4"/>
      <c r="X144" s="4"/>
      <c r="Y144" s="4"/>
      <c r="Z144" s="4"/>
      <c r="AA144" s="4"/>
      <c r="AB144" s="4"/>
    </row>
    <row r="145" spans="1:28" ht="14.25" customHeight="1">
      <c r="A145" s="147"/>
      <c r="B145" s="4"/>
      <c r="C145" s="4"/>
      <c r="D145" s="4"/>
      <c r="E145" s="4"/>
      <c r="F145" s="4"/>
      <c r="G145" s="4"/>
      <c r="H145" s="4"/>
      <c r="I145" s="4"/>
      <c r="J145" s="4"/>
      <c r="K145" s="4"/>
      <c r="L145" s="4"/>
      <c r="M145" s="4"/>
      <c r="N145" s="4"/>
      <c r="O145" s="4"/>
      <c r="P145" s="4"/>
      <c r="Q145" s="4"/>
      <c r="R145" s="4"/>
      <c r="S145" s="4"/>
      <c r="T145" s="99"/>
      <c r="U145" s="4"/>
      <c r="V145" s="4"/>
      <c r="W145" s="4"/>
      <c r="X145" s="4"/>
      <c r="Y145" s="4"/>
      <c r="Z145" s="4"/>
      <c r="AA145" s="4"/>
      <c r="AB145" s="4"/>
    </row>
    <row r="146" spans="1:28" ht="14.25" customHeight="1">
      <c r="A146" s="147"/>
      <c r="B146" s="4"/>
      <c r="C146" s="4"/>
      <c r="D146" s="4"/>
      <c r="E146" s="4"/>
      <c r="F146" s="4"/>
      <c r="G146" s="4"/>
      <c r="H146" s="4"/>
      <c r="I146" s="4"/>
      <c r="J146" s="4"/>
      <c r="K146" s="4"/>
      <c r="L146" s="4"/>
      <c r="M146" s="4"/>
      <c r="N146" s="4"/>
      <c r="O146" s="4"/>
      <c r="P146" s="4"/>
      <c r="Q146" s="4"/>
      <c r="R146" s="4"/>
      <c r="S146" s="4"/>
      <c r="T146" s="99"/>
      <c r="U146" s="4"/>
      <c r="V146" s="4"/>
      <c r="W146" s="4"/>
      <c r="X146" s="4"/>
      <c r="Y146" s="4"/>
      <c r="Z146" s="4"/>
      <c r="AA146" s="4"/>
      <c r="AB146" s="4"/>
    </row>
    <row r="147" spans="1:28" ht="14.25" customHeight="1">
      <c r="A147" s="147"/>
      <c r="B147" s="4"/>
      <c r="C147" s="4"/>
      <c r="D147" s="4"/>
      <c r="E147" s="4"/>
      <c r="F147" s="4"/>
      <c r="G147" s="4"/>
      <c r="H147" s="4"/>
      <c r="I147" s="4"/>
      <c r="J147" s="4"/>
      <c r="K147" s="4"/>
      <c r="L147" s="4"/>
      <c r="M147" s="4"/>
      <c r="N147" s="4"/>
      <c r="O147" s="4"/>
      <c r="P147" s="4"/>
      <c r="Q147" s="4"/>
      <c r="R147" s="4"/>
      <c r="S147" s="4"/>
      <c r="T147" s="99"/>
      <c r="U147" s="4"/>
      <c r="V147" s="4"/>
      <c r="W147" s="4"/>
      <c r="X147" s="4"/>
      <c r="Y147" s="4"/>
      <c r="Z147" s="4"/>
      <c r="AA147" s="4"/>
      <c r="AB147" s="4"/>
    </row>
    <row r="148" spans="1:28" ht="14.25" customHeight="1">
      <c r="A148" s="147"/>
      <c r="B148" s="4"/>
      <c r="C148" s="4"/>
      <c r="D148" s="4"/>
      <c r="E148" s="4"/>
      <c r="F148" s="4"/>
      <c r="G148" s="4"/>
      <c r="H148" s="4"/>
      <c r="I148" s="4"/>
      <c r="J148" s="4"/>
      <c r="K148" s="4"/>
      <c r="L148" s="4"/>
      <c r="M148" s="4"/>
      <c r="N148" s="4"/>
      <c r="O148" s="4"/>
      <c r="P148" s="4"/>
      <c r="Q148" s="4"/>
      <c r="R148" s="4"/>
      <c r="S148" s="4"/>
      <c r="T148" s="99"/>
      <c r="U148" s="4"/>
      <c r="V148" s="4"/>
      <c r="W148" s="4"/>
      <c r="X148" s="4"/>
      <c r="Y148" s="4"/>
      <c r="Z148" s="4"/>
      <c r="AA148" s="4"/>
      <c r="AB148" s="4"/>
    </row>
    <row r="149" spans="1:28" ht="14.25" customHeight="1">
      <c r="A149" s="147"/>
      <c r="B149" s="4"/>
      <c r="C149" s="4"/>
      <c r="D149" s="4"/>
      <c r="E149" s="4"/>
      <c r="F149" s="4"/>
      <c r="G149" s="4"/>
      <c r="H149" s="4"/>
      <c r="I149" s="4"/>
      <c r="J149" s="4"/>
      <c r="K149" s="4"/>
      <c r="L149" s="4"/>
      <c r="M149" s="4"/>
      <c r="N149" s="4"/>
      <c r="O149" s="4"/>
      <c r="P149" s="4"/>
      <c r="Q149" s="4"/>
      <c r="R149" s="4"/>
      <c r="S149" s="4"/>
      <c r="T149" s="99"/>
      <c r="U149" s="4"/>
      <c r="V149" s="4"/>
      <c r="W149" s="4"/>
      <c r="X149" s="4"/>
      <c r="Y149" s="4"/>
      <c r="Z149" s="4"/>
      <c r="AA149" s="4"/>
      <c r="AB149" s="4"/>
    </row>
    <row r="150" spans="1:28" ht="14.25" customHeight="1">
      <c r="A150" s="147"/>
      <c r="B150" s="4"/>
      <c r="C150" s="4"/>
      <c r="D150" s="4"/>
      <c r="E150" s="4"/>
      <c r="F150" s="4"/>
      <c r="G150" s="4"/>
      <c r="H150" s="4"/>
      <c r="I150" s="4"/>
      <c r="J150" s="4"/>
      <c r="K150" s="4"/>
      <c r="L150" s="4"/>
      <c r="M150" s="4"/>
      <c r="N150" s="4"/>
      <c r="O150" s="4"/>
      <c r="P150" s="4"/>
      <c r="Q150" s="4"/>
      <c r="R150" s="4"/>
      <c r="S150" s="4"/>
      <c r="T150" s="99"/>
      <c r="U150" s="4"/>
      <c r="V150" s="4"/>
      <c r="W150" s="4"/>
      <c r="X150" s="4"/>
      <c r="Y150" s="4"/>
      <c r="Z150" s="4"/>
      <c r="AA150" s="4"/>
      <c r="AB150" s="4"/>
    </row>
    <row r="151" spans="1:28" ht="14.25" customHeight="1">
      <c r="A151" s="147"/>
      <c r="B151" s="4"/>
      <c r="C151" s="4"/>
      <c r="D151" s="4"/>
      <c r="E151" s="4"/>
      <c r="F151" s="4"/>
      <c r="G151" s="4"/>
      <c r="H151" s="4"/>
      <c r="I151" s="4"/>
      <c r="J151" s="4"/>
      <c r="K151" s="4"/>
      <c r="L151" s="4"/>
      <c r="M151" s="4"/>
      <c r="N151" s="4"/>
      <c r="O151" s="4"/>
      <c r="P151" s="4"/>
      <c r="Q151" s="4"/>
      <c r="R151" s="4"/>
      <c r="S151" s="4"/>
      <c r="T151" s="99"/>
      <c r="U151" s="4"/>
      <c r="V151" s="4"/>
      <c r="W151" s="4"/>
      <c r="X151" s="4"/>
      <c r="Y151" s="4"/>
      <c r="Z151" s="4"/>
      <c r="AA151" s="4"/>
      <c r="AB151" s="4"/>
    </row>
    <row r="152" spans="1:28" ht="14.25" customHeight="1">
      <c r="A152" s="147"/>
      <c r="B152" s="4"/>
      <c r="C152" s="4"/>
      <c r="D152" s="4"/>
      <c r="E152" s="4"/>
      <c r="F152" s="4"/>
      <c r="G152" s="4"/>
      <c r="H152" s="4"/>
      <c r="I152" s="4"/>
      <c r="J152" s="4"/>
      <c r="K152" s="4"/>
      <c r="L152" s="4"/>
      <c r="M152" s="4"/>
      <c r="N152" s="4"/>
      <c r="O152" s="4"/>
      <c r="P152" s="4"/>
      <c r="Q152" s="4"/>
      <c r="R152" s="4"/>
      <c r="S152" s="4"/>
      <c r="T152" s="99"/>
      <c r="U152" s="4"/>
      <c r="V152" s="4"/>
      <c r="W152" s="4"/>
      <c r="X152" s="4"/>
      <c r="Y152" s="4"/>
      <c r="Z152" s="4"/>
      <c r="AA152" s="4"/>
      <c r="AB152" s="4"/>
    </row>
    <row r="153" spans="1:28" ht="14.25" customHeight="1">
      <c r="A153" s="147"/>
      <c r="B153" s="4"/>
      <c r="C153" s="4"/>
      <c r="D153" s="4"/>
      <c r="E153" s="4"/>
      <c r="F153" s="4"/>
      <c r="G153" s="4"/>
      <c r="H153" s="4"/>
      <c r="I153" s="4"/>
      <c r="J153" s="4"/>
      <c r="K153" s="4"/>
      <c r="L153" s="4"/>
      <c r="M153" s="4"/>
      <c r="N153" s="4"/>
      <c r="O153" s="4"/>
      <c r="P153" s="4"/>
      <c r="Q153" s="4"/>
      <c r="R153" s="4"/>
      <c r="S153" s="4"/>
      <c r="T153" s="99"/>
      <c r="U153" s="4"/>
      <c r="V153" s="4"/>
      <c r="W153" s="4"/>
      <c r="X153" s="4"/>
      <c r="Y153" s="4"/>
      <c r="Z153" s="4"/>
      <c r="AA153" s="4"/>
      <c r="AB153" s="4"/>
    </row>
    <row r="154" spans="1:28" ht="14.25" customHeight="1">
      <c r="A154" s="147"/>
      <c r="B154" s="4"/>
      <c r="C154" s="4"/>
      <c r="D154" s="4"/>
      <c r="E154" s="4"/>
      <c r="F154" s="4"/>
      <c r="G154" s="4"/>
      <c r="H154" s="4"/>
      <c r="I154" s="4"/>
      <c r="J154" s="4"/>
      <c r="K154" s="4"/>
      <c r="L154" s="4"/>
      <c r="M154" s="4"/>
      <c r="N154" s="4"/>
      <c r="O154" s="4"/>
      <c r="P154" s="4"/>
      <c r="Q154" s="4"/>
      <c r="R154" s="4"/>
      <c r="S154" s="4"/>
      <c r="T154" s="99"/>
      <c r="U154" s="4"/>
      <c r="V154" s="4"/>
      <c r="W154" s="4"/>
      <c r="X154" s="4"/>
      <c r="Y154" s="4"/>
      <c r="Z154" s="4"/>
      <c r="AA154" s="4"/>
      <c r="AB154" s="4"/>
    </row>
    <row r="155" spans="1:28" ht="14.25" customHeight="1">
      <c r="A155" s="147"/>
      <c r="B155" s="4"/>
      <c r="C155" s="4"/>
      <c r="D155" s="4"/>
      <c r="E155" s="4"/>
      <c r="F155" s="4"/>
      <c r="G155" s="4"/>
      <c r="H155" s="4"/>
      <c r="I155" s="4"/>
      <c r="J155" s="4"/>
      <c r="K155" s="4"/>
      <c r="L155" s="4"/>
      <c r="M155" s="4"/>
      <c r="N155" s="4"/>
      <c r="O155" s="4"/>
      <c r="P155" s="4"/>
      <c r="Q155" s="4"/>
      <c r="R155" s="4"/>
      <c r="S155" s="4"/>
      <c r="T155" s="99"/>
      <c r="U155" s="4"/>
      <c r="V155" s="4"/>
      <c r="W155" s="4"/>
      <c r="X155" s="4"/>
      <c r="Y155" s="4"/>
      <c r="Z155" s="4"/>
      <c r="AA155" s="4"/>
      <c r="AB155" s="4"/>
    </row>
    <row r="156" spans="1:28" ht="14.25" customHeight="1">
      <c r="A156" s="147"/>
      <c r="B156" s="4"/>
      <c r="C156" s="4"/>
      <c r="D156" s="4"/>
      <c r="E156" s="4"/>
      <c r="F156" s="4"/>
      <c r="G156" s="4"/>
      <c r="H156" s="4"/>
      <c r="I156" s="4"/>
      <c r="J156" s="4"/>
      <c r="K156" s="4"/>
      <c r="L156" s="4"/>
      <c r="M156" s="4"/>
      <c r="N156" s="4"/>
      <c r="O156" s="4"/>
      <c r="P156" s="4"/>
      <c r="Q156" s="4"/>
      <c r="R156" s="4"/>
      <c r="S156" s="4"/>
      <c r="T156" s="99"/>
      <c r="U156" s="4"/>
      <c r="V156" s="4"/>
      <c r="W156" s="4"/>
      <c r="X156" s="4"/>
      <c r="Y156" s="4"/>
      <c r="Z156" s="4"/>
      <c r="AA156" s="4"/>
      <c r="AB156" s="4"/>
    </row>
    <row r="157" spans="1:28" ht="14.25" customHeight="1">
      <c r="A157" s="147"/>
      <c r="B157" s="4"/>
      <c r="C157" s="4"/>
      <c r="D157" s="4"/>
      <c r="E157" s="4"/>
      <c r="F157" s="4"/>
      <c r="G157" s="4"/>
      <c r="H157" s="4"/>
      <c r="I157" s="4"/>
      <c r="J157" s="4"/>
      <c r="K157" s="4"/>
      <c r="L157" s="4"/>
      <c r="M157" s="4"/>
      <c r="N157" s="4"/>
      <c r="O157" s="4"/>
      <c r="P157" s="4"/>
      <c r="Q157" s="4"/>
      <c r="R157" s="4"/>
      <c r="S157" s="4"/>
      <c r="T157" s="99"/>
      <c r="U157" s="4"/>
      <c r="V157" s="4"/>
      <c r="W157" s="4"/>
      <c r="X157" s="4"/>
      <c r="Y157" s="4"/>
      <c r="Z157" s="4"/>
      <c r="AA157" s="4"/>
      <c r="AB157" s="4"/>
    </row>
    <row r="158" spans="1:28" ht="14.25" customHeight="1">
      <c r="A158" s="147"/>
      <c r="B158" s="4"/>
      <c r="C158" s="4"/>
      <c r="D158" s="4"/>
      <c r="E158" s="4"/>
      <c r="F158" s="4"/>
      <c r="G158" s="4"/>
      <c r="H158" s="4"/>
      <c r="I158" s="4"/>
      <c r="J158" s="4"/>
      <c r="K158" s="4"/>
      <c r="L158" s="4"/>
      <c r="M158" s="4"/>
      <c r="N158" s="4"/>
      <c r="O158" s="4"/>
      <c r="P158" s="4"/>
      <c r="Q158" s="4"/>
      <c r="R158" s="4"/>
      <c r="S158" s="4"/>
      <c r="T158" s="99"/>
      <c r="U158" s="4"/>
      <c r="V158" s="4"/>
      <c r="W158" s="4"/>
      <c r="X158" s="4"/>
      <c r="Y158" s="4"/>
      <c r="Z158" s="4"/>
      <c r="AA158" s="4"/>
      <c r="AB158" s="4"/>
    </row>
    <row r="159" spans="1:28" ht="14.25" customHeight="1">
      <c r="A159" s="147"/>
      <c r="B159" s="4"/>
      <c r="C159" s="4"/>
      <c r="D159" s="4"/>
      <c r="E159" s="4"/>
      <c r="F159" s="4"/>
      <c r="G159" s="4"/>
      <c r="H159" s="4"/>
      <c r="I159" s="4"/>
      <c r="J159" s="4"/>
      <c r="K159" s="4"/>
      <c r="L159" s="4"/>
      <c r="M159" s="4"/>
      <c r="N159" s="4"/>
      <c r="O159" s="4"/>
      <c r="P159" s="4"/>
      <c r="Q159" s="4"/>
      <c r="R159" s="4"/>
      <c r="S159" s="4"/>
      <c r="T159" s="99"/>
      <c r="U159" s="4"/>
      <c r="V159" s="4"/>
      <c r="W159" s="4"/>
      <c r="X159" s="4"/>
      <c r="Y159" s="4"/>
      <c r="Z159" s="4"/>
      <c r="AA159" s="4"/>
      <c r="AB159" s="4"/>
    </row>
    <row r="160" spans="1:28" ht="14.25" customHeight="1">
      <c r="A160" s="147"/>
      <c r="B160" s="4"/>
      <c r="C160" s="4"/>
      <c r="D160" s="4"/>
      <c r="E160" s="4"/>
      <c r="F160" s="4"/>
      <c r="G160" s="4"/>
      <c r="H160" s="4"/>
      <c r="I160" s="4"/>
      <c r="J160" s="4"/>
      <c r="K160" s="4"/>
      <c r="L160" s="4"/>
      <c r="M160" s="4"/>
      <c r="N160" s="4"/>
      <c r="O160" s="4"/>
      <c r="P160" s="4"/>
      <c r="Q160" s="4"/>
      <c r="R160" s="4"/>
      <c r="S160" s="4"/>
      <c r="T160" s="99"/>
      <c r="U160" s="4"/>
      <c r="V160" s="4"/>
      <c r="W160" s="4"/>
      <c r="X160" s="4"/>
      <c r="Y160" s="4"/>
      <c r="Z160" s="4"/>
      <c r="AA160" s="4"/>
      <c r="AB160" s="4"/>
    </row>
    <row r="161" spans="1:28" ht="14.25" customHeight="1">
      <c r="A161" s="147"/>
      <c r="B161" s="4"/>
      <c r="C161" s="4"/>
      <c r="D161" s="4"/>
      <c r="E161" s="4"/>
      <c r="F161" s="4"/>
      <c r="G161" s="4"/>
      <c r="H161" s="4"/>
      <c r="I161" s="4"/>
      <c r="J161" s="4"/>
      <c r="K161" s="4"/>
      <c r="L161" s="4"/>
      <c r="M161" s="4"/>
      <c r="N161" s="4"/>
      <c r="O161" s="4"/>
      <c r="P161" s="4"/>
      <c r="Q161" s="4"/>
      <c r="R161" s="4"/>
      <c r="S161" s="4"/>
      <c r="T161" s="99"/>
      <c r="U161" s="4"/>
      <c r="V161" s="4"/>
      <c r="W161" s="4"/>
      <c r="X161" s="4"/>
      <c r="Y161" s="4"/>
      <c r="Z161" s="4"/>
      <c r="AA161" s="4"/>
      <c r="AB161" s="4"/>
    </row>
    <row r="162" spans="1:28" ht="14.25" customHeight="1">
      <c r="A162" s="147"/>
      <c r="B162" s="4"/>
      <c r="C162" s="4"/>
      <c r="D162" s="4"/>
      <c r="E162" s="4"/>
      <c r="F162" s="4"/>
      <c r="G162" s="4"/>
      <c r="H162" s="4"/>
      <c r="I162" s="4"/>
      <c r="J162" s="4"/>
      <c r="K162" s="4"/>
      <c r="L162" s="4"/>
      <c r="M162" s="4"/>
      <c r="N162" s="4"/>
      <c r="O162" s="4"/>
      <c r="P162" s="4"/>
      <c r="Q162" s="4"/>
      <c r="R162" s="4"/>
      <c r="S162" s="4"/>
      <c r="T162" s="99"/>
      <c r="U162" s="4"/>
      <c r="V162" s="4"/>
      <c r="W162" s="4"/>
      <c r="X162" s="4"/>
      <c r="Y162" s="4"/>
      <c r="Z162" s="4"/>
      <c r="AA162" s="4"/>
      <c r="AB162" s="4"/>
    </row>
    <row r="163" spans="1:28" ht="14.25" customHeight="1">
      <c r="A163" s="147"/>
      <c r="B163" s="4"/>
      <c r="C163" s="4"/>
      <c r="D163" s="4"/>
      <c r="E163" s="4"/>
      <c r="F163" s="4"/>
      <c r="G163" s="4"/>
      <c r="H163" s="4"/>
      <c r="I163" s="4"/>
      <c r="J163" s="4"/>
      <c r="K163" s="4"/>
      <c r="L163" s="4"/>
      <c r="M163" s="4"/>
      <c r="N163" s="4"/>
      <c r="O163" s="4"/>
      <c r="P163" s="4"/>
      <c r="Q163" s="4"/>
      <c r="R163" s="4"/>
      <c r="S163" s="4"/>
      <c r="T163" s="99"/>
      <c r="U163" s="4"/>
      <c r="V163" s="4"/>
      <c r="W163" s="4"/>
      <c r="X163" s="4"/>
      <c r="Y163" s="4"/>
      <c r="Z163" s="4"/>
      <c r="AA163" s="4"/>
      <c r="AB163" s="4"/>
    </row>
    <row r="164" spans="1:28" ht="14.25" customHeight="1">
      <c r="A164" s="147"/>
      <c r="B164" s="4"/>
      <c r="C164" s="4"/>
      <c r="D164" s="4"/>
      <c r="E164" s="4"/>
      <c r="F164" s="4"/>
      <c r="G164" s="4"/>
      <c r="H164" s="4"/>
      <c r="I164" s="4"/>
      <c r="J164" s="4"/>
      <c r="K164" s="4"/>
      <c r="L164" s="4"/>
      <c r="M164" s="4"/>
      <c r="N164" s="4"/>
      <c r="O164" s="4"/>
      <c r="P164" s="4"/>
      <c r="Q164" s="4"/>
      <c r="R164" s="4"/>
      <c r="S164" s="4"/>
      <c r="T164" s="99"/>
      <c r="U164" s="4"/>
      <c r="V164" s="4"/>
      <c r="W164" s="4"/>
      <c r="X164" s="4"/>
      <c r="Y164" s="4"/>
      <c r="Z164" s="4"/>
      <c r="AA164" s="4"/>
      <c r="AB164" s="4"/>
    </row>
    <row r="165" spans="1:28" ht="14.25" customHeight="1">
      <c r="A165" s="147"/>
      <c r="B165" s="4"/>
      <c r="C165" s="4"/>
      <c r="D165" s="4"/>
      <c r="E165" s="4"/>
      <c r="F165" s="4"/>
      <c r="G165" s="4"/>
      <c r="H165" s="4"/>
      <c r="I165" s="4"/>
      <c r="J165" s="4"/>
      <c r="K165" s="4"/>
      <c r="L165" s="4"/>
      <c r="M165" s="4"/>
      <c r="N165" s="4"/>
      <c r="O165" s="4"/>
      <c r="P165" s="4"/>
      <c r="Q165" s="4"/>
      <c r="R165" s="4"/>
      <c r="S165" s="4"/>
      <c r="T165" s="99"/>
      <c r="U165" s="4"/>
      <c r="V165" s="4"/>
      <c r="W165" s="4"/>
      <c r="X165" s="4"/>
      <c r="Y165" s="4"/>
      <c r="Z165" s="4"/>
      <c r="AA165" s="4"/>
      <c r="AB165" s="4"/>
    </row>
    <row r="166" spans="1:28" ht="14.25" customHeight="1">
      <c r="A166" s="147"/>
      <c r="B166" s="4"/>
      <c r="C166" s="4"/>
      <c r="D166" s="4"/>
      <c r="E166" s="4"/>
      <c r="F166" s="4"/>
      <c r="G166" s="4"/>
      <c r="H166" s="4"/>
      <c r="I166" s="4"/>
      <c r="J166" s="4"/>
      <c r="K166" s="4"/>
      <c r="L166" s="4"/>
      <c r="M166" s="4"/>
      <c r="N166" s="4"/>
      <c r="O166" s="4"/>
      <c r="P166" s="4"/>
      <c r="Q166" s="4"/>
      <c r="R166" s="4"/>
      <c r="S166" s="4"/>
      <c r="T166" s="99"/>
      <c r="U166" s="4"/>
      <c r="V166" s="4"/>
      <c r="W166" s="4"/>
      <c r="X166" s="4"/>
      <c r="Y166" s="4"/>
      <c r="Z166" s="4"/>
      <c r="AA166" s="4"/>
      <c r="AB166" s="4"/>
    </row>
    <row r="167" spans="1:28" ht="14.25" customHeight="1">
      <c r="A167" s="147"/>
      <c r="B167" s="4"/>
      <c r="C167" s="4"/>
      <c r="D167" s="4"/>
      <c r="E167" s="4"/>
      <c r="F167" s="4"/>
      <c r="G167" s="4"/>
      <c r="H167" s="4"/>
      <c r="I167" s="4"/>
      <c r="J167" s="4"/>
      <c r="K167" s="4"/>
      <c r="L167" s="4"/>
      <c r="M167" s="4"/>
      <c r="N167" s="4"/>
      <c r="O167" s="4"/>
      <c r="P167" s="4"/>
      <c r="Q167" s="4"/>
      <c r="R167" s="4"/>
      <c r="S167" s="4"/>
      <c r="T167" s="99"/>
      <c r="U167" s="4"/>
      <c r="V167" s="4"/>
      <c r="W167" s="4"/>
      <c r="X167" s="4"/>
      <c r="Y167" s="4"/>
      <c r="Z167" s="4"/>
      <c r="AA167" s="4"/>
      <c r="AB167" s="4"/>
    </row>
    <row r="168" spans="1:28" ht="14.25" customHeight="1">
      <c r="A168" s="147"/>
      <c r="B168" s="4"/>
      <c r="C168" s="4"/>
      <c r="D168" s="4"/>
      <c r="E168" s="4"/>
      <c r="F168" s="4"/>
      <c r="G168" s="4"/>
      <c r="H168" s="4"/>
      <c r="I168" s="4"/>
      <c r="J168" s="4"/>
      <c r="K168" s="4"/>
      <c r="L168" s="4"/>
      <c r="M168" s="4"/>
      <c r="N168" s="4"/>
      <c r="O168" s="4"/>
      <c r="P168" s="4"/>
      <c r="Q168" s="4"/>
      <c r="R168" s="4"/>
      <c r="S168" s="4"/>
      <c r="T168" s="99"/>
      <c r="U168" s="4"/>
      <c r="V168" s="4"/>
      <c r="W168" s="4"/>
      <c r="X168" s="4"/>
      <c r="Y168" s="4"/>
      <c r="Z168" s="4"/>
      <c r="AA168" s="4"/>
      <c r="AB168" s="4"/>
    </row>
    <row r="169" spans="1:28" ht="14.25" customHeight="1">
      <c r="A169" s="147"/>
      <c r="B169" s="4"/>
      <c r="C169" s="4"/>
      <c r="D169" s="4"/>
      <c r="E169" s="4"/>
      <c r="F169" s="4"/>
      <c r="G169" s="4"/>
      <c r="H169" s="4"/>
      <c r="I169" s="4"/>
      <c r="J169" s="4"/>
      <c r="K169" s="4"/>
      <c r="L169" s="4"/>
      <c r="M169" s="4"/>
      <c r="N169" s="4"/>
      <c r="O169" s="4"/>
      <c r="P169" s="4"/>
      <c r="Q169" s="4"/>
      <c r="R169" s="4"/>
      <c r="S169" s="4"/>
      <c r="T169" s="99"/>
      <c r="U169" s="4"/>
      <c r="V169" s="4"/>
      <c r="W169" s="4"/>
      <c r="X169" s="4"/>
      <c r="Y169" s="4"/>
      <c r="Z169" s="4"/>
      <c r="AA169" s="4"/>
      <c r="AB169" s="4"/>
    </row>
    <row r="170" spans="1:28" ht="14.25" customHeight="1">
      <c r="A170" s="147"/>
      <c r="B170" s="4"/>
      <c r="C170" s="4"/>
      <c r="D170" s="4"/>
      <c r="E170" s="4"/>
      <c r="F170" s="4"/>
      <c r="G170" s="4"/>
      <c r="H170" s="4"/>
      <c r="I170" s="4"/>
      <c r="J170" s="4"/>
      <c r="K170" s="4"/>
      <c r="L170" s="4"/>
      <c r="M170" s="4"/>
      <c r="N170" s="4"/>
      <c r="O170" s="4"/>
      <c r="P170" s="4"/>
      <c r="Q170" s="4"/>
      <c r="R170" s="4"/>
      <c r="S170" s="4"/>
      <c r="T170" s="99"/>
      <c r="U170" s="4"/>
      <c r="V170" s="4"/>
      <c r="W170" s="4"/>
      <c r="X170" s="4"/>
      <c r="Y170" s="4"/>
      <c r="Z170" s="4"/>
      <c r="AA170" s="4"/>
      <c r="AB170" s="4"/>
    </row>
    <row r="171" spans="1:28" ht="14.25" customHeight="1">
      <c r="A171" s="147"/>
      <c r="B171" s="4"/>
      <c r="C171" s="4"/>
      <c r="D171" s="4"/>
      <c r="E171" s="4"/>
      <c r="F171" s="4"/>
      <c r="G171" s="4"/>
      <c r="H171" s="4"/>
      <c r="I171" s="4"/>
      <c r="J171" s="4"/>
      <c r="K171" s="4"/>
      <c r="L171" s="4"/>
      <c r="M171" s="4"/>
      <c r="N171" s="4"/>
      <c r="O171" s="4"/>
      <c r="P171" s="4"/>
      <c r="Q171" s="4"/>
      <c r="R171" s="4"/>
      <c r="S171" s="4"/>
      <c r="T171" s="99"/>
      <c r="U171" s="4"/>
      <c r="V171" s="4"/>
      <c r="W171" s="4"/>
      <c r="X171" s="4"/>
      <c r="Y171" s="4"/>
      <c r="Z171" s="4"/>
      <c r="AA171" s="4"/>
      <c r="AB171" s="4"/>
    </row>
    <row r="172" spans="1:28" ht="14.25" customHeight="1">
      <c r="A172" s="147"/>
      <c r="B172" s="4"/>
      <c r="C172" s="4"/>
      <c r="D172" s="4"/>
      <c r="E172" s="4"/>
      <c r="F172" s="4"/>
      <c r="G172" s="4"/>
      <c r="H172" s="4"/>
      <c r="I172" s="4"/>
      <c r="J172" s="4"/>
      <c r="K172" s="4"/>
      <c r="L172" s="4"/>
      <c r="M172" s="4"/>
      <c r="N172" s="4"/>
      <c r="O172" s="4"/>
      <c r="P172" s="4"/>
      <c r="Q172" s="4"/>
      <c r="R172" s="4"/>
      <c r="S172" s="4"/>
      <c r="T172" s="99"/>
      <c r="U172" s="4"/>
      <c r="V172" s="4"/>
      <c r="W172" s="4"/>
      <c r="X172" s="4"/>
      <c r="Y172" s="4"/>
      <c r="Z172" s="4"/>
      <c r="AA172" s="4"/>
      <c r="AB172" s="4"/>
    </row>
    <row r="173" spans="1:28" ht="14.25" customHeight="1">
      <c r="A173" s="147"/>
      <c r="B173" s="4"/>
      <c r="C173" s="4"/>
      <c r="D173" s="4"/>
      <c r="E173" s="4"/>
      <c r="F173" s="4"/>
      <c r="G173" s="4"/>
      <c r="H173" s="4"/>
      <c r="I173" s="4"/>
      <c r="J173" s="4"/>
      <c r="K173" s="4"/>
      <c r="L173" s="4"/>
      <c r="M173" s="4"/>
      <c r="N173" s="4"/>
      <c r="O173" s="4"/>
      <c r="P173" s="4"/>
      <c r="Q173" s="4"/>
      <c r="R173" s="4"/>
      <c r="S173" s="4"/>
      <c r="T173" s="99"/>
      <c r="U173" s="4"/>
      <c r="V173" s="4"/>
      <c r="W173" s="4"/>
      <c r="X173" s="4"/>
      <c r="Y173" s="4"/>
      <c r="Z173" s="4"/>
      <c r="AA173" s="4"/>
      <c r="AB173" s="4"/>
    </row>
    <row r="174" spans="1:28" ht="14.25" customHeight="1">
      <c r="A174" s="147"/>
      <c r="B174" s="4"/>
      <c r="C174" s="4"/>
      <c r="D174" s="4"/>
      <c r="E174" s="4"/>
      <c r="F174" s="4"/>
      <c r="G174" s="4"/>
      <c r="H174" s="4"/>
      <c r="I174" s="4"/>
      <c r="J174" s="4"/>
      <c r="K174" s="4"/>
      <c r="L174" s="4"/>
      <c r="M174" s="4"/>
      <c r="N174" s="4"/>
      <c r="O174" s="4"/>
      <c r="P174" s="4"/>
      <c r="Q174" s="4"/>
      <c r="R174" s="4"/>
      <c r="S174" s="4"/>
      <c r="T174" s="99"/>
      <c r="U174" s="4"/>
      <c r="V174" s="4"/>
      <c r="W174" s="4"/>
      <c r="X174" s="4"/>
      <c r="Y174" s="4"/>
      <c r="Z174" s="4"/>
      <c r="AA174" s="4"/>
      <c r="AB174" s="4"/>
    </row>
    <row r="175" spans="1:28" ht="14.25" customHeight="1">
      <c r="A175" s="147"/>
      <c r="B175" s="4"/>
      <c r="C175" s="4"/>
      <c r="D175" s="4"/>
      <c r="E175" s="4"/>
      <c r="F175" s="4"/>
      <c r="G175" s="4"/>
      <c r="H175" s="4"/>
      <c r="I175" s="4"/>
      <c r="J175" s="4"/>
      <c r="K175" s="4"/>
      <c r="L175" s="4"/>
      <c r="M175" s="4"/>
      <c r="N175" s="4"/>
      <c r="O175" s="4"/>
      <c r="P175" s="4"/>
      <c r="Q175" s="4"/>
      <c r="R175" s="4"/>
      <c r="S175" s="4"/>
      <c r="T175" s="99"/>
      <c r="U175" s="4"/>
      <c r="V175" s="4"/>
      <c r="W175" s="4"/>
      <c r="X175" s="4"/>
      <c r="Y175" s="4"/>
      <c r="Z175" s="4"/>
      <c r="AA175" s="4"/>
      <c r="AB175" s="4"/>
    </row>
    <row r="176" spans="1:28" ht="14.25" customHeight="1">
      <c r="A176" s="147"/>
      <c r="B176" s="4"/>
      <c r="C176" s="4"/>
      <c r="D176" s="4"/>
      <c r="E176" s="4"/>
      <c r="F176" s="4"/>
      <c r="G176" s="4"/>
      <c r="H176" s="4"/>
      <c r="I176" s="4"/>
      <c r="J176" s="4"/>
      <c r="K176" s="4"/>
      <c r="L176" s="4"/>
      <c r="M176" s="4"/>
      <c r="N176" s="4"/>
      <c r="O176" s="4"/>
      <c r="P176" s="4"/>
      <c r="Q176" s="4"/>
      <c r="R176" s="4"/>
      <c r="S176" s="4"/>
      <c r="T176" s="99"/>
      <c r="U176" s="4"/>
      <c r="V176" s="4"/>
      <c r="W176" s="4"/>
      <c r="X176" s="4"/>
      <c r="Y176" s="4"/>
      <c r="Z176" s="4"/>
      <c r="AA176" s="4"/>
      <c r="AB176" s="4"/>
    </row>
    <row r="177" spans="1:28" ht="14.25" customHeight="1">
      <c r="A177" s="147"/>
      <c r="B177" s="4"/>
      <c r="C177" s="4"/>
      <c r="D177" s="4"/>
      <c r="E177" s="4"/>
      <c r="F177" s="4"/>
      <c r="G177" s="4"/>
      <c r="H177" s="4"/>
      <c r="I177" s="4"/>
      <c r="J177" s="4"/>
      <c r="K177" s="4"/>
      <c r="L177" s="4"/>
      <c r="M177" s="4"/>
      <c r="N177" s="4"/>
      <c r="O177" s="4"/>
      <c r="P177" s="4"/>
      <c r="Q177" s="4"/>
      <c r="R177" s="4"/>
      <c r="S177" s="4"/>
      <c r="T177" s="99"/>
      <c r="U177" s="4"/>
      <c r="V177" s="4"/>
      <c r="W177" s="4"/>
      <c r="X177" s="4"/>
      <c r="Y177" s="4"/>
      <c r="Z177" s="4"/>
      <c r="AA177" s="4"/>
      <c r="AB177" s="4"/>
    </row>
    <row r="178" spans="1:28" ht="14.25" customHeight="1">
      <c r="A178" s="147"/>
      <c r="B178" s="4"/>
      <c r="C178" s="4"/>
      <c r="D178" s="4"/>
      <c r="E178" s="4"/>
      <c r="F178" s="4"/>
      <c r="G178" s="4"/>
      <c r="H178" s="4"/>
      <c r="I178" s="4"/>
      <c r="J178" s="4"/>
      <c r="K178" s="4"/>
      <c r="L178" s="4"/>
      <c r="M178" s="4"/>
      <c r="N178" s="4"/>
      <c r="O178" s="4"/>
      <c r="P178" s="4"/>
      <c r="Q178" s="4"/>
      <c r="R178" s="4"/>
      <c r="S178" s="4"/>
      <c r="T178" s="99"/>
      <c r="U178" s="4"/>
      <c r="V178" s="4"/>
      <c r="W178" s="4"/>
      <c r="X178" s="4"/>
      <c r="Y178" s="4"/>
      <c r="Z178" s="4"/>
      <c r="AA178" s="4"/>
      <c r="AB178" s="4"/>
    </row>
    <row r="179" spans="1:28" ht="14.25" customHeight="1">
      <c r="A179" s="147"/>
      <c r="B179" s="4"/>
      <c r="C179" s="4"/>
      <c r="D179" s="4"/>
      <c r="E179" s="4"/>
      <c r="F179" s="4"/>
      <c r="G179" s="4"/>
      <c r="H179" s="4"/>
      <c r="I179" s="4"/>
      <c r="J179" s="4"/>
      <c r="K179" s="4"/>
      <c r="L179" s="4"/>
      <c r="M179" s="4"/>
      <c r="N179" s="4"/>
      <c r="O179" s="4"/>
      <c r="P179" s="4"/>
      <c r="Q179" s="4"/>
      <c r="R179" s="4"/>
      <c r="S179" s="4"/>
      <c r="T179" s="99"/>
      <c r="U179" s="4"/>
      <c r="V179" s="4"/>
      <c r="W179" s="4"/>
      <c r="X179" s="4"/>
      <c r="Y179" s="4"/>
      <c r="Z179" s="4"/>
      <c r="AA179" s="4"/>
      <c r="AB179" s="4"/>
    </row>
    <row r="180" spans="1:28" ht="14.25" customHeight="1">
      <c r="A180" s="147"/>
      <c r="B180" s="4"/>
      <c r="C180" s="4"/>
      <c r="D180" s="4"/>
      <c r="E180" s="4"/>
      <c r="F180" s="4"/>
      <c r="G180" s="4"/>
      <c r="H180" s="4"/>
      <c r="I180" s="4"/>
      <c r="J180" s="4"/>
      <c r="K180" s="4"/>
      <c r="L180" s="4"/>
      <c r="M180" s="4"/>
      <c r="N180" s="4"/>
      <c r="O180" s="4"/>
      <c r="P180" s="4"/>
      <c r="Q180" s="4"/>
      <c r="R180" s="4"/>
      <c r="S180" s="4"/>
      <c r="T180" s="99"/>
      <c r="U180" s="4"/>
      <c r="V180" s="4"/>
      <c r="W180" s="4"/>
      <c r="X180" s="4"/>
      <c r="Y180" s="4"/>
      <c r="Z180" s="4"/>
      <c r="AA180" s="4"/>
      <c r="AB180" s="4"/>
    </row>
    <row r="181" spans="1:28" ht="14.25" customHeight="1">
      <c r="A181" s="147"/>
      <c r="B181" s="4"/>
      <c r="C181" s="4"/>
      <c r="D181" s="4"/>
      <c r="E181" s="4"/>
      <c r="F181" s="4"/>
      <c r="G181" s="4"/>
      <c r="H181" s="4"/>
      <c r="I181" s="4"/>
      <c r="J181" s="4"/>
      <c r="K181" s="4"/>
      <c r="L181" s="4"/>
      <c r="M181" s="4"/>
      <c r="N181" s="4"/>
      <c r="O181" s="4"/>
      <c r="P181" s="4"/>
      <c r="Q181" s="4"/>
      <c r="R181" s="4"/>
      <c r="S181" s="4"/>
      <c r="T181" s="99"/>
      <c r="U181" s="4"/>
      <c r="V181" s="4"/>
      <c r="W181" s="4"/>
      <c r="X181" s="4"/>
      <c r="Y181" s="4"/>
      <c r="Z181" s="4"/>
      <c r="AA181" s="4"/>
      <c r="AB181" s="4"/>
    </row>
    <row r="182" spans="1:28" ht="14.25" customHeight="1">
      <c r="A182" s="147"/>
      <c r="B182" s="4"/>
      <c r="C182" s="4"/>
      <c r="D182" s="4"/>
      <c r="E182" s="4"/>
      <c r="F182" s="4"/>
      <c r="G182" s="4"/>
      <c r="H182" s="4"/>
      <c r="I182" s="4"/>
      <c r="J182" s="4"/>
      <c r="K182" s="4"/>
      <c r="L182" s="4"/>
      <c r="M182" s="4"/>
      <c r="N182" s="4"/>
      <c r="O182" s="4"/>
      <c r="P182" s="4"/>
      <c r="Q182" s="4"/>
      <c r="R182" s="4"/>
      <c r="S182" s="4"/>
      <c r="T182" s="99"/>
      <c r="U182" s="4"/>
      <c r="V182" s="4"/>
      <c r="W182" s="4"/>
      <c r="X182" s="4"/>
      <c r="Y182" s="4"/>
      <c r="Z182" s="4"/>
      <c r="AA182" s="4"/>
      <c r="AB182" s="4"/>
    </row>
    <row r="183" spans="1:28" ht="14.25" customHeight="1">
      <c r="A183" s="147"/>
      <c r="B183" s="4"/>
      <c r="C183" s="4"/>
      <c r="D183" s="4"/>
      <c r="E183" s="4"/>
      <c r="F183" s="4"/>
      <c r="G183" s="4"/>
      <c r="H183" s="4"/>
      <c r="I183" s="4"/>
      <c r="J183" s="4"/>
      <c r="K183" s="4"/>
      <c r="L183" s="4"/>
      <c r="M183" s="4"/>
      <c r="N183" s="4"/>
      <c r="O183" s="4"/>
      <c r="P183" s="4"/>
      <c r="Q183" s="4"/>
      <c r="R183" s="4"/>
      <c r="S183" s="4"/>
      <c r="T183" s="99"/>
      <c r="U183" s="4"/>
      <c r="V183" s="4"/>
      <c r="W183" s="4"/>
      <c r="X183" s="4"/>
      <c r="Y183" s="4"/>
      <c r="Z183" s="4"/>
      <c r="AA183" s="4"/>
      <c r="AB183" s="4"/>
    </row>
    <row r="184" spans="1:28" ht="14.25" customHeight="1">
      <c r="A184" s="147"/>
      <c r="B184" s="4"/>
      <c r="C184" s="4"/>
      <c r="D184" s="4"/>
      <c r="E184" s="4"/>
      <c r="F184" s="4"/>
      <c r="G184" s="4"/>
      <c r="H184" s="4"/>
      <c r="I184" s="4"/>
      <c r="J184" s="4"/>
      <c r="K184" s="4"/>
      <c r="L184" s="4"/>
      <c r="M184" s="4"/>
      <c r="N184" s="4"/>
      <c r="O184" s="4"/>
      <c r="P184" s="4"/>
      <c r="Q184" s="4"/>
      <c r="R184" s="4"/>
      <c r="S184" s="4"/>
      <c r="T184" s="99"/>
      <c r="U184" s="4"/>
      <c r="V184" s="4"/>
      <c r="W184" s="4"/>
      <c r="X184" s="4"/>
      <c r="Y184" s="4"/>
      <c r="Z184" s="4"/>
      <c r="AA184" s="4"/>
      <c r="AB184" s="4"/>
    </row>
    <row r="185" spans="1:28" ht="14.25" customHeight="1">
      <c r="A185" s="147"/>
      <c r="B185" s="4"/>
      <c r="C185" s="4"/>
      <c r="D185" s="4"/>
      <c r="E185" s="4"/>
      <c r="F185" s="4"/>
      <c r="G185" s="4"/>
      <c r="H185" s="4"/>
      <c r="I185" s="4"/>
      <c r="J185" s="4"/>
      <c r="K185" s="4"/>
      <c r="L185" s="4"/>
      <c r="M185" s="4"/>
      <c r="N185" s="4"/>
      <c r="O185" s="4"/>
      <c r="P185" s="4"/>
      <c r="Q185" s="4"/>
      <c r="R185" s="4"/>
      <c r="S185" s="4"/>
      <c r="T185" s="99"/>
      <c r="U185" s="4"/>
      <c r="V185" s="4"/>
      <c r="W185" s="4"/>
      <c r="X185" s="4"/>
      <c r="Y185" s="4"/>
      <c r="Z185" s="4"/>
      <c r="AA185" s="4"/>
      <c r="AB185" s="4"/>
    </row>
    <row r="186" spans="1:28" ht="14.25" customHeight="1">
      <c r="A186" s="147"/>
      <c r="B186" s="4"/>
      <c r="C186" s="4"/>
      <c r="D186" s="4"/>
      <c r="E186" s="4"/>
      <c r="F186" s="4"/>
      <c r="G186" s="4"/>
      <c r="H186" s="4"/>
      <c r="I186" s="4"/>
      <c r="J186" s="4"/>
      <c r="K186" s="4"/>
      <c r="L186" s="4"/>
      <c r="M186" s="4"/>
      <c r="N186" s="4"/>
      <c r="O186" s="4"/>
      <c r="P186" s="4"/>
      <c r="Q186" s="4"/>
      <c r="R186" s="4"/>
      <c r="S186" s="4"/>
      <c r="T186" s="99"/>
      <c r="U186" s="4"/>
      <c r="V186" s="4"/>
      <c r="W186" s="4"/>
      <c r="X186" s="4"/>
      <c r="Y186" s="4"/>
      <c r="Z186" s="4"/>
      <c r="AA186" s="4"/>
      <c r="AB186" s="4"/>
    </row>
    <row r="187" spans="1:28" ht="14.25" customHeight="1">
      <c r="A187" s="147"/>
      <c r="B187" s="4"/>
      <c r="C187" s="4"/>
      <c r="D187" s="4"/>
      <c r="E187" s="4"/>
      <c r="F187" s="4"/>
      <c r="G187" s="4"/>
      <c r="H187" s="4"/>
      <c r="I187" s="4"/>
      <c r="J187" s="4"/>
      <c r="K187" s="4"/>
      <c r="L187" s="4"/>
      <c r="M187" s="4"/>
      <c r="N187" s="4"/>
      <c r="O187" s="4"/>
      <c r="P187" s="4"/>
      <c r="Q187" s="4"/>
      <c r="R187" s="4"/>
      <c r="S187" s="4"/>
      <c r="T187" s="99"/>
      <c r="U187" s="4"/>
      <c r="V187" s="4"/>
      <c r="W187" s="4"/>
      <c r="X187" s="4"/>
      <c r="Y187" s="4"/>
      <c r="Z187" s="4"/>
      <c r="AA187" s="4"/>
      <c r="AB187" s="4"/>
    </row>
    <row r="188" spans="1:28" ht="14.25" customHeight="1">
      <c r="A188" s="147"/>
      <c r="B188" s="4"/>
      <c r="C188" s="4"/>
      <c r="D188" s="4"/>
      <c r="E188" s="4"/>
      <c r="F188" s="4"/>
      <c r="G188" s="4"/>
      <c r="H188" s="4"/>
      <c r="I188" s="4"/>
      <c r="J188" s="4"/>
      <c r="K188" s="4"/>
      <c r="L188" s="4"/>
      <c r="M188" s="4"/>
      <c r="N188" s="4"/>
      <c r="O188" s="4"/>
      <c r="P188" s="4"/>
      <c r="Q188" s="4"/>
      <c r="R188" s="4"/>
      <c r="S188" s="4"/>
      <c r="T188" s="99"/>
      <c r="U188" s="4"/>
      <c r="V188" s="4"/>
      <c r="W188" s="4"/>
      <c r="X188" s="4"/>
      <c r="Y188" s="4"/>
      <c r="Z188" s="4"/>
      <c r="AA188" s="4"/>
      <c r="AB188" s="4"/>
    </row>
    <row r="189" spans="1:28" ht="14.25" customHeight="1">
      <c r="A189" s="147"/>
      <c r="B189" s="4"/>
      <c r="C189" s="4"/>
      <c r="D189" s="4"/>
      <c r="E189" s="4"/>
      <c r="F189" s="4"/>
      <c r="G189" s="4"/>
      <c r="H189" s="4"/>
      <c r="I189" s="4"/>
      <c r="J189" s="4"/>
      <c r="K189" s="4"/>
      <c r="L189" s="4"/>
      <c r="M189" s="4"/>
      <c r="N189" s="4"/>
      <c r="O189" s="4"/>
      <c r="P189" s="4"/>
      <c r="Q189" s="4"/>
      <c r="R189" s="4"/>
      <c r="S189" s="4"/>
      <c r="T189" s="99"/>
      <c r="U189" s="4"/>
      <c r="V189" s="4"/>
      <c r="W189" s="4"/>
      <c r="X189" s="4"/>
      <c r="Y189" s="4"/>
      <c r="Z189" s="4"/>
      <c r="AA189" s="4"/>
      <c r="AB189" s="4"/>
    </row>
    <row r="190" spans="1:28" ht="14.25" customHeight="1">
      <c r="A190" s="147"/>
      <c r="B190" s="4"/>
      <c r="C190" s="4"/>
      <c r="D190" s="4"/>
      <c r="E190" s="4"/>
      <c r="F190" s="4"/>
      <c r="G190" s="4"/>
      <c r="H190" s="4"/>
      <c r="I190" s="4"/>
      <c r="J190" s="4"/>
      <c r="K190" s="4"/>
      <c r="L190" s="4"/>
      <c r="M190" s="4"/>
      <c r="N190" s="4"/>
      <c r="O190" s="4"/>
      <c r="P190" s="4"/>
      <c r="Q190" s="4"/>
      <c r="R190" s="4"/>
      <c r="S190" s="4"/>
      <c r="T190" s="99"/>
      <c r="U190" s="4"/>
      <c r="V190" s="4"/>
      <c r="W190" s="4"/>
      <c r="X190" s="4"/>
      <c r="Y190" s="4"/>
      <c r="Z190" s="4"/>
      <c r="AA190" s="4"/>
      <c r="AB190" s="4"/>
    </row>
    <row r="191" spans="1:28" ht="14.25" customHeight="1">
      <c r="A191" s="147"/>
      <c r="B191" s="4"/>
      <c r="C191" s="4"/>
      <c r="D191" s="4"/>
      <c r="E191" s="4"/>
      <c r="F191" s="4"/>
      <c r="G191" s="4"/>
      <c r="H191" s="4"/>
      <c r="I191" s="4"/>
      <c r="J191" s="4"/>
      <c r="K191" s="4"/>
      <c r="L191" s="4"/>
      <c r="M191" s="4"/>
      <c r="N191" s="4"/>
      <c r="O191" s="4"/>
      <c r="P191" s="4"/>
      <c r="Q191" s="4"/>
      <c r="R191" s="4"/>
      <c r="S191" s="4"/>
      <c r="T191" s="99"/>
      <c r="U191" s="4"/>
      <c r="V191" s="4"/>
      <c r="W191" s="4"/>
      <c r="X191" s="4"/>
      <c r="Y191" s="4"/>
      <c r="Z191" s="4"/>
      <c r="AA191" s="4"/>
      <c r="AB191" s="4"/>
    </row>
    <row r="192" spans="1:28" ht="14.25" customHeight="1">
      <c r="A192" s="147"/>
      <c r="B192" s="4"/>
      <c r="C192" s="4"/>
      <c r="D192" s="4"/>
      <c r="E192" s="4"/>
      <c r="F192" s="4"/>
      <c r="G192" s="4"/>
      <c r="H192" s="4"/>
      <c r="I192" s="4"/>
      <c r="J192" s="4"/>
      <c r="K192" s="4"/>
      <c r="L192" s="4"/>
      <c r="M192" s="4"/>
      <c r="N192" s="4"/>
      <c r="O192" s="4"/>
      <c r="P192" s="4"/>
      <c r="Q192" s="4"/>
      <c r="R192" s="4"/>
      <c r="S192" s="4"/>
      <c r="T192" s="99"/>
      <c r="U192" s="4"/>
      <c r="V192" s="4"/>
      <c r="W192" s="4"/>
      <c r="X192" s="4"/>
      <c r="Y192" s="4"/>
      <c r="Z192" s="4"/>
      <c r="AA192" s="4"/>
      <c r="AB192" s="4"/>
    </row>
    <row r="193" spans="1:28" ht="14.25" customHeight="1">
      <c r="A193" s="147"/>
      <c r="B193" s="4"/>
      <c r="C193" s="4"/>
      <c r="D193" s="4"/>
      <c r="E193" s="4"/>
      <c r="F193" s="4"/>
      <c r="G193" s="4"/>
      <c r="H193" s="4"/>
      <c r="I193" s="4"/>
      <c r="J193" s="4"/>
      <c r="K193" s="4"/>
      <c r="L193" s="4"/>
      <c r="M193" s="4"/>
      <c r="N193" s="4"/>
      <c r="O193" s="4"/>
      <c r="P193" s="4"/>
      <c r="Q193" s="4"/>
      <c r="R193" s="4"/>
      <c r="S193" s="4"/>
      <c r="T193" s="99"/>
      <c r="U193" s="4"/>
      <c r="V193" s="4"/>
      <c r="W193" s="4"/>
      <c r="X193" s="4"/>
      <c r="Y193" s="4"/>
      <c r="Z193" s="4"/>
      <c r="AA193" s="4"/>
      <c r="AB193" s="4"/>
    </row>
    <row r="194" spans="1:28" ht="14.25" customHeight="1">
      <c r="A194" s="147"/>
      <c r="B194" s="4"/>
      <c r="C194" s="4"/>
      <c r="D194" s="4"/>
      <c r="E194" s="4"/>
      <c r="F194" s="4"/>
      <c r="G194" s="4"/>
      <c r="H194" s="4"/>
      <c r="I194" s="4"/>
      <c r="J194" s="4"/>
      <c r="K194" s="4"/>
      <c r="L194" s="4"/>
      <c r="M194" s="4"/>
      <c r="N194" s="4"/>
      <c r="O194" s="4"/>
      <c r="P194" s="4"/>
      <c r="Q194" s="4"/>
      <c r="R194" s="4"/>
      <c r="S194" s="4"/>
      <c r="T194" s="99"/>
      <c r="U194" s="4"/>
      <c r="V194" s="4"/>
      <c r="W194" s="4"/>
      <c r="X194" s="4"/>
      <c r="Y194" s="4"/>
      <c r="Z194" s="4"/>
      <c r="AA194" s="4"/>
      <c r="AB194" s="4"/>
    </row>
    <row r="195" spans="1:28" ht="14.25" customHeight="1">
      <c r="A195" s="147"/>
      <c r="B195" s="4"/>
      <c r="C195" s="4"/>
      <c r="D195" s="4"/>
      <c r="E195" s="4"/>
      <c r="F195" s="4"/>
      <c r="G195" s="4"/>
      <c r="H195" s="4"/>
      <c r="I195" s="4"/>
      <c r="J195" s="4"/>
      <c r="K195" s="4"/>
      <c r="L195" s="4"/>
      <c r="M195" s="4"/>
      <c r="N195" s="4"/>
      <c r="O195" s="4"/>
      <c r="P195" s="4"/>
      <c r="Q195" s="4"/>
      <c r="R195" s="4"/>
      <c r="S195" s="4"/>
      <c r="T195" s="99"/>
      <c r="U195" s="4"/>
      <c r="V195" s="4"/>
      <c r="W195" s="4"/>
      <c r="X195" s="4"/>
      <c r="Y195" s="4"/>
      <c r="Z195" s="4"/>
      <c r="AA195" s="4"/>
      <c r="AB195" s="4"/>
    </row>
    <row r="196" spans="1:28" ht="14.25" customHeight="1">
      <c r="A196" s="147"/>
      <c r="B196" s="4"/>
      <c r="C196" s="4"/>
      <c r="D196" s="4"/>
      <c r="E196" s="4"/>
      <c r="F196" s="4"/>
      <c r="G196" s="4"/>
      <c r="H196" s="4"/>
      <c r="I196" s="4"/>
      <c r="J196" s="4"/>
      <c r="K196" s="4"/>
      <c r="L196" s="4"/>
      <c r="M196" s="4"/>
      <c r="N196" s="4"/>
      <c r="O196" s="4"/>
      <c r="P196" s="4"/>
      <c r="Q196" s="4"/>
      <c r="R196" s="4"/>
      <c r="S196" s="4"/>
      <c r="T196" s="99"/>
      <c r="U196" s="4"/>
      <c r="V196" s="4"/>
      <c r="W196" s="4"/>
      <c r="X196" s="4"/>
      <c r="Y196" s="4"/>
      <c r="Z196" s="4"/>
      <c r="AA196" s="4"/>
      <c r="AB196" s="4"/>
    </row>
    <row r="197" spans="1:28" ht="14.25" customHeight="1">
      <c r="A197" s="147"/>
      <c r="B197" s="4"/>
      <c r="C197" s="4"/>
      <c r="D197" s="4"/>
      <c r="E197" s="4"/>
      <c r="F197" s="4"/>
      <c r="G197" s="4"/>
      <c r="H197" s="4"/>
      <c r="I197" s="4"/>
      <c r="J197" s="4"/>
      <c r="K197" s="4"/>
      <c r="L197" s="4"/>
      <c r="M197" s="4"/>
      <c r="N197" s="4"/>
      <c r="O197" s="4"/>
      <c r="P197" s="4"/>
      <c r="Q197" s="4"/>
      <c r="R197" s="4"/>
      <c r="S197" s="4"/>
      <c r="T197" s="99"/>
      <c r="U197" s="4"/>
      <c r="V197" s="4"/>
      <c r="W197" s="4"/>
      <c r="X197" s="4"/>
      <c r="Y197" s="4"/>
      <c r="Z197" s="4"/>
      <c r="AA197" s="4"/>
      <c r="AB197" s="4"/>
    </row>
    <row r="198" spans="1:28" ht="14.25" customHeight="1">
      <c r="A198" s="147"/>
      <c r="B198" s="4"/>
      <c r="C198" s="4"/>
      <c r="D198" s="4"/>
      <c r="E198" s="4"/>
      <c r="F198" s="4"/>
      <c r="G198" s="4"/>
      <c r="H198" s="4"/>
      <c r="I198" s="4"/>
      <c r="J198" s="4"/>
      <c r="K198" s="4"/>
      <c r="L198" s="4"/>
      <c r="M198" s="4"/>
      <c r="N198" s="4"/>
      <c r="O198" s="4"/>
      <c r="P198" s="4"/>
      <c r="Q198" s="4"/>
      <c r="R198" s="4"/>
      <c r="S198" s="4"/>
      <c r="T198" s="99"/>
      <c r="U198" s="4"/>
      <c r="V198" s="4"/>
      <c r="W198" s="4"/>
      <c r="X198" s="4"/>
      <c r="Y198" s="4"/>
      <c r="Z198" s="4"/>
      <c r="AA198" s="4"/>
      <c r="AB198" s="4"/>
    </row>
    <row r="199" spans="1:28" ht="14.25" customHeight="1">
      <c r="A199" s="147"/>
      <c r="B199" s="4"/>
      <c r="C199" s="4"/>
      <c r="D199" s="4"/>
      <c r="E199" s="4"/>
      <c r="F199" s="4"/>
      <c r="G199" s="4"/>
      <c r="H199" s="4"/>
      <c r="I199" s="4"/>
      <c r="J199" s="4"/>
      <c r="K199" s="4"/>
      <c r="L199" s="4"/>
      <c r="M199" s="4"/>
      <c r="N199" s="4"/>
      <c r="O199" s="4"/>
      <c r="P199" s="4"/>
      <c r="Q199" s="4"/>
      <c r="R199" s="4"/>
      <c r="S199" s="4"/>
      <c r="T199" s="99"/>
      <c r="U199" s="4"/>
      <c r="V199" s="4"/>
      <c r="W199" s="4"/>
      <c r="X199" s="4"/>
      <c r="Y199" s="4"/>
      <c r="Z199" s="4"/>
      <c r="AA199" s="4"/>
      <c r="AB199" s="4"/>
    </row>
    <row r="200" spans="1:28" ht="14.25" customHeight="1">
      <c r="A200" s="147"/>
      <c r="B200" s="4"/>
      <c r="C200" s="4"/>
      <c r="D200" s="4"/>
      <c r="E200" s="4"/>
      <c r="F200" s="4"/>
      <c r="G200" s="4"/>
      <c r="H200" s="4"/>
      <c r="I200" s="4"/>
      <c r="J200" s="4"/>
      <c r="K200" s="4"/>
      <c r="L200" s="4"/>
      <c r="M200" s="4"/>
      <c r="N200" s="4"/>
      <c r="O200" s="4"/>
      <c r="P200" s="4"/>
      <c r="Q200" s="4"/>
      <c r="R200" s="4"/>
      <c r="S200" s="4"/>
      <c r="T200" s="99"/>
      <c r="U200" s="4"/>
      <c r="V200" s="4"/>
      <c r="W200" s="4"/>
      <c r="X200" s="4"/>
      <c r="Y200" s="4"/>
      <c r="Z200" s="4"/>
      <c r="AA200" s="4"/>
      <c r="AB200" s="4"/>
    </row>
    <row r="201" spans="1:28" ht="14.25" customHeight="1">
      <c r="A201" s="147"/>
      <c r="B201" s="4"/>
      <c r="C201" s="4"/>
      <c r="D201" s="4"/>
      <c r="E201" s="4"/>
      <c r="F201" s="4"/>
      <c r="G201" s="4"/>
      <c r="H201" s="4"/>
      <c r="I201" s="4"/>
      <c r="J201" s="4"/>
      <c r="K201" s="4"/>
      <c r="L201" s="4"/>
      <c r="M201" s="4"/>
      <c r="N201" s="4"/>
      <c r="O201" s="4"/>
      <c r="P201" s="4"/>
      <c r="Q201" s="4"/>
      <c r="R201" s="4"/>
      <c r="S201" s="4"/>
      <c r="T201" s="99"/>
      <c r="U201" s="4"/>
      <c r="V201" s="4"/>
      <c r="W201" s="4"/>
      <c r="X201" s="4"/>
      <c r="Y201" s="4"/>
      <c r="Z201" s="4"/>
      <c r="AA201" s="4"/>
      <c r="AB201" s="4"/>
    </row>
    <row r="202" spans="1:28" ht="14.25" customHeight="1">
      <c r="A202" s="147"/>
      <c r="B202" s="4"/>
      <c r="C202" s="4"/>
      <c r="D202" s="4"/>
      <c r="E202" s="4"/>
      <c r="F202" s="4"/>
      <c r="G202" s="4"/>
      <c r="H202" s="4"/>
      <c r="I202" s="4"/>
      <c r="J202" s="4"/>
      <c r="K202" s="4"/>
      <c r="L202" s="4"/>
      <c r="M202" s="4"/>
      <c r="N202" s="4"/>
      <c r="O202" s="4"/>
      <c r="P202" s="4"/>
      <c r="Q202" s="4"/>
      <c r="R202" s="4"/>
      <c r="S202" s="4"/>
      <c r="T202" s="99"/>
      <c r="U202" s="4"/>
      <c r="V202" s="4"/>
      <c r="W202" s="4"/>
      <c r="X202" s="4"/>
      <c r="Y202" s="4"/>
      <c r="Z202" s="4"/>
      <c r="AA202" s="4"/>
      <c r="AB202" s="4"/>
    </row>
    <row r="203" spans="1:28" ht="14.25" customHeight="1">
      <c r="A203" s="147"/>
      <c r="B203" s="4"/>
      <c r="C203" s="4"/>
      <c r="D203" s="4"/>
      <c r="E203" s="4"/>
      <c r="F203" s="4"/>
      <c r="G203" s="4"/>
      <c r="H203" s="4"/>
      <c r="I203" s="4"/>
      <c r="J203" s="4"/>
      <c r="K203" s="4"/>
      <c r="L203" s="4"/>
      <c r="M203" s="4"/>
      <c r="N203" s="4"/>
      <c r="O203" s="4"/>
      <c r="P203" s="4"/>
      <c r="Q203" s="4"/>
      <c r="R203" s="4"/>
      <c r="S203" s="4"/>
      <c r="T203" s="99"/>
      <c r="U203" s="4"/>
      <c r="V203" s="4"/>
      <c r="W203" s="4"/>
      <c r="X203" s="4"/>
      <c r="Y203" s="4"/>
      <c r="Z203" s="4"/>
      <c r="AA203" s="4"/>
      <c r="AB203" s="4"/>
    </row>
    <row r="204" spans="1:28" ht="14.25" customHeight="1">
      <c r="A204" s="147"/>
      <c r="B204" s="4"/>
      <c r="C204" s="4"/>
      <c r="D204" s="4"/>
      <c r="E204" s="4"/>
      <c r="F204" s="4"/>
      <c r="G204" s="4"/>
      <c r="H204" s="4"/>
      <c r="I204" s="4"/>
      <c r="J204" s="4"/>
      <c r="K204" s="4"/>
      <c r="L204" s="4"/>
      <c r="M204" s="4"/>
      <c r="N204" s="4"/>
      <c r="O204" s="4"/>
      <c r="P204" s="4"/>
      <c r="Q204" s="4"/>
      <c r="R204" s="4"/>
      <c r="S204" s="4"/>
      <c r="T204" s="99"/>
      <c r="U204" s="4"/>
      <c r="V204" s="4"/>
      <c r="W204" s="4"/>
      <c r="X204" s="4"/>
      <c r="Y204" s="4"/>
      <c r="Z204" s="4"/>
      <c r="AA204" s="4"/>
      <c r="AB204" s="4"/>
    </row>
    <row r="205" spans="1:28" ht="14.25" customHeight="1">
      <c r="A205" s="147"/>
      <c r="B205" s="4"/>
      <c r="C205" s="4"/>
      <c r="D205" s="4"/>
      <c r="E205" s="4"/>
      <c r="F205" s="4"/>
      <c r="G205" s="4"/>
      <c r="H205" s="4"/>
      <c r="I205" s="4"/>
      <c r="J205" s="4"/>
      <c r="K205" s="4"/>
      <c r="L205" s="4"/>
      <c r="M205" s="4"/>
      <c r="N205" s="4"/>
      <c r="O205" s="4"/>
      <c r="P205" s="4"/>
      <c r="Q205" s="4"/>
      <c r="R205" s="4"/>
      <c r="S205" s="4"/>
      <c r="T205" s="99"/>
      <c r="U205" s="4"/>
      <c r="V205" s="4"/>
      <c r="W205" s="4"/>
      <c r="X205" s="4"/>
      <c r="Y205" s="4"/>
      <c r="Z205" s="4"/>
      <c r="AA205" s="4"/>
      <c r="AB205" s="4"/>
    </row>
    <row r="206" spans="1:28" ht="14.25" customHeight="1">
      <c r="A206" s="147"/>
      <c r="B206" s="4"/>
      <c r="C206" s="4"/>
      <c r="D206" s="4"/>
      <c r="E206" s="4"/>
      <c r="F206" s="4"/>
      <c r="G206" s="4"/>
      <c r="H206" s="4"/>
      <c r="I206" s="4"/>
      <c r="J206" s="4"/>
      <c r="K206" s="4"/>
      <c r="L206" s="4"/>
      <c r="M206" s="4"/>
      <c r="N206" s="4"/>
      <c r="O206" s="4"/>
      <c r="P206" s="4"/>
      <c r="Q206" s="4"/>
      <c r="R206" s="4"/>
      <c r="S206" s="4"/>
      <c r="T206" s="99"/>
      <c r="U206" s="4"/>
      <c r="V206" s="4"/>
      <c r="W206" s="4"/>
      <c r="X206" s="4"/>
      <c r="Y206" s="4"/>
      <c r="Z206" s="4"/>
      <c r="AA206" s="4"/>
      <c r="AB206" s="4"/>
    </row>
    <row r="207" spans="1:28" ht="14.25" customHeight="1">
      <c r="A207" s="147"/>
      <c r="B207" s="4"/>
      <c r="C207" s="4"/>
      <c r="D207" s="4"/>
      <c r="E207" s="4"/>
      <c r="F207" s="4"/>
      <c r="G207" s="4"/>
      <c r="H207" s="4"/>
      <c r="I207" s="4"/>
      <c r="J207" s="4"/>
      <c r="K207" s="4"/>
      <c r="L207" s="4"/>
      <c r="M207" s="4"/>
      <c r="N207" s="4"/>
      <c r="O207" s="4"/>
      <c r="P207" s="4"/>
      <c r="Q207" s="4"/>
      <c r="R207" s="4"/>
      <c r="S207" s="4"/>
      <c r="T207" s="99"/>
      <c r="U207" s="4"/>
      <c r="V207" s="4"/>
      <c r="W207" s="4"/>
      <c r="X207" s="4"/>
      <c r="Y207" s="4"/>
      <c r="Z207" s="4"/>
      <c r="AA207" s="4"/>
      <c r="AB207" s="4"/>
    </row>
    <row r="208" spans="1:28" ht="14.25" customHeight="1">
      <c r="A208" s="147"/>
      <c r="B208" s="4"/>
      <c r="C208" s="4"/>
      <c r="D208" s="4"/>
      <c r="E208" s="4"/>
      <c r="F208" s="4"/>
      <c r="G208" s="4"/>
      <c r="H208" s="4"/>
      <c r="I208" s="4"/>
      <c r="J208" s="4"/>
      <c r="K208" s="4"/>
      <c r="L208" s="4"/>
      <c r="M208" s="4"/>
      <c r="N208" s="4"/>
      <c r="O208" s="4"/>
      <c r="P208" s="4"/>
      <c r="Q208" s="4"/>
      <c r="R208" s="4"/>
      <c r="S208" s="4"/>
      <c r="T208" s="99"/>
      <c r="U208" s="4"/>
      <c r="V208" s="4"/>
      <c r="W208" s="4"/>
      <c r="X208" s="4"/>
      <c r="Y208" s="4"/>
      <c r="Z208" s="4"/>
      <c r="AA208" s="4"/>
      <c r="AB208" s="4"/>
    </row>
    <row r="209" spans="1:28" ht="14.25" customHeight="1">
      <c r="A209" s="147"/>
      <c r="B209" s="4"/>
      <c r="C209" s="4"/>
      <c r="D209" s="4"/>
      <c r="E209" s="4"/>
      <c r="F209" s="4"/>
      <c r="G209" s="4"/>
      <c r="H209" s="4"/>
      <c r="I209" s="4"/>
      <c r="J209" s="4"/>
      <c r="K209" s="4"/>
      <c r="L209" s="4"/>
      <c r="M209" s="4"/>
      <c r="N209" s="4"/>
      <c r="O209" s="4"/>
      <c r="P209" s="4"/>
      <c r="Q209" s="4"/>
      <c r="R209" s="4"/>
      <c r="S209" s="4"/>
      <c r="T209" s="99"/>
      <c r="U209" s="4"/>
      <c r="V209" s="4"/>
      <c r="W209" s="4"/>
      <c r="X209" s="4"/>
      <c r="Y209" s="4"/>
      <c r="Z209" s="4"/>
      <c r="AA209" s="4"/>
      <c r="AB209" s="4"/>
    </row>
    <row r="210" spans="1:28" ht="14.25" customHeight="1">
      <c r="A210" s="147"/>
      <c r="B210" s="4"/>
      <c r="C210" s="4"/>
      <c r="D210" s="4"/>
      <c r="E210" s="4"/>
      <c r="F210" s="4"/>
      <c r="G210" s="4"/>
      <c r="H210" s="4"/>
      <c r="I210" s="4"/>
      <c r="J210" s="4"/>
      <c r="K210" s="4"/>
      <c r="L210" s="4"/>
      <c r="M210" s="4"/>
      <c r="N210" s="4"/>
      <c r="O210" s="4"/>
      <c r="P210" s="4"/>
      <c r="Q210" s="4"/>
      <c r="R210" s="4"/>
      <c r="S210" s="4"/>
      <c r="T210" s="99"/>
      <c r="U210" s="4"/>
      <c r="V210" s="4"/>
      <c r="W210" s="4"/>
      <c r="X210" s="4"/>
      <c r="Y210" s="4"/>
      <c r="Z210" s="4"/>
      <c r="AA210" s="4"/>
      <c r="AB210" s="4"/>
    </row>
    <row r="211" spans="1:28" ht="14.25" customHeight="1">
      <c r="A211" s="147"/>
      <c r="B211" s="4"/>
      <c r="C211" s="4"/>
      <c r="D211" s="4"/>
      <c r="E211" s="4"/>
      <c r="F211" s="4"/>
      <c r="G211" s="4"/>
      <c r="H211" s="4"/>
      <c r="I211" s="4"/>
      <c r="J211" s="4"/>
      <c r="K211" s="4"/>
      <c r="L211" s="4"/>
      <c r="M211" s="4"/>
      <c r="N211" s="4"/>
      <c r="O211" s="4"/>
      <c r="P211" s="4"/>
      <c r="Q211" s="4"/>
      <c r="R211" s="4"/>
      <c r="S211" s="4"/>
      <c r="T211" s="99"/>
      <c r="U211" s="4"/>
      <c r="V211" s="4"/>
      <c r="W211" s="4"/>
      <c r="X211" s="4"/>
      <c r="Y211" s="4"/>
      <c r="Z211" s="4"/>
      <c r="AA211" s="4"/>
      <c r="AB211" s="4"/>
    </row>
    <row r="212" spans="1:28" ht="14.25" customHeight="1">
      <c r="A212" s="147"/>
      <c r="B212" s="4"/>
      <c r="C212" s="4"/>
      <c r="D212" s="4"/>
      <c r="E212" s="4"/>
      <c r="F212" s="4"/>
      <c r="G212" s="4"/>
      <c r="H212" s="4"/>
      <c r="I212" s="4"/>
      <c r="J212" s="4"/>
      <c r="K212" s="4"/>
      <c r="L212" s="4"/>
      <c r="M212" s="4"/>
      <c r="N212" s="4"/>
      <c r="O212" s="4"/>
      <c r="P212" s="4"/>
      <c r="Q212" s="4"/>
      <c r="R212" s="4"/>
      <c r="S212" s="4"/>
      <c r="T212" s="99"/>
      <c r="U212" s="4"/>
      <c r="V212" s="4"/>
      <c r="W212" s="4"/>
      <c r="X212" s="4"/>
      <c r="Y212" s="4"/>
      <c r="Z212" s="4"/>
      <c r="AA212" s="4"/>
      <c r="AB212" s="4"/>
    </row>
    <row r="213" spans="1:28" ht="14.25" customHeight="1">
      <c r="A213" s="147"/>
      <c r="B213" s="4"/>
      <c r="C213" s="4"/>
      <c r="D213" s="4"/>
      <c r="E213" s="4"/>
      <c r="F213" s="4"/>
      <c r="G213" s="4"/>
      <c r="H213" s="4"/>
      <c r="I213" s="4"/>
      <c r="J213" s="4"/>
      <c r="K213" s="4"/>
      <c r="L213" s="4"/>
      <c r="M213" s="4"/>
      <c r="N213" s="4"/>
      <c r="O213" s="4"/>
      <c r="P213" s="4"/>
      <c r="Q213" s="4"/>
      <c r="R213" s="4"/>
      <c r="S213" s="4"/>
      <c r="T213" s="99"/>
      <c r="U213" s="4"/>
      <c r="V213" s="4"/>
      <c r="W213" s="4"/>
      <c r="X213" s="4"/>
      <c r="Y213" s="4"/>
      <c r="Z213" s="4"/>
      <c r="AA213" s="4"/>
      <c r="AB213" s="4"/>
    </row>
    <row r="214" spans="1:28" ht="14.25" customHeight="1">
      <c r="A214" s="147"/>
      <c r="B214" s="4"/>
      <c r="C214" s="4"/>
      <c r="D214" s="4"/>
      <c r="E214" s="4"/>
      <c r="F214" s="4"/>
      <c r="G214" s="4"/>
      <c r="H214" s="4"/>
      <c r="I214" s="4"/>
      <c r="J214" s="4"/>
      <c r="K214" s="4"/>
      <c r="L214" s="4"/>
      <c r="M214" s="4"/>
      <c r="N214" s="4"/>
      <c r="O214" s="4"/>
      <c r="P214" s="4"/>
      <c r="Q214" s="4"/>
      <c r="R214" s="4"/>
      <c r="S214" s="4"/>
      <c r="T214" s="99"/>
      <c r="U214" s="4"/>
      <c r="V214" s="4"/>
      <c r="W214" s="4"/>
      <c r="X214" s="4"/>
      <c r="Y214" s="4"/>
      <c r="Z214" s="4"/>
      <c r="AA214" s="4"/>
      <c r="AB214" s="4"/>
    </row>
    <row r="215" spans="1:28" ht="14.25" customHeight="1">
      <c r="A215" s="147"/>
      <c r="B215" s="4"/>
      <c r="C215" s="4"/>
      <c r="D215" s="4"/>
      <c r="E215" s="4"/>
      <c r="F215" s="4"/>
      <c r="G215" s="4"/>
      <c r="H215" s="4"/>
      <c r="I215" s="4"/>
      <c r="J215" s="4"/>
      <c r="K215" s="4"/>
      <c r="L215" s="4"/>
      <c r="M215" s="4"/>
      <c r="N215" s="4"/>
      <c r="O215" s="4"/>
      <c r="P215" s="4"/>
      <c r="Q215" s="4"/>
      <c r="R215" s="4"/>
      <c r="S215" s="4"/>
      <c r="T215" s="99"/>
      <c r="U215" s="4"/>
      <c r="V215" s="4"/>
      <c r="W215" s="4"/>
      <c r="X215" s="4"/>
      <c r="Y215" s="4"/>
      <c r="Z215" s="4"/>
      <c r="AA215" s="4"/>
      <c r="AB215" s="4"/>
    </row>
    <row r="216" spans="1:28" ht="14.25" customHeight="1">
      <c r="A216" s="147"/>
      <c r="B216" s="4"/>
      <c r="C216" s="4"/>
      <c r="D216" s="4"/>
      <c r="E216" s="4"/>
      <c r="F216" s="4"/>
      <c r="G216" s="4"/>
      <c r="H216" s="4"/>
      <c r="I216" s="4"/>
      <c r="J216" s="4"/>
      <c r="K216" s="4"/>
      <c r="L216" s="4"/>
      <c r="M216" s="4"/>
      <c r="N216" s="4"/>
      <c r="O216" s="4"/>
      <c r="P216" s="4"/>
      <c r="Q216" s="4"/>
      <c r="R216" s="4"/>
      <c r="S216" s="4"/>
      <c r="T216" s="99"/>
      <c r="U216" s="4"/>
      <c r="V216" s="4"/>
      <c r="W216" s="4"/>
      <c r="X216" s="4"/>
      <c r="Y216" s="4"/>
      <c r="Z216" s="4"/>
      <c r="AA216" s="4"/>
      <c r="AB216" s="4"/>
    </row>
    <row r="217" spans="1:28" ht="14.25" customHeight="1">
      <c r="A217" s="147"/>
      <c r="B217" s="4"/>
      <c r="C217" s="4"/>
      <c r="D217" s="4"/>
      <c r="E217" s="4"/>
      <c r="F217" s="4"/>
      <c r="G217" s="4"/>
      <c r="H217" s="4"/>
      <c r="I217" s="4"/>
      <c r="J217" s="4"/>
      <c r="K217" s="4"/>
      <c r="L217" s="4"/>
      <c r="M217" s="4"/>
      <c r="N217" s="4"/>
      <c r="O217" s="4"/>
      <c r="P217" s="4"/>
      <c r="Q217" s="4"/>
      <c r="R217" s="4"/>
      <c r="S217" s="4"/>
      <c r="T217" s="99"/>
      <c r="U217" s="4"/>
      <c r="V217" s="4"/>
      <c r="W217" s="4"/>
      <c r="X217" s="4"/>
      <c r="Y217" s="4"/>
      <c r="Z217" s="4"/>
      <c r="AA217" s="4"/>
      <c r="AB217" s="4"/>
    </row>
    <row r="218" spans="1:28" ht="14.25" customHeight="1">
      <c r="A218" s="147"/>
      <c r="B218" s="4"/>
      <c r="C218" s="4"/>
      <c r="D218" s="4"/>
      <c r="E218" s="4"/>
      <c r="F218" s="4"/>
      <c r="G218" s="4"/>
      <c r="H218" s="4"/>
      <c r="I218" s="4"/>
      <c r="J218" s="4"/>
      <c r="K218" s="4"/>
      <c r="L218" s="4"/>
      <c r="M218" s="4"/>
      <c r="N218" s="4"/>
      <c r="O218" s="4"/>
      <c r="P218" s="4"/>
      <c r="Q218" s="4"/>
      <c r="R218" s="4"/>
      <c r="S218" s="4"/>
      <c r="T218" s="99"/>
      <c r="U218" s="4"/>
      <c r="V218" s="4"/>
      <c r="W218" s="4"/>
      <c r="X218" s="4"/>
      <c r="Y218" s="4"/>
      <c r="Z218" s="4"/>
      <c r="AA218" s="4"/>
      <c r="AB218" s="4"/>
    </row>
    <row r="219" spans="1:28" ht="14.25" customHeight="1">
      <c r="A219" s="147"/>
      <c r="B219" s="4"/>
      <c r="C219" s="4"/>
      <c r="D219" s="4"/>
      <c r="E219" s="4"/>
      <c r="F219" s="4"/>
      <c r="G219" s="4"/>
      <c r="H219" s="4"/>
      <c r="I219" s="4"/>
      <c r="J219" s="4"/>
      <c r="K219" s="4"/>
      <c r="L219" s="4"/>
      <c r="M219" s="4"/>
      <c r="N219" s="4"/>
      <c r="O219" s="4"/>
      <c r="P219" s="4"/>
      <c r="Q219" s="4"/>
      <c r="R219" s="4"/>
      <c r="S219" s="4"/>
      <c r="T219" s="99"/>
      <c r="U219" s="4"/>
      <c r="V219" s="4"/>
      <c r="W219" s="4"/>
      <c r="X219" s="4"/>
      <c r="Y219" s="4"/>
      <c r="Z219" s="4"/>
      <c r="AA219" s="4"/>
      <c r="AB219" s="4"/>
    </row>
    <row r="220" spans="1:28" ht="14.25" customHeight="1">
      <c r="A220" s="147"/>
      <c r="B220" s="4"/>
      <c r="C220" s="4"/>
      <c r="D220" s="4"/>
      <c r="E220" s="4"/>
      <c r="F220" s="4"/>
      <c r="G220" s="4"/>
      <c r="H220" s="4"/>
      <c r="I220" s="4"/>
      <c r="J220" s="4"/>
      <c r="K220" s="4"/>
      <c r="L220" s="4"/>
      <c r="M220" s="4"/>
      <c r="N220" s="4"/>
      <c r="O220" s="4"/>
      <c r="P220" s="4"/>
      <c r="Q220" s="4"/>
      <c r="R220" s="4"/>
      <c r="S220" s="4"/>
      <c r="T220" s="99"/>
      <c r="U220" s="4"/>
      <c r="V220" s="4"/>
      <c r="W220" s="4"/>
      <c r="X220" s="4"/>
      <c r="Y220" s="4"/>
      <c r="Z220" s="4"/>
      <c r="AA220" s="4"/>
      <c r="AB220" s="4"/>
    </row>
    <row r="221" spans="1:28" ht="14.25" customHeight="1">
      <c r="A221" s="147"/>
      <c r="B221" s="4"/>
      <c r="C221" s="4"/>
      <c r="D221" s="4"/>
      <c r="E221" s="4"/>
      <c r="F221" s="4"/>
      <c r="G221" s="4"/>
      <c r="H221" s="4"/>
      <c r="I221" s="4"/>
      <c r="J221" s="4"/>
      <c r="K221" s="4"/>
      <c r="L221" s="4"/>
      <c r="M221" s="4"/>
      <c r="N221" s="4"/>
      <c r="O221" s="4"/>
      <c r="P221" s="4"/>
      <c r="Q221" s="4"/>
      <c r="R221" s="4"/>
      <c r="S221" s="4"/>
      <c r="T221" s="99"/>
      <c r="U221" s="4"/>
      <c r="V221" s="4"/>
      <c r="W221" s="4"/>
      <c r="X221" s="4"/>
      <c r="Y221" s="4"/>
      <c r="Z221" s="4"/>
      <c r="AA221" s="4"/>
      <c r="AB221" s="4"/>
    </row>
    <row r="222" spans="1:28" ht="14.25" customHeight="1">
      <c r="A222" s="147"/>
      <c r="B222" s="4"/>
      <c r="C222" s="4"/>
      <c r="D222" s="4"/>
      <c r="E222" s="4"/>
      <c r="F222" s="4"/>
      <c r="G222" s="4"/>
      <c r="H222" s="4"/>
      <c r="I222" s="4"/>
      <c r="J222" s="4"/>
      <c r="K222" s="4"/>
      <c r="L222" s="4"/>
      <c r="M222" s="4"/>
      <c r="N222" s="4"/>
      <c r="O222" s="4"/>
      <c r="P222" s="4"/>
      <c r="Q222" s="4"/>
      <c r="R222" s="4"/>
      <c r="S222" s="4"/>
      <c r="T222" s="99"/>
      <c r="U222" s="4"/>
      <c r="V222" s="4"/>
      <c r="W222" s="4"/>
      <c r="X222" s="4"/>
      <c r="Y222" s="4"/>
      <c r="Z222" s="4"/>
      <c r="AA222" s="4"/>
      <c r="AB222" s="4"/>
    </row>
    <row r="223" spans="1:28" ht="14.25" customHeight="1">
      <c r="A223" s="147"/>
      <c r="B223" s="4"/>
      <c r="C223" s="4"/>
      <c r="D223" s="4"/>
      <c r="E223" s="4"/>
      <c r="F223" s="4"/>
      <c r="G223" s="4"/>
      <c r="H223" s="4"/>
      <c r="I223" s="4"/>
      <c r="J223" s="4"/>
      <c r="K223" s="4"/>
      <c r="L223" s="4"/>
      <c r="M223" s="4"/>
      <c r="N223" s="4"/>
      <c r="O223" s="4"/>
      <c r="P223" s="4"/>
      <c r="Q223" s="4"/>
      <c r="R223" s="4"/>
      <c r="S223" s="4"/>
      <c r="T223" s="99"/>
      <c r="U223" s="4"/>
      <c r="V223" s="4"/>
      <c r="W223" s="4"/>
      <c r="X223" s="4"/>
      <c r="Y223" s="4"/>
      <c r="Z223" s="4"/>
      <c r="AA223" s="4"/>
      <c r="AB223" s="4"/>
    </row>
    <row r="224" spans="1:28" ht="14.25" customHeight="1">
      <c r="A224" s="147"/>
      <c r="B224" s="4"/>
      <c r="C224" s="4"/>
      <c r="D224" s="4"/>
      <c r="E224" s="4"/>
      <c r="F224" s="4"/>
      <c r="G224" s="4"/>
      <c r="H224" s="4"/>
      <c r="I224" s="4"/>
      <c r="J224" s="4"/>
      <c r="K224" s="4"/>
      <c r="L224" s="4"/>
      <c r="M224" s="4"/>
      <c r="N224" s="4"/>
      <c r="O224" s="4"/>
      <c r="P224" s="4"/>
      <c r="Q224" s="4"/>
      <c r="R224" s="4"/>
      <c r="S224" s="4"/>
      <c r="T224" s="99"/>
      <c r="U224" s="4"/>
      <c r="V224" s="4"/>
      <c r="W224" s="4"/>
      <c r="X224" s="4"/>
      <c r="Y224" s="4"/>
      <c r="Z224" s="4"/>
      <c r="AA224" s="4"/>
      <c r="AB224" s="4"/>
    </row>
    <row r="225" spans="1:28" ht="14.25" customHeight="1">
      <c r="A225" s="147"/>
      <c r="B225" s="4"/>
      <c r="C225" s="4"/>
      <c r="D225" s="4"/>
      <c r="E225" s="4"/>
      <c r="F225" s="4"/>
      <c r="G225" s="4"/>
      <c r="H225" s="4"/>
      <c r="I225" s="4"/>
      <c r="J225" s="4"/>
      <c r="K225" s="4"/>
      <c r="L225" s="4"/>
      <c r="M225" s="4"/>
      <c r="N225" s="4"/>
      <c r="O225" s="4"/>
      <c r="P225" s="4"/>
      <c r="Q225" s="4"/>
      <c r="R225" s="4"/>
      <c r="S225" s="4"/>
      <c r="T225" s="99"/>
      <c r="U225" s="4"/>
      <c r="V225" s="4"/>
      <c r="W225" s="4"/>
      <c r="X225" s="4"/>
      <c r="Y225" s="4"/>
      <c r="Z225" s="4"/>
      <c r="AA225" s="4"/>
      <c r="AB225" s="4"/>
    </row>
    <row r="226" spans="1:28" ht="14.25" customHeight="1">
      <c r="A226" s="147"/>
      <c r="B226" s="4"/>
      <c r="C226" s="4"/>
      <c r="D226" s="4"/>
      <c r="E226" s="4"/>
      <c r="F226" s="4"/>
      <c r="G226" s="4"/>
      <c r="H226" s="4"/>
      <c r="I226" s="4"/>
      <c r="J226" s="4"/>
      <c r="K226" s="4"/>
      <c r="L226" s="4"/>
      <c r="M226" s="4"/>
      <c r="N226" s="4"/>
      <c r="O226" s="4"/>
      <c r="P226" s="4"/>
      <c r="Q226" s="4"/>
      <c r="R226" s="4"/>
      <c r="S226" s="4"/>
      <c r="T226" s="99"/>
      <c r="U226" s="4"/>
      <c r="V226" s="4"/>
      <c r="W226" s="4"/>
      <c r="X226" s="4"/>
      <c r="Y226" s="4"/>
      <c r="Z226" s="4"/>
      <c r="AA226" s="4"/>
      <c r="AB226" s="4"/>
    </row>
    <row r="227" spans="1:28" ht="14.25" customHeight="1">
      <c r="A227" s="147"/>
      <c r="B227" s="4"/>
      <c r="C227" s="4"/>
      <c r="D227" s="4"/>
      <c r="E227" s="4"/>
      <c r="F227" s="4"/>
      <c r="G227" s="4"/>
      <c r="H227" s="4"/>
      <c r="I227" s="4"/>
      <c r="J227" s="4"/>
      <c r="K227" s="4"/>
      <c r="L227" s="4"/>
      <c r="M227" s="4"/>
      <c r="N227" s="4"/>
      <c r="O227" s="4"/>
      <c r="P227" s="4"/>
      <c r="Q227" s="4"/>
      <c r="R227" s="4"/>
      <c r="S227" s="4"/>
      <c r="T227" s="99"/>
      <c r="U227" s="4"/>
      <c r="V227" s="4"/>
      <c r="W227" s="4"/>
      <c r="X227" s="4"/>
      <c r="Y227" s="4"/>
      <c r="Z227" s="4"/>
      <c r="AA227" s="4"/>
      <c r="AB227" s="4"/>
    </row>
    <row r="228" spans="1:28" ht="14.25" customHeight="1">
      <c r="A228" s="147"/>
      <c r="B228" s="4"/>
      <c r="C228" s="4"/>
      <c r="D228" s="4"/>
      <c r="E228" s="4"/>
      <c r="F228" s="4"/>
      <c r="G228" s="4"/>
      <c r="H228" s="4"/>
      <c r="I228" s="4"/>
      <c r="J228" s="4"/>
      <c r="K228" s="4"/>
      <c r="L228" s="4"/>
      <c r="M228" s="4"/>
      <c r="N228" s="4"/>
      <c r="O228" s="4"/>
      <c r="P228" s="4"/>
      <c r="Q228" s="4"/>
      <c r="R228" s="4"/>
      <c r="S228" s="4"/>
      <c r="T228" s="99"/>
      <c r="U228" s="4"/>
      <c r="V228" s="4"/>
      <c r="W228" s="4"/>
      <c r="X228" s="4"/>
      <c r="Y228" s="4"/>
      <c r="Z228" s="4"/>
      <c r="AA228" s="4"/>
      <c r="AB228" s="4"/>
    </row>
    <row r="229" spans="1:28" ht="14.25" customHeight="1">
      <c r="A229" s="147"/>
      <c r="B229" s="4"/>
      <c r="C229" s="4"/>
      <c r="D229" s="4"/>
      <c r="E229" s="4"/>
      <c r="F229" s="4"/>
      <c r="G229" s="4"/>
      <c r="H229" s="4"/>
      <c r="I229" s="4"/>
      <c r="J229" s="4"/>
      <c r="K229" s="4"/>
      <c r="L229" s="4"/>
      <c r="M229" s="4"/>
      <c r="N229" s="4"/>
      <c r="O229" s="4"/>
      <c r="P229" s="4"/>
      <c r="Q229" s="4"/>
      <c r="R229" s="4"/>
      <c r="S229" s="4"/>
      <c r="T229" s="99"/>
      <c r="U229" s="4"/>
      <c r="V229" s="4"/>
      <c r="W229" s="4"/>
      <c r="X229" s="4"/>
      <c r="Y229" s="4"/>
      <c r="Z229" s="4"/>
      <c r="AA229" s="4"/>
      <c r="AB229" s="4"/>
    </row>
    <row r="230" spans="1:28" ht="14.25" customHeight="1">
      <c r="A230" s="147"/>
      <c r="B230" s="4"/>
      <c r="C230" s="4"/>
      <c r="D230" s="4"/>
      <c r="E230" s="4"/>
      <c r="F230" s="4"/>
      <c r="G230" s="4"/>
      <c r="H230" s="4"/>
      <c r="I230" s="4"/>
      <c r="J230" s="4"/>
      <c r="K230" s="4"/>
      <c r="L230" s="4"/>
      <c r="M230" s="4"/>
      <c r="N230" s="4"/>
      <c r="O230" s="4"/>
      <c r="P230" s="4"/>
      <c r="Q230" s="4"/>
      <c r="R230" s="4"/>
      <c r="S230" s="4"/>
      <c r="T230" s="99"/>
      <c r="U230" s="4"/>
      <c r="V230" s="4"/>
      <c r="W230" s="4"/>
      <c r="X230" s="4"/>
      <c r="Y230" s="4"/>
      <c r="Z230" s="4"/>
      <c r="AA230" s="4"/>
      <c r="AB230" s="4"/>
    </row>
    <row r="231" spans="1:28" ht="14.25" customHeight="1">
      <c r="A231" s="147"/>
      <c r="B231" s="4"/>
      <c r="C231" s="4"/>
      <c r="D231" s="4"/>
      <c r="E231" s="4"/>
      <c r="F231" s="4"/>
      <c r="G231" s="4"/>
      <c r="H231" s="4"/>
      <c r="I231" s="4"/>
      <c r="J231" s="4"/>
      <c r="K231" s="4"/>
      <c r="L231" s="4"/>
      <c r="M231" s="4"/>
      <c r="N231" s="4"/>
      <c r="O231" s="4"/>
      <c r="P231" s="4"/>
      <c r="Q231" s="4"/>
      <c r="R231" s="4"/>
      <c r="S231" s="4"/>
      <c r="T231" s="99"/>
      <c r="U231" s="4"/>
      <c r="V231" s="4"/>
      <c r="W231" s="4"/>
      <c r="X231" s="4"/>
      <c r="Y231" s="4"/>
      <c r="Z231" s="4"/>
      <c r="AA231" s="4"/>
      <c r="AB231" s="4"/>
    </row>
    <row r="232" spans="1:28" ht="14.25" customHeight="1">
      <c r="A232" s="147"/>
      <c r="B232" s="4"/>
      <c r="C232" s="4"/>
      <c r="D232" s="4"/>
      <c r="E232" s="4"/>
      <c r="F232" s="4"/>
      <c r="G232" s="4"/>
      <c r="H232" s="4"/>
      <c r="I232" s="4"/>
      <c r="J232" s="4"/>
      <c r="K232" s="4"/>
      <c r="L232" s="4"/>
      <c r="M232" s="4"/>
      <c r="N232" s="4"/>
      <c r="O232" s="4"/>
      <c r="P232" s="4"/>
      <c r="Q232" s="4"/>
      <c r="R232" s="4"/>
      <c r="S232" s="4"/>
      <c r="T232" s="99"/>
      <c r="U232" s="4"/>
      <c r="V232" s="4"/>
      <c r="W232" s="4"/>
      <c r="X232" s="4"/>
      <c r="Y232" s="4"/>
      <c r="Z232" s="4"/>
      <c r="AA232" s="4"/>
      <c r="AB232" s="4"/>
    </row>
    <row r="233" spans="1:28" ht="14.25" customHeight="1">
      <c r="A233" s="147"/>
      <c r="B233" s="4"/>
      <c r="C233" s="4"/>
      <c r="D233" s="4"/>
      <c r="E233" s="4"/>
      <c r="F233" s="4"/>
      <c r="G233" s="4"/>
      <c r="H233" s="4"/>
      <c r="I233" s="4"/>
      <c r="J233" s="4"/>
      <c r="K233" s="4"/>
      <c r="L233" s="4"/>
      <c r="M233" s="4"/>
      <c r="N233" s="4"/>
      <c r="O233" s="4"/>
      <c r="P233" s="4"/>
      <c r="Q233" s="4"/>
      <c r="R233" s="4"/>
      <c r="S233" s="4"/>
      <c r="T233" s="99"/>
      <c r="U233" s="4"/>
      <c r="V233" s="4"/>
      <c r="W233" s="4"/>
      <c r="X233" s="4"/>
      <c r="Y233" s="4"/>
      <c r="Z233" s="4"/>
      <c r="AA233" s="4"/>
      <c r="AB233" s="4"/>
    </row>
    <row r="234" spans="1:28" ht="14.25" customHeight="1">
      <c r="A234" s="147"/>
      <c r="B234" s="4"/>
      <c r="C234" s="4"/>
      <c r="D234" s="4"/>
      <c r="E234" s="4"/>
      <c r="F234" s="4"/>
      <c r="G234" s="4"/>
      <c r="H234" s="4"/>
      <c r="I234" s="4"/>
      <c r="J234" s="4"/>
      <c r="K234" s="4"/>
      <c r="L234" s="4"/>
      <c r="M234" s="4"/>
      <c r="N234" s="4"/>
      <c r="O234" s="4"/>
      <c r="P234" s="4"/>
      <c r="Q234" s="4"/>
      <c r="R234" s="4"/>
      <c r="S234" s="4"/>
      <c r="T234" s="99"/>
      <c r="U234" s="4"/>
      <c r="V234" s="4"/>
      <c r="W234" s="4"/>
      <c r="X234" s="4"/>
      <c r="Y234" s="4"/>
      <c r="Z234" s="4"/>
      <c r="AA234" s="4"/>
      <c r="AB234" s="4"/>
    </row>
    <row r="235" spans="1:28" ht="14.25" customHeight="1">
      <c r="A235" s="147"/>
      <c r="B235" s="4"/>
      <c r="C235" s="4"/>
      <c r="D235" s="4"/>
      <c r="E235" s="4"/>
      <c r="F235" s="4"/>
      <c r="G235" s="4"/>
      <c r="H235" s="4"/>
      <c r="I235" s="4"/>
      <c r="J235" s="4"/>
      <c r="K235" s="4"/>
      <c r="L235" s="4"/>
      <c r="M235" s="4"/>
      <c r="N235" s="4"/>
      <c r="O235" s="4"/>
      <c r="P235" s="4"/>
      <c r="Q235" s="4"/>
      <c r="R235" s="4"/>
      <c r="S235" s="4"/>
      <c r="T235" s="99"/>
      <c r="U235" s="4"/>
      <c r="V235" s="4"/>
      <c r="W235" s="4"/>
      <c r="X235" s="4"/>
      <c r="Y235" s="4"/>
      <c r="Z235" s="4"/>
      <c r="AA235" s="4"/>
      <c r="AB235" s="4"/>
    </row>
    <row r="236" spans="1:28" ht="14.25" customHeight="1">
      <c r="A236" s="147"/>
      <c r="B236" s="4"/>
      <c r="C236" s="4"/>
      <c r="D236" s="4"/>
      <c r="E236" s="4"/>
      <c r="F236" s="4"/>
      <c r="G236" s="4"/>
      <c r="H236" s="4"/>
      <c r="I236" s="4"/>
      <c r="J236" s="4"/>
      <c r="K236" s="4"/>
      <c r="L236" s="4"/>
      <c r="M236" s="4"/>
      <c r="N236" s="4"/>
      <c r="O236" s="4"/>
      <c r="P236" s="4"/>
      <c r="Q236" s="4"/>
      <c r="R236" s="4"/>
      <c r="S236" s="4"/>
      <c r="T236" s="99"/>
      <c r="U236" s="4"/>
      <c r="V236" s="4"/>
      <c r="W236" s="4"/>
      <c r="X236" s="4"/>
      <c r="Y236" s="4"/>
      <c r="Z236" s="4"/>
      <c r="AA236" s="4"/>
      <c r="AB236" s="4"/>
    </row>
    <row r="237" spans="1:28" ht="14.25" customHeight="1">
      <c r="A237" s="147"/>
      <c r="B237" s="4"/>
      <c r="C237" s="4"/>
      <c r="D237" s="4"/>
      <c r="E237" s="4"/>
      <c r="F237" s="4"/>
      <c r="G237" s="4"/>
      <c r="H237" s="4"/>
      <c r="I237" s="4"/>
      <c r="J237" s="4"/>
      <c r="K237" s="4"/>
      <c r="L237" s="4"/>
      <c r="M237" s="4"/>
      <c r="N237" s="4"/>
      <c r="O237" s="4"/>
      <c r="P237" s="4"/>
      <c r="Q237" s="4"/>
      <c r="R237" s="4"/>
      <c r="S237" s="4"/>
      <c r="T237" s="99"/>
      <c r="U237" s="4"/>
      <c r="V237" s="4"/>
      <c r="W237" s="4"/>
      <c r="X237" s="4"/>
      <c r="Y237" s="4"/>
      <c r="Z237" s="4"/>
      <c r="AA237" s="4"/>
      <c r="AB237" s="4"/>
    </row>
    <row r="238" spans="1:28" ht="14.25" customHeight="1">
      <c r="A238" s="147"/>
      <c r="B238" s="4"/>
      <c r="C238" s="4"/>
      <c r="D238" s="4"/>
      <c r="E238" s="4"/>
      <c r="F238" s="4"/>
      <c r="G238" s="4"/>
      <c r="H238" s="4"/>
      <c r="I238" s="4"/>
      <c r="J238" s="4"/>
      <c r="K238" s="4"/>
      <c r="L238" s="4"/>
      <c r="M238" s="4"/>
      <c r="N238" s="4"/>
      <c r="O238" s="4"/>
      <c r="P238" s="4"/>
      <c r="Q238" s="4"/>
      <c r="R238" s="4"/>
      <c r="S238" s="4"/>
      <c r="T238" s="99"/>
      <c r="U238" s="4"/>
      <c r="V238" s="4"/>
      <c r="W238" s="4"/>
      <c r="X238" s="4"/>
      <c r="Y238" s="4"/>
      <c r="Z238" s="4"/>
      <c r="AA238" s="4"/>
      <c r="AB238" s="4"/>
    </row>
    <row r="239" spans="1:28" ht="14.25" customHeight="1">
      <c r="A239" s="147"/>
      <c r="B239" s="4"/>
      <c r="C239" s="4"/>
      <c r="D239" s="4"/>
      <c r="E239" s="4"/>
      <c r="F239" s="4"/>
      <c r="G239" s="4"/>
      <c r="H239" s="4"/>
      <c r="I239" s="4"/>
      <c r="J239" s="4"/>
      <c r="K239" s="4"/>
      <c r="L239" s="4"/>
      <c r="M239" s="4"/>
      <c r="N239" s="4"/>
      <c r="O239" s="4"/>
      <c r="P239" s="4"/>
      <c r="Q239" s="4"/>
      <c r="R239" s="4"/>
      <c r="S239" s="4"/>
      <c r="T239" s="99"/>
      <c r="U239" s="4"/>
      <c r="V239" s="4"/>
      <c r="W239" s="4"/>
      <c r="X239" s="4"/>
      <c r="Y239" s="4"/>
      <c r="Z239" s="4"/>
      <c r="AA239" s="4"/>
      <c r="AB239" s="4"/>
    </row>
    <row r="240" spans="1:28" ht="14.25" customHeight="1">
      <c r="A240" s="147"/>
      <c r="B240" s="4"/>
      <c r="C240" s="4"/>
      <c r="D240" s="4"/>
      <c r="E240" s="4"/>
      <c r="F240" s="4"/>
      <c r="G240" s="4"/>
      <c r="H240" s="4"/>
      <c r="I240" s="4"/>
      <c r="J240" s="4"/>
      <c r="K240" s="4"/>
      <c r="L240" s="4"/>
      <c r="M240" s="4"/>
      <c r="N240" s="4"/>
      <c r="O240" s="4"/>
      <c r="P240" s="4"/>
      <c r="Q240" s="4"/>
      <c r="R240" s="4"/>
      <c r="S240" s="4"/>
      <c r="T240" s="99"/>
      <c r="U240" s="4"/>
      <c r="V240" s="4"/>
      <c r="W240" s="4"/>
      <c r="X240" s="4"/>
      <c r="Y240" s="4"/>
      <c r="Z240" s="4"/>
      <c r="AA240" s="4"/>
      <c r="AB240" s="4"/>
    </row>
    <row r="241" spans="1:28" ht="14.25" customHeight="1">
      <c r="A241" s="147"/>
      <c r="B241" s="4"/>
      <c r="C241" s="4"/>
      <c r="D241" s="4"/>
      <c r="E241" s="4"/>
      <c r="F241" s="4"/>
      <c r="G241" s="4"/>
      <c r="H241" s="4"/>
      <c r="I241" s="4"/>
      <c r="J241" s="4"/>
      <c r="K241" s="4"/>
      <c r="L241" s="4"/>
      <c r="M241" s="4"/>
      <c r="N241" s="4"/>
      <c r="O241" s="4"/>
      <c r="P241" s="4"/>
      <c r="Q241" s="4"/>
      <c r="R241" s="4"/>
      <c r="S241" s="4"/>
      <c r="T241" s="99"/>
      <c r="U241" s="4"/>
      <c r="V241" s="4"/>
      <c r="W241" s="4"/>
      <c r="X241" s="4"/>
      <c r="Y241" s="4"/>
      <c r="Z241" s="4"/>
      <c r="AA241" s="4"/>
      <c r="AB241" s="4"/>
    </row>
    <row r="242" spans="1:28" ht="14.25" customHeight="1">
      <c r="A242" s="147"/>
      <c r="B242" s="4"/>
      <c r="C242" s="4"/>
      <c r="D242" s="4"/>
      <c r="E242" s="4"/>
      <c r="F242" s="4"/>
      <c r="G242" s="4"/>
      <c r="H242" s="4"/>
      <c r="I242" s="4"/>
      <c r="J242" s="4"/>
      <c r="K242" s="4"/>
      <c r="L242" s="4"/>
      <c r="M242" s="4"/>
      <c r="N242" s="4"/>
      <c r="O242" s="4"/>
      <c r="P242" s="4"/>
      <c r="Q242" s="4"/>
      <c r="R242" s="4"/>
      <c r="S242" s="4"/>
      <c r="T242" s="99"/>
      <c r="U242" s="4"/>
      <c r="V242" s="4"/>
      <c r="W242" s="4"/>
      <c r="X242" s="4"/>
      <c r="Y242" s="4"/>
      <c r="Z242" s="4"/>
      <c r="AA242" s="4"/>
      <c r="AB242" s="4"/>
    </row>
    <row r="243" spans="1:28" ht="14.25" customHeight="1">
      <c r="A243" s="147"/>
      <c r="B243" s="4"/>
      <c r="C243" s="4"/>
      <c r="D243" s="4"/>
      <c r="E243" s="4"/>
      <c r="F243" s="4"/>
      <c r="G243" s="4"/>
      <c r="H243" s="4"/>
      <c r="I243" s="4"/>
      <c r="J243" s="4"/>
      <c r="K243" s="4"/>
      <c r="L243" s="4"/>
      <c r="M243" s="4"/>
      <c r="N243" s="4"/>
      <c r="O243" s="4"/>
      <c r="P243" s="4"/>
      <c r="Q243" s="4"/>
      <c r="R243" s="4"/>
      <c r="S243" s="4"/>
      <c r="T243" s="99"/>
      <c r="U243" s="4"/>
      <c r="V243" s="4"/>
      <c r="W243" s="4"/>
      <c r="X243" s="4"/>
      <c r="Y243" s="4"/>
      <c r="Z243" s="4"/>
      <c r="AA243" s="4"/>
      <c r="AB243" s="4"/>
    </row>
    <row r="244" spans="1:28" ht="14.25" customHeight="1">
      <c r="A244" s="147"/>
      <c r="B244" s="4"/>
      <c r="C244" s="4"/>
      <c r="D244" s="4"/>
      <c r="E244" s="4"/>
      <c r="F244" s="4"/>
      <c r="G244" s="4"/>
      <c r="H244" s="4"/>
      <c r="I244" s="4"/>
      <c r="J244" s="4"/>
      <c r="K244" s="4"/>
      <c r="L244" s="4"/>
      <c r="M244" s="4"/>
      <c r="N244" s="4"/>
      <c r="O244" s="4"/>
      <c r="P244" s="4"/>
      <c r="Q244" s="4"/>
      <c r="R244" s="4"/>
      <c r="S244" s="4"/>
      <c r="T244" s="99"/>
      <c r="U244" s="4"/>
      <c r="V244" s="4"/>
      <c r="W244" s="4"/>
      <c r="X244" s="4"/>
      <c r="Y244" s="4"/>
      <c r="Z244" s="4"/>
      <c r="AA244" s="4"/>
      <c r="AB244" s="4"/>
    </row>
    <row r="245" spans="1:28" ht="14.25" customHeight="1">
      <c r="A245" s="147"/>
      <c r="B245" s="4"/>
      <c r="C245" s="4"/>
      <c r="D245" s="4"/>
      <c r="E245" s="4"/>
      <c r="F245" s="4"/>
      <c r="G245" s="4"/>
      <c r="H245" s="4"/>
      <c r="I245" s="4"/>
      <c r="J245" s="4"/>
      <c r="K245" s="4"/>
      <c r="L245" s="4"/>
      <c r="M245" s="4"/>
      <c r="N245" s="4"/>
      <c r="O245" s="4"/>
      <c r="P245" s="4"/>
      <c r="Q245" s="4"/>
      <c r="R245" s="4"/>
      <c r="S245" s="4"/>
      <c r="T245" s="99"/>
      <c r="U245" s="4"/>
      <c r="V245" s="4"/>
      <c r="W245" s="4"/>
      <c r="X245" s="4"/>
      <c r="Y245" s="4"/>
      <c r="Z245" s="4"/>
      <c r="AA245" s="4"/>
      <c r="AB245" s="4"/>
    </row>
    <row r="246" spans="1:28" ht="14.25" customHeight="1">
      <c r="A246" s="147"/>
      <c r="B246" s="4"/>
      <c r="C246" s="4"/>
      <c r="D246" s="4"/>
      <c r="E246" s="4"/>
      <c r="F246" s="4"/>
      <c r="G246" s="4"/>
      <c r="H246" s="4"/>
      <c r="I246" s="4"/>
      <c r="J246" s="4"/>
      <c r="K246" s="4"/>
      <c r="L246" s="4"/>
      <c r="M246" s="4"/>
      <c r="N246" s="4"/>
      <c r="O246" s="4"/>
      <c r="P246" s="4"/>
      <c r="Q246" s="4"/>
      <c r="R246" s="4"/>
      <c r="S246" s="4"/>
      <c r="T246" s="99"/>
      <c r="U246" s="4"/>
      <c r="V246" s="4"/>
      <c r="W246" s="4"/>
      <c r="X246" s="4"/>
      <c r="Y246" s="4"/>
      <c r="Z246" s="4"/>
      <c r="AA246" s="4"/>
      <c r="AB246" s="4"/>
    </row>
    <row r="247" spans="1:28" ht="14.25" customHeight="1">
      <c r="A247" s="147"/>
      <c r="B247" s="4"/>
      <c r="C247" s="4"/>
      <c r="D247" s="4"/>
      <c r="E247" s="4"/>
      <c r="F247" s="4"/>
      <c r="G247" s="4"/>
      <c r="H247" s="4"/>
      <c r="I247" s="4"/>
      <c r="J247" s="4"/>
      <c r="K247" s="4"/>
      <c r="L247" s="4"/>
      <c r="M247" s="4"/>
      <c r="N247" s="4"/>
      <c r="O247" s="4"/>
      <c r="P247" s="4"/>
      <c r="Q247" s="4"/>
      <c r="R247" s="4"/>
      <c r="S247" s="4"/>
      <c r="T247" s="99"/>
      <c r="U247" s="4"/>
      <c r="V247" s="4"/>
      <c r="W247" s="4"/>
      <c r="X247" s="4"/>
      <c r="Y247" s="4"/>
      <c r="Z247" s="4"/>
      <c r="AA247" s="4"/>
      <c r="AB247" s="4"/>
    </row>
    <row r="248" spans="1:28" ht="14.25" customHeight="1">
      <c r="A248" s="147"/>
      <c r="B248" s="4"/>
      <c r="C248" s="4"/>
      <c r="D248" s="4"/>
      <c r="E248" s="4"/>
      <c r="F248" s="4"/>
      <c r="G248" s="4"/>
      <c r="H248" s="4"/>
      <c r="I248" s="4"/>
      <c r="J248" s="4"/>
      <c r="K248" s="4"/>
      <c r="L248" s="4"/>
      <c r="M248" s="4"/>
      <c r="N248" s="4"/>
      <c r="O248" s="4"/>
      <c r="P248" s="4"/>
      <c r="Q248" s="4"/>
      <c r="R248" s="4"/>
      <c r="S248" s="4"/>
      <c r="T248" s="99"/>
      <c r="U248" s="4"/>
      <c r="V248" s="4"/>
      <c r="W248" s="4"/>
      <c r="X248" s="4"/>
      <c r="Y248" s="4"/>
      <c r="Z248" s="4"/>
      <c r="AA248" s="4"/>
      <c r="AB248" s="4"/>
    </row>
    <row r="249" spans="1:28" ht="14.25" customHeight="1">
      <c r="A249" s="147"/>
      <c r="B249" s="4"/>
      <c r="C249" s="4"/>
      <c r="D249" s="4"/>
      <c r="E249" s="4"/>
      <c r="F249" s="4"/>
      <c r="G249" s="4"/>
      <c r="H249" s="4"/>
      <c r="I249" s="4"/>
      <c r="J249" s="4"/>
      <c r="K249" s="4"/>
      <c r="L249" s="4"/>
      <c r="M249" s="4"/>
      <c r="N249" s="4"/>
      <c r="O249" s="4"/>
      <c r="P249" s="4"/>
      <c r="Q249" s="4"/>
      <c r="R249" s="4"/>
      <c r="S249" s="4"/>
      <c r="T249" s="99"/>
      <c r="U249" s="4"/>
      <c r="V249" s="4"/>
      <c r="W249" s="4"/>
      <c r="X249" s="4"/>
      <c r="Y249" s="4"/>
      <c r="Z249" s="4"/>
      <c r="AA249" s="4"/>
      <c r="AB249" s="4"/>
    </row>
    <row r="250" spans="1:28"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E9" sqref="E9"/>
    </sheetView>
  </sheetViews>
  <sheetFormatPr defaultColWidth="14.453125" defaultRowHeight="15" customHeight="1"/>
  <cols>
    <col min="1" max="1" width="3.453125" customWidth="1"/>
    <col min="2" max="2" width="18.81640625" customWidth="1"/>
    <col min="3" max="3" width="7.81640625" customWidth="1"/>
    <col min="4" max="4" width="10.81640625" customWidth="1"/>
    <col min="5" max="5" width="26" customWidth="1"/>
    <col min="6" max="6" width="24.81640625" customWidth="1"/>
  </cols>
  <sheetData>
    <row r="1" spans="1:6" ht="47.25" customHeight="1">
      <c r="A1" s="133" t="s">
        <v>218</v>
      </c>
      <c r="B1" s="134" t="s">
        <v>28</v>
      </c>
      <c r="C1" s="135" t="s">
        <v>237</v>
      </c>
      <c r="D1" s="136" t="s">
        <v>238</v>
      </c>
      <c r="E1" s="137" t="s">
        <v>239</v>
      </c>
      <c r="F1" s="138" t="s">
        <v>240</v>
      </c>
    </row>
    <row r="2" spans="1:6" ht="14.5">
      <c r="A2" s="139">
        <v>1</v>
      </c>
      <c r="B2" s="140" t="s">
        <v>76</v>
      </c>
      <c r="C2" s="141">
        <v>2.8458153079093123</v>
      </c>
      <c r="D2" s="142">
        <v>2523519</v>
      </c>
      <c r="E2" s="143">
        <v>91.36</v>
      </c>
      <c r="F2" s="144">
        <f t="shared" ref="F2:F48" si="0">E2*C2</f>
        <v>259.99368653059474</v>
      </c>
    </row>
    <row r="3" spans="1:6" ht="14.5">
      <c r="A3" s="139">
        <v>2</v>
      </c>
      <c r="B3" s="140" t="s">
        <v>87</v>
      </c>
      <c r="C3" s="141">
        <v>2.6591126390039355</v>
      </c>
      <c r="D3" s="142">
        <v>892151</v>
      </c>
      <c r="E3" s="143">
        <v>73.64</v>
      </c>
      <c r="F3" s="144">
        <f t="shared" si="0"/>
        <v>195.81705473624982</v>
      </c>
    </row>
    <row r="4" spans="1:6" ht="14.5">
      <c r="A4" s="139">
        <v>3</v>
      </c>
      <c r="B4" s="140" t="s">
        <v>103</v>
      </c>
      <c r="C4" s="141">
        <v>2.6407866430045996</v>
      </c>
      <c r="D4" s="142">
        <v>690275</v>
      </c>
      <c r="E4" s="143">
        <v>61.12</v>
      </c>
      <c r="F4" s="144">
        <f t="shared" si="0"/>
        <v>161.40487962044114</v>
      </c>
    </row>
    <row r="5" spans="1:6" ht="14.5">
      <c r="A5" s="139">
        <v>4</v>
      </c>
      <c r="B5" s="140" t="s">
        <v>104</v>
      </c>
      <c r="C5" s="141">
        <v>3.2280741697119208</v>
      </c>
      <c r="D5" s="142">
        <v>346988</v>
      </c>
      <c r="E5" s="143">
        <v>42.71</v>
      </c>
      <c r="F5" s="144">
        <f t="shared" si="0"/>
        <v>137.87104778839614</v>
      </c>
    </row>
    <row r="6" spans="1:6" ht="14.5">
      <c r="A6" s="139">
        <v>5</v>
      </c>
      <c r="B6" s="140" t="s">
        <v>105</v>
      </c>
      <c r="C6" s="141">
        <v>2.791645991913092</v>
      </c>
      <c r="D6" s="142">
        <v>189442</v>
      </c>
      <c r="E6" s="145">
        <v>61.2</v>
      </c>
      <c r="F6" s="144">
        <f t="shared" si="0"/>
        <v>170.84873470508123</v>
      </c>
    </row>
    <row r="7" spans="1:6" ht="14.5">
      <c r="A7" s="139">
        <v>6</v>
      </c>
      <c r="B7" s="140" t="s">
        <v>106</v>
      </c>
      <c r="C7" s="141">
        <v>3.0151582035627214</v>
      </c>
      <c r="D7" s="142">
        <v>294494</v>
      </c>
      <c r="E7" s="143">
        <v>55.55</v>
      </c>
      <c r="F7" s="144">
        <f t="shared" si="0"/>
        <v>167.49203820790916</v>
      </c>
    </row>
    <row r="8" spans="1:6" ht="14.5">
      <c r="A8" s="139">
        <v>7</v>
      </c>
      <c r="B8" s="140" t="s">
        <v>107</v>
      </c>
      <c r="C8" s="141">
        <v>2.7144187891908675</v>
      </c>
      <c r="D8" s="142">
        <v>231878</v>
      </c>
      <c r="E8" s="143">
        <v>59.47</v>
      </c>
      <c r="F8" s="144">
        <f t="shared" si="0"/>
        <v>161.42648539318088</v>
      </c>
    </row>
    <row r="9" spans="1:6" ht="14.5">
      <c r="A9" s="139">
        <v>8</v>
      </c>
      <c r="B9" s="140" t="s">
        <v>108</v>
      </c>
      <c r="C9" s="141">
        <v>2.3617684870776379</v>
      </c>
      <c r="D9" s="142">
        <v>173459</v>
      </c>
      <c r="E9" s="143">
        <v>75.66</v>
      </c>
      <c r="F9" s="144">
        <f t="shared" si="0"/>
        <v>178.69140373229408</v>
      </c>
    </row>
    <row r="10" spans="1:6" ht="14.5">
      <c r="A10" s="139">
        <v>9</v>
      </c>
      <c r="B10" s="140" t="s">
        <v>109</v>
      </c>
      <c r="C10" s="141">
        <v>2.7429262269780841</v>
      </c>
      <c r="D10" s="142">
        <v>174942</v>
      </c>
      <c r="E10" s="146">
        <f>Variables!$E$46</f>
        <v>65.935833333333335</v>
      </c>
      <c r="F10" s="144">
        <f t="shared" si="0"/>
        <v>180.85712654765578</v>
      </c>
    </row>
    <row r="11" spans="1:6" ht="14.5">
      <c r="A11" s="139">
        <v>10</v>
      </c>
      <c r="B11" s="140" t="s">
        <v>110</v>
      </c>
      <c r="C11" s="141">
        <v>2.5116430728482135</v>
      </c>
      <c r="D11" s="142">
        <v>199346</v>
      </c>
      <c r="E11" s="143">
        <v>62.81</v>
      </c>
      <c r="F11" s="144">
        <f t="shared" si="0"/>
        <v>157.7563014055963</v>
      </c>
    </row>
    <row r="12" spans="1:6" ht="14.5">
      <c r="A12" s="139">
        <v>11</v>
      </c>
      <c r="B12" s="140" t="s">
        <v>125</v>
      </c>
      <c r="C12" s="141">
        <v>2.693850400263019</v>
      </c>
      <c r="D12" s="142">
        <v>130789</v>
      </c>
      <c r="E12" s="146">
        <f>Variables!$E$46</f>
        <v>65.935833333333335</v>
      </c>
      <c r="F12" s="144">
        <f t="shared" si="0"/>
        <v>177.62127101667571</v>
      </c>
    </row>
    <row r="13" spans="1:6" ht="14.5">
      <c r="A13" s="139">
        <v>12</v>
      </c>
      <c r="B13" s="140" t="s">
        <v>152</v>
      </c>
      <c r="C13" s="141">
        <v>2.5280688906285511</v>
      </c>
      <c r="D13" s="142">
        <v>158396</v>
      </c>
      <c r="E13" s="143">
        <v>89.08</v>
      </c>
      <c r="F13" s="144">
        <f t="shared" si="0"/>
        <v>225.20037677719134</v>
      </c>
    </row>
    <row r="14" spans="1:6" ht="14.5">
      <c r="A14" s="139">
        <v>13</v>
      </c>
      <c r="B14" s="140" t="s">
        <v>181</v>
      </c>
      <c r="C14" s="141">
        <v>2.4075040417460345</v>
      </c>
      <c r="D14" s="142">
        <v>187419</v>
      </c>
      <c r="E14" s="143">
        <v>71.48</v>
      </c>
      <c r="F14" s="144">
        <f t="shared" si="0"/>
        <v>172.08838890400656</v>
      </c>
    </row>
    <row r="15" spans="1:6" ht="14.5">
      <c r="A15" s="139">
        <v>14</v>
      </c>
      <c r="B15" s="140" t="s">
        <v>206</v>
      </c>
      <c r="C15" s="141">
        <v>2.4590017825311943</v>
      </c>
      <c r="D15" s="142">
        <v>127908</v>
      </c>
      <c r="E15" s="146">
        <f>Variables!$E$46</f>
        <v>65.935833333333335</v>
      </c>
      <c r="F15" s="144">
        <f t="shared" si="0"/>
        <v>162.13633169934641</v>
      </c>
    </row>
    <row r="16" spans="1:6" ht="14.5">
      <c r="A16" s="139">
        <v>15</v>
      </c>
      <c r="B16" s="140" t="s">
        <v>207</v>
      </c>
      <c r="C16" s="141">
        <v>2.4536973570595619</v>
      </c>
      <c r="D16" s="142">
        <v>112337</v>
      </c>
      <c r="E16" s="146">
        <f>Variables!$E$46</f>
        <v>65.935833333333335</v>
      </c>
      <c r="F16" s="144">
        <f t="shared" si="0"/>
        <v>161.78657998551978</v>
      </c>
    </row>
    <row r="17" spans="1:6" ht="14.5">
      <c r="A17" s="139">
        <v>16</v>
      </c>
      <c r="B17" s="140" t="s">
        <v>208</v>
      </c>
      <c r="C17" s="141">
        <v>3.2379076029492619</v>
      </c>
      <c r="D17" s="142">
        <v>141866</v>
      </c>
      <c r="E17" s="146">
        <f>Variables!$E$46</f>
        <v>65.935833333333335</v>
      </c>
      <c r="F17" s="144">
        <f t="shared" si="0"/>
        <v>213.49413605679538</v>
      </c>
    </row>
    <row r="18" spans="1:6" ht="14.5">
      <c r="A18" s="139">
        <v>17</v>
      </c>
      <c r="B18" s="140" t="s">
        <v>209</v>
      </c>
      <c r="C18" s="141">
        <v>3.2463324451363733</v>
      </c>
      <c r="D18" s="142">
        <v>133604</v>
      </c>
      <c r="E18" s="143">
        <v>47.15</v>
      </c>
      <c r="F18" s="144">
        <f t="shared" si="0"/>
        <v>153.06457478818001</v>
      </c>
    </row>
    <row r="19" spans="1:6" ht="14.5">
      <c r="A19" s="139">
        <v>18</v>
      </c>
      <c r="B19" s="140" t="s">
        <v>210</v>
      </c>
      <c r="C19" s="141">
        <v>3.2199371541131225</v>
      </c>
      <c r="D19" s="142">
        <v>85288</v>
      </c>
      <c r="E19" s="146">
        <f>Variables!$E$46</f>
        <v>65.935833333333335</v>
      </c>
      <c r="F19" s="144">
        <f t="shared" si="0"/>
        <v>212.30923953741049</v>
      </c>
    </row>
    <row r="20" spans="1:6" ht="14.5">
      <c r="A20" s="139">
        <v>19</v>
      </c>
      <c r="B20" s="140" t="s">
        <v>211</v>
      </c>
      <c r="C20" s="141">
        <v>2.5344143617118515</v>
      </c>
      <c r="D20" s="142">
        <v>109402</v>
      </c>
      <c r="E20" s="146">
        <f>Variables!$E$46</f>
        <v>65.935833333333335</v>
      </c>
      <c r="F20" s="144">
        <f t="shared" si="0"/>
        <v>167.10872295143903</v>
      </c>
    </row>
    <row r="21" spans="1:6" ht="15.75" customHeight="1">
      <c r="A21" s="139">
        <v>20</v>
      </c>
      <c r="B21" s="140" t="s">
        <v>212</v>
      </c>
      <c r="C21" s="141">
        <v>2.6024941905499612</v>
      </c>
      <c r="D21" s="142">
        <v>64550</v>
      </c>
      <c r="E21" s="146">
        <f>Variables!$E$46</f>
        <v>65.935833333333335</v>
      </c>
      <c r="F21" s="144">
        <f t="shared" si="0"/>
        <v>171.59762319907048</v>
      </c>
    </row>
    <row r="22" spans="1:6" ht="15.75" customHeight="1">
      <c r="A22" s="139">
        <v>21</v>
      </c>
      <c r="B22" s="140" t="s">
        <v>213</v>
      </c>
      <c r="C22" s="141">
        <v>3.3084232295567606</v>
      </c>
      <c r="D22" s="142">
        <v>53673</v>
      </c>
      <c r="E22" s="146">
        <f>Variables!$E$46</f>
        <v>65.935833333333335</v>
      </c>
      <c r="F22" s="144">
        <f t="shared" si="0"/>
        <v>218.14364266018299</v>
      </c>
    </row>
    <row r="23" spans="1:6" ht="15.75" customHeight="1">
      <c r="A23" s="139">
        <v>22</v>
      </c>
      <c r="B23" s="140" t="s">
        <v>214</v>
      </c>
      <c r="C23" s="141">
        <v>2.4748082204754236</v>
      </c>
      <c r="D23" s="142">
        <v>63354</v>
      </c>
      <c r="E23" s="146">
        <f>Variables!$E$46</f>
        <v>65.935833333333335</v>
      </c>
      <c r="F23" s="144">
        <f t="shared" si="0"/>
        <v>163.17854235723078</v>
      </c>
    </row>
    <row r="24" spans="1:6" ht="15.75" customHeight="1">
      <c r="A24" s="139">
        <v>23</v>
      </c>
      <c r="B24" s="140" t="s">
        <v>215</v>
      </c>
      <c r="C24" s="141">
        <v>2.7568018275271275</v>
      </c>
      <c r="D24" s="142">
        <v>43775</v>
      </c>
      <c r="E24" s="146">
        <f>Variables!$E$46</f>
        <v>65.935833333333335</v>
      </c>
      <c r="F24" s="144">
        <f t="shared" si="0"/>
        <v>181.77202583285742</v>
      </c>
    </row>
    <row r="25" spans="1:6" ht="15.75" customHeight="1">
      <c r="A25" s="139">
        <v>24</v>
      </c>
      <c r="B25" s="140" t="s">
        <v>216</v>
      </c>
      <c r="C25" s="141">
        <v>2.845682723378673</v>
      </c>
      <c r="D25" s="142">
        <v>26614</v>
      </c>
      <c r="E25" s="146">
        <f>Variables!$E$46</f>
        <v>65.935833333333335</v>
      </c>
      <c r="F25" s="144">
        <f t="shared" si="0"/>
        <v>187.63246176824228</v>
      </c>
    </row>
    <row r="26" spans="1:6" ht="15.75" customHeight="1">
      <c r="A26" s="139">
        <v>25</v>
      </c>
      <c r="B26" s="140" t="s">
        <v>217</v>
      </c>
      <c r="C26" s="141">
        <v>2.502264030612245</v>
      </c>
      <c r="D26" s="142">
        <v>62720</v>
      </c>
      <c r="E26" s="146">
        <f>Variables!$E$46</f>
        <v>65.935833333333335</v>
      </c>
      <c r="F26" s="144">
        <f t="shared" si="0"/>
        <v>164.9888640784439</v>
      </c>
    </row>
    <row r="27" spans="1:6" ht="15.75" customHeight="1">
      <c r="A27" s="139">
        <v>26</v>
      </c>
      <c r="B27" s="140" t="s">
        <v>219</v>
      </c>
      <c r="C27" s="141">
        <v>3.6899491861166136</v>
      </c>
      <c r="D27" s="142">
        <v>11611</v>
      </c>
      <c r="E27" s="146">
        <f>Variables!$E$46</f>
        <v>65.935833333333335</v>
      </c>
      <c r="F27" s="144">
        <f t="shared" si="0"/>
        <v>243.29987454425401</v>
      </c>
    </row>
    <row r="28" spans="1:6" ht="15.75" customHeight="1">
      <c r="A28" s="139">
        <v>27</v>
      </c>
      <c r="B28" s="140" t="s">
        <v>220</v>
      </c>
      <c r="C28" s="141">
        <v>2.667113684852179</v>
      </c>
      <c r="D28" s="142">
        <v>16405</v>
      </c>
      <c r="E28" s="146">
        <f>Variables!$E$46</f>
        <v>65.935833333333335</v>
      </c>
      <c r="F28" s="144">
        <f t="shared" si="0"/>
        <v>175.85836340546581</v>
      </c>
    </row>
    <row r="29" spans="1:6" ht="15.75" customHeight="1">
      <c r="A29" s="139">
        <v>28</v>
      </c>
      <c r="B29" s="140" t="s">
        <v>221</v>
      </c>
      <c r="C29" s="141">
        <v>2.5363152064982328</v>
      </c>
      <c r="D29" s="142">
        <v>18959</v>
      </c>
      <c r="E29" s="146">
        <f>Variables!$E$46</f>
        <v>65.935833333333335</v>
      </c>
      <c r="F29" s="144">
        <f t="shared" si="0"/>
        <v>167.23405673646641</v>
      </c>
    </row>
    <row r="30" spans="1:6" ht="15.75" customHeight="1">
      <c r="A30" s="139">
        <v>29</v>
      </c>
      <c r="B30" s="140" t="s">
        <v>222</v>
      </c>
      <c r="C30" s="141">
        <v>2.6066968130921619</v>
      </c>
      <c r="D30" s="142">
        <v>18576</v>
      </c>
      <c r="E30" s="146">
        <f>Variables!$E$46</f>
        <v>65.935833333333335</v>
      </c>
      <c r="F30" s="144">
        <f t="shared" si="0"/>
        <v>171.87472661857595</v>
      </c>
    </row>
    <row r="31" spans="1:6" ht="15.75" customHeight="1">
      <c r="A31" s="139">
        <v>30</v>
      </c>
      <c r="B31" s="140" t="s">
        <v>223</v>
      </c>
      <c r="C31" s="141">
        <v>2.8820273812991553</v>
      </c>
      <c r="D31" s="142">
        <v>6866</v>
      </c>
      <c r="E31" s="146">
        <f>Variables!$E$46</f>
        <v>65.935833333333335</v>
      </c>
      <c r="F31" s="144">
        <f t="shared" si="0"/>
        <v>190.02887707544423</v>
      </c>
    </row>
    <row r="32" spans="1:6" ht="15.75" customHeight="1">
      <c r="A32" s="139">
        <v>31</v>
      </c>
      <c r="B32" s="140" t="s">
        <v>224</v>
      </c>
      <c r="C32" s="141">
        <v>3.407</v>
      </c>
      <c r="D32" s="142">
        <v>8835</v>
      </c>
      <c r="E32" s="146">
        <f>Variables!$E$46</f>
        <v>65.935833333333335</v>
      </c>
      <c r="F32" s="144">
        <f t="shared" si="0"/>
        <v>224.64338416666666</v>
      </c>
    </row>
    <row r="33" spans="1:26" ht="15.75" customHeight="1">
      <c r="A33" s="139">
        <v>32</v>
      </c>
      <c r="B33" s="140" t="s">
        <v>225</v>
      </c>
      <c r="C33" s="141">
        <v>4.9791554357592096</v>
      </c>
      <c r="D33" s="142">
        <v>5565</v>
      </c>
      <c r="E33" s="146">
        <f>Variables!$E$46</f>
        <v>65.935833333333335</v>
      </c>
      <c r="F33" s="144">
        <f t="shared" si="0"/>
        <v>328.30476295297996</v>
      </c>
    </row>
    <row r="34" spans="1:26" ht="15.75" customHeight="1">
      <c r="A34" s="139">
        <v>33</v>
      </c>
      <c r="B34" s="140" t="s">
        <v>226</v>
      </c>
      <c r="C34" s="141">
        <v>2.6362587373793409</v>
      </c>
      <c r="D34" s="142">
        <v>45065</v>
      </c>
      <c r="E34" s="146">
        <f>Variables!$E$47</f>
        <v>40.760000000000005</v>
      </c>
      <c r="F34" s="144">
        <f t="shared" si="0"/>
        <v>107.45390613558195</v>
      </c>
    </row>
    <row r="35" spans="1:26" ht="15.75" customHeight="1">
      <c r="A35" s="139">
        <v>34</v>
      </c>
      <c r="B35" s="140" t="s">
        <v>227</v>
      </c>
      <c r="C35" s="141">
        <v>2.8808529227072923</v>
      </c>
      <c r="D35" s="142">
        <v>36627</v>
      </c>
      <c r="E35" s="146">
        <f>Variables!$E$47</f>
        <v>40.760000000000005</v>
      </c>
      <c r="F35" s="144">
        <f t="shared" si="0"/>
        <v>117.42356512954925</v>
      </c>
    </row>
    <row r="36" spans="1:26" ht="15.75" customHeight="1">
      <c r="A36" s="139">
        <v>35</v>
      </c>
      <c r="B36" s="140" t="s">
        <v>228</v>
      </c>
      <c r="C36" s="141">
        <v>2.7382605632202197</v>
      </c>
      <c r="D36" s="142">
        <v>175988</v>
      </c>
      <c r="E36" s="146">
        <f>Variables!$E$47</f>
        <v>40.760000000000005</v>
      </c>
      <c r="F36" s="144">
        <f t="shared" si="0"/>
        <v>111.61150055685617</v>
      </c>
    </row>
    <row r="37" spans="1:26" ht="15.75" customHeight="1">
      <c r="A37" s="139">
        <v>36</v>
      </c>
      <c r="B37" s="140" t="s">
        <v>229</v>
      </c>
      <c r="C37" s="141">
        <v>2.7303604631507774</v>
      </c>
      <c r="D37" s="142">
        <v>94656</v>
      </c>
      <c r="E37" s="143">
        <v>27.28</v>
      </c>
      <c r="F37" s="144">
        <f t="shared" si="0"/>
        <v>74.484233434753207</v>
      </c>
    </row>
    <row r="38" spans="1:26" ht="15.75" customHeight="1">
      <c r="A38" s="139">
        <v>37</v>
      </c>
      <c r="B38" s="140" t="s">
        <v>230</v>
      </c>
      <c r="C38" s="141">
        <v>2.4882673717260184</v>
      </c>
      <c r="D38" s="142">
        <v>48412</v>
      </c>
      <c r="E38" s="146">
        <f>Variables!$E$47</f>
        <v>40.760000000000005</v>
      </c>
      <c r="F38" s="144">
        <f t="shared" si="0"/>
        <v>101.42177807155252</v>
      </c>
    </row>
    <row r="39" spans="1:26" ht="15.75" customHeight="1">
      <c r="A39" s="139">
        <v>38</v>
      </c>
      <c r="B39" s="140" t="s">
        <v>231</v>
      </c>
      <c r="C39" s="141">
        <v>3.5815854318168161</v>
      </c>
      <c r="D39" s="142">
        <v>16639</v>
      </c>
      <c r="E39" s="146">
        <f>Variables!$E$47</f>
        <v>40.760000000000005</v>
      </c>
      <c r="F39" s="144">
        <f t="shared" si="0"/>
        <v>145.98542220085344</v>
      </c>
    </row>
    <row r="40" spans="1:26" ht="15.75" customHeight="1">
      <c r="A40" s="139">
        <v>39</v>
      </c>
      <c r="B40" s="140" t="s">
        <v>232</v>
      </c>
      <c r="C40" s="141">
        <v>3.4614749871067563</v>
      </c>
      <c r="D40" s="142">
        <v>19390</v>
      </c>
      <c r="E40" s="146">
        <f>Variables!$E$47</f>
        <v>40.760000000000005</v>
      </c>
      <c r="F40" s="144">
        <f t="shared" si="0"/>
        <v>141.08972047447139</v>
      </c>
    </row>
    <row r="41" spans="1:26" ht="15.75" customHeight="1">
      <c r="A41" s="139">
        <v>40</v>
      </c>
      <c r="B41" s="140" t="s">
        <v>233</v>
      </c>
      <c r="C41" s="141">
        <v>3.9153259949195598</v>
      </c>
      <c r="D41" s="142">
        <v>23620</v>
      </c>
      <c r="E41" s="146">
        <f>Variables!$E$47</f>
        <v>40.760000000000005</v>
      </c>
      <c r="F41" s="144">
        <f t="shared" si="0"/>
        <v>159.58868755292127</v>
      </c>
    </row>
    <row r="42" spans="1:26" ht="15.75" customHeight="1">
      <c r="A42" s="139">
        <v>41</v>
      </c>
      <c r="B42" s="140" t="s">
        <v>234</v>
      </c>
      <c r="C42" s="141">
        <v>2.524</v>
      </c>
      <c r="D42" s="142">
        <v>20728</v>
      </c>
      <c r="E42" s="146">
        <f>Variables!$E$47</f>
        <v>40.760000000000005</v>
      </c>
      <c r="F42" s="144">
        <f t="shared" si="0"/>
        <v>102.87824000000002</v>
      </c>
    </row>
    <row r="43" spans="1:26" ht="15.75" customHeight="1">
      <c r="A43" s="139">
        <v>42</v>
      </c>
      <c r="B43" s="140" t="s">
        <v>235</v>
      </c>
      <c r="C43" s="141">
        <v>2.7236881469514751</v>
      </c>
      <c r="D43" s="142">
        <v>16713</v>
      </c>
      <c r="E43" s="146">
        <f>Variables!$E$47</f>
        <v>40.760000000000005</v>
      </c>
      <c r="F43" s="144">
        <f t="shared" si="0"/>
        <v>111.01752886974214</v>
      </c>
    </row>
    <row r="44" spans="1:26" ht="15.75" customHeight="1">
      <c r="A44" s="139">
        <v>43</v>
      </c>
      <c r="B44" s="140" t="s">
        <v>236</v>
      </c>
      <c r="C44" s="141">
        <v>3.4114391143911438</v>
      </c>
      <c r="D44" s="142">
        <v>7046</v>
      </c>
      <c r="E44" s="146">
        <f>Variables!$E$47</f>
        <v>40.760000000000005</v>
      </c>
      <c r="F44" s="144">
        <f t="shared" si="0"/>
        <v>139.05025830258305</v>
      </c>
    </row>
    <row r="45" spans="1:26" ht="15.75" customHeight="1">
      <c r="A45" s="139">
        <v>44</v>
      </c>
      <c r="B45" s="140" t="s">
        <v>241</v>
      </c>
      <c r="C45" s="141">
        <v>2.919</v>
      </c>
      <c r="D45" s="142">
        <v>38243</v>
      </c>
      <c r="E45" s="146">
        <f>Variables!$E$47</f>
        <v>40.760000000000005</v>
      </c>
      <c r="F45" s="144">
        <f t="shared" si="0"/>
        <v>118.97844000000002</v>
      </c>
      <c r="G45" s="4"/>
      <c r="H45" s="4"/>
      <c r="I45" s="4"/>
      <c r="J45" s="4"/>
      <c r="K45" s="4"/>
      <c r="L45" s="4"/>
      <c r="M45" s="4"/>
      <c r="N45" s="4"/>
      <c r="O45" s="4"/>
      <c r="P45" s="4"/>
      <c r="Q45" s="4"/>
      <c r="R45" s="4"/>
      <c r="S45" s="4"/>
      <c r="T45" s="4"/>
      <c r="U45" s="4"/>
      <c r="V45" s="4"/>
      <c r="W45" s="4"/>
      <c r="X45" s="4"/>
      <c r="Y45" s="4"/>
      <c r="Z45" s="4"/>
    </row>
    <row r="46" spans="1:26" ht="15.75" customHeight="1">
      <c r="A46" s="139">
        <v>45</v>
      </c>
      <c r="B46" s="140" t="s">
        <v>242</v>
      </c>
      <c r="C46" s="141">
        <v>2.377290114757399</v>
      </c>
      <c r="D46" s="142">
        <v>9934</v>
      </c>
      <c r="E46" s="146">
        <f>Variables!$E$47</f>
        <v>40.760000000000005</v>
      </c>
      <c r="F46" s="144">
        <f t="shared" si="0"/>
        <v>96.898345077511593</v>
      </c>
    </row>
    <row r="47" spans="1:26" ht="15.75" customHeight="1">
      <c r="A47" s="139">
        <v>46</v>
      </c>
      <c r="B47" s="140" t="s">
        <v>243</v>
      </c>
      <c r="C47" s="141">
        <v>2.6682284299858559</v>
      </c>
      <c r="D47" s="142">
        <v>11312</v>
      </c>
      <c r="E47" s="146">
        <f>Variables!$E$47</f>
        <v>40.760000000000005</v>
      </c>
      <c r="F47" s="144">
        <f t="shared" si="0"/>
        <v>108.7569908062235</v>
      </c>
    </row>
    <row r="48" spans="1:26" ht="15.75" customHeight="1">
      <c r="A48" s="149">
        <v>47</v>
      </c>
      <c r="B48" s="150" t="s">
        <v>244</v>
      </c>
      <c r="C48" s="151">
        <v>3.4580000000000002</v>
      </c>
      <c r="D48" s="152">
        <v>19511</v>
      </c>
      <c r="E48" s="153">
        <f>Variables!$E$47</f>
        <v>40.760000000000005</v>
      </c>
      <c r="F48" s="154">
        <f t="shared" si="0"/>
        <v>140.94808000000003</v>
      </c>
    </row>
    <row r="49" spans="1:6" ht="15.75" customHeight="1">
      <c r="A49" s="155"/>
      <c r="B49" s="155"/>
      <c r="C49" s="156" t="s">
        <v>247</v>
      </c>
      <c r="D49" s="156" t="s">
        <v>247</v>
      </c>
      <c r="E49" s="156" t="s">
        <v>248</v>
      </c>
      <c r="F49" s="15"/>
    </row>
    <row r="50" spans="1:6" ht="15.75" customHeight="1">
      <c r="A50" s="155"/>
      <c r="B50" s="155"/>
      <c r="C50" s="158"/>
      <c r="D50" s="159"/>
      <c r="E50" s="4"/>
      <c r="F50" s="15"/>
    </row>
    <row r="51" spans="1:6" ht="15.75" customHeight="1">
      <c r="A51" s="155"/>
      <c r="B51" s="155"/>
      <c r="C51" s="160"/>
      <c r="D51" s="161"/>
      <c r="E51" s="162"/>
      <c r="F51" s="15"/>
    </row>
    <row r="52" spans="1:6" ht="15.75" customHeight="1">
      <c r="A52" s="155"/>
      <c r="B52" s="155"/>
      <c r="C52" s="158"/>
      <c r="D52" s="159"/>
      <c r="E52" s="4"/>
      <c r="F52" s="15"/>
    </row>
    <row r="53" spans="1:6" ht="15.75" customHeight="1">
      <c r="A53" s="155"/>
      <c r="B53" s="155"/>
      <c r="C53" s="163"/>
      <c r="D53" s="164"/>
      <c r="E53" s="4"/>
      <c r="F53" s="15"/>
    </row>
    <row r="54" spans="1:6" ht="15.75" customHeight="1">
      <c r="A54" s="155"/>
      <c r="B54" s="155"/>
      <c r="C54" s="158"/>
      <c r="D54" s="159"/>
      <c r="E54" s="4"/>
      <c r="F54" s="15"/>
    </row>
    <row r="55" spans="1:6" ht="15.75" customHeight="1">
      <c r="A55" s="155"/>
      <c r="B55" s="155"/>
      <c r="C55" s="158"/>
      <c r="D55" s="159"/>
      <c r="E55" s="4"/>
      <c r="F55" s="15"/>
    </row>
    <row r="56" spans="1:6" ht="15.75" customHeight="1">
      <c r="A56" s="155"/>
      <c r="B56" s="155"/>
      <c r="C56" s="158"/>
      <c r="D56" s="159"/>
      <c r="E56" s="4"/>
      <c r="F56" s="15"/>
    </row>
    <row r="57" spans="1:6" ht="15.75" customHeight="1">
      <c r="A57" s="155"/>
      <c r="B57" s="155"/>
      <c r="C57" s="158"/>
      <c r="D57" s="159"/>
      <c r="E57" s="4"/>
      <c r="F57" s="15"/>
    </row>
    <row r="58" spans="1:6" ht="15.75" customHeight="1">
      <c r="A58" s="155"/>
      <c r="B58" s="155"/>
      <c r="C58" s="158"/>
      <c r="D58" s="159"/>
      <c r="E58" s="4"/>
      <c r="F58" s="15"/>
    </row>
    <row r="59" spans="1:6" ht="15.75" customHeight="1">
      <c r="A59" s="155"/>
      <c r="B59" s="155"/>
      <c r="C59" s="158"/>
      <c r="D59" s="159"/>
      <c r="E59" s="4"/>
      <c r="F59" s="15"/>
    </row>
    <row r="60" spans="1:6" ht="15.75" customHeight="1">
      <c r="A60" s="155"/>
      <c r="B60" s="155"/>
      <c r="C60" s="158"/>
      <c r="D60" s="159"/>
      <c r="E60" s="4"/>
      <c r="F60" s="15"/>
    </row>
    <row r="61" spans="1:6" ht="15.75" customHeight="1">
      <c r="A61" s="155"/>
      <c r="B61" s="155"/>
      <c r="C61" s="158"/>
      <c r="D61" s="159"/>
      <c r="E61" s="4"/>
      <c r="F61" s="15"/>
    </row>
    <row r="62" spans="1:6" ht="15.75" customHeight="1">
      <c r="A62" s="155"/>
      <c r="B62" s="155"/>
      <c r="C62" s="158"/>
      <c r="D62" s="159"/>
      <c r="E62" s="4"/>
      <c r="F62" s="15"/>
    </row>
    <row r="63" spans="1:6" ht="15.75" customHeight="1">
      <c r="A63" s="155"/>
      <c r="B63" s="155"/>
      <c r="C63" s="158"/>
      <c r="D63" s="159"/>
      <c r="E63" s="4"/>
      <c r="F63" s="15"/>
    </row>
    <row r="64" spans="1:6" ht="15.75" customHeight="1">
      <c r="A64" s="155"/>
      <c r="B64" s="155"/>
      <c r="C64" s="158"/>
      <c r="D64" s="159"/>
      <c r="E64" s="4"/>
      <c r="F64" s="15"/>
    </row>
    <row r="65" spans="1:6" ht="15.75" customHeight="1">
      <c r="A65" s="155"/>
      <c r="B65" s="155"/>
      <c r="C65" s="158"/>
      <c r="D65" s="159"/>
      <c r="E65" s="4"/>
      <c r="F65" s="15"/>
    </row>
    <row r="66" spans="1:6" ht="15.75" customHeight="1">
      <c r="A66" s="155"/>
      <c r="B66" s="155"/>
      <c r="C66" s="158"/>
      <c r="D66" s="159"/>
      <c r="E66" s="4"/>
      <c r="F66" s="15"/>
    </row>
    <row r="67" spans="1:6" ht="15.75" customHeight="1">
      <c r="A67" s="155"/>
      <c r="B67" s="155"/>
      <c r="C67" s="158"/>
      <c r="D67" s="159"/>
      <c r="E67" s="4"/>
      <c r="F67" s="15"/>
    </row>
    <row r="68" spans="1:6" ht="15.75" customHeight="1">
      <c r="A68" s="155"/>
      <c r="B68" s="155"/>
      <c r="C68" s="158"/>
      <c r="D68" s="159"/>
      <c r="E68" s="4"/>
      <c r="F68" s="15"/>
    </row>
    <row r="69" spans="1:6" ht="15.75" customHeight="1">
      <c r="A69" s="155"/>
      <c r="B69" s="155"/>
      <c r="C69" s="158"/>
      <c r="D69" s="159"/>
      <c r="E69" s="4"/>
      <c r="F69" s="15"/>
    </row>
    <row r="70" spans="1:6" ht="15.75" customHeight="1">
      <c r="A70" s="155"/>
      <c r="B70" s="155"/>
      <c r="C70" s="158"/>
      <c r="D70" s="159"/>
      <c r="E70" s="4"/>
      <c r="F70" s="15"/>
    </row>
    <row r="71" spans="1:6" ht="15.75" customHeight="1">
      <c r="A71" s="155"/>
      <c r="B71" s="155"/>
      <c r="C71" s="158"/>
      <c r="D71" s="159"/>
      <c r="E71" s="4"/>
      <c r="F71" s="15"/>
    </row>
    <row r="72" spans="1:6" ht="15.75" customHeight="1">
      <c r="A72" s="155"/>
      <c r="B72" s="155"/>
      <c r="C72" s="158"/>
      <c r="D72" s="159"/>
      <c r="E72" s="4"/>
      <c r="F72" s="15"/>
    </row>
    <row r="73" spans="1:6" ht="15.75" customHeight="1">
      <c r="A73" s="155"/>
      <c r="B73" s="155"/>
      <c r="C73" s="158"/>
      <c r="D73" s="159"/>
      <c r="E73" s="4"/>
      <c r="F73" s="15"/>
    </row>
    <row r="74" spans="1:6" ht="15.75" customHeight="1">
      <c r="A74" s="155"/>
      <c r="B74" s="155"/>
      <c r="C74" s="158"/>
      <c r="D74" s="159"/>
      <c r="E74" s="4"/>
      <c r="F74" s="15"/>
    </row>
    <row r="75" spans="1:6" ht="15.75" customHeight="1">
      <c r="A75" s="155"/>
      <c r="B75" s="155"/>
      <c r="C75" s="158"/>
      <c r="D75" s="159"/>
      <c r="E75" s="4"/>
      <c r="F75" s="15"/>
    </row>
    <row r="76" spans="1:6" ht="15.75" customHeight="1">
      <c r="A76" s="155"/>
      <c r="B76" s="155"/>
      <c r="C76" s="158"/>
      <c r="D76" s="159"/>
      <c r="E76" s="4"/>
      <c r="F76" s="15"/>
    </row>
    <row r="77" spans="1:6" ht="15.75" customHeight="1">
      <c r="A77" s="155"/>
      <c r="B77" s="155"/>
      <c r="C77" s="158"/>
      <c r="D77" s="159"/>
      <c r="E77" s="4"/>
      <c r="F77" s="15"/>
    </row>
    <row r="78" spans="1:6" ht="15.75" customHeight="1">
      <c r="A78" s="155"/>
      <c r="B78" s="155"/>
      <c r="C78" s="158"/>
      <c r="D78" s="159"/>
      <c r="E78" s="4"/>
      <c r="F78" s="15"/>
    </row>
    <row r="79" spans="1:6" ht="15.75" customHeight="1">
      <c r="A79" s="155"/>
      <c r="B79" s="155"/>
      <c r="C79" s="158"/>
      <c r="D79" s="159"/>
      <c r="E79" s="4"/>
      <c r="F79" s="15"/>
    </row>
    <row r="80" spans="1:6" ht="15.75" customHeight="1">
      <c r="A80" s="155"/>
      <c r="B80" s="155"/>
      <c r="C80" s="158"/>
      <c r="D80" s="159"/>
      <c r="E80" s="4"/>
      <c r="F80" s="15"/>
    </row>
    <row r="81" spans="1:6" ht="15.75" customHeight="1">
      <c r="A81" s="155"/>
      <c r="B81" s="155"/>
      <c r="C81" s="158"/>
      <c r="D81" s="159"/>
      <c r="E81" s="4"/>
      <c r="F81" s="15"/>
    </row>
    <row r="82" spans="1:6" ht="15.75" customHeight="1">
      <c r="A82" s="155"/>
      <c r="B82" s="155"/>
      <c r="C82" s="158"/>
      <c r="D82" s="159"/>
      <c r="E82" s="4"/>
      <c r="F82" s="15"/>
    </row>
    <row r="83" spans="1:6" ht="15.75" customHeight="1">
      <c r="A83" s="155"/>
      <c r="B83" s="155"/>
      <c r="C83" s="158"/>
      <c r="D83" s="159"/>
      <c r="E83" s="4"/>
      <c r="F83" s="15"/>
    </row>
    <row r="84" spans="1:6" ht="15.75" customHeight="1">
      <c r="A84" s="155"/>
      <c r="B84" s="165"/>
      <c r="C84" s="158"/>
      <c r="D84" s="159"/>
      <c r="E84" s="4"/>
      <c r="F84" s="15"/>
    </row>
    <row r="85" spans="1:6" ht="15.75" customHeight="1">
      <c r="A85" s="155"/>
      <c r="B85" s="165"/>
      <c r="C85" s="158"/>
      <c r="D85" s="159"/>
      <c r="E85" s="4"/>
      <c r="F85" s="15"/>
    </row>
    <row r="86" spans="1:6" ht="15.75" customHeight="1">
      <c r="A86" s="155"/>
      <c r="B86" s="165"/>
      <c r="C86" s="158"/>
      <c r="D86" s="159"/>
      <c r="E86" s="4"/>
      <c r="F86" s="15"/>
    </row>
    <row r="87" spans="1:6" ht="15.75" customHeight="1">
      <c r="A87" s="155"/>
      <c r="B87" s="165"/>
      <c r="C87" s="158"/>
      <c r="D87" s="159"/>
      <c r="E87" s="4"/>
      <c r="F87" s="15"/>
    </row>
    <row r="88" spans="1:6" ht="15.75" customHeight="1">
      <c r="A88" s="155"/>
      <c r="B88" s="165"/>
      <c r="C88" s="158"/>
      <c r="D88" s="159"/>
      <c r="E88" s="4"/>
      <c r="F88" s="15"/>
    </row>
    <row r="89" spans="1:6" ht="15.75" customHeight="1">
      <c r="A89" s="155"/>
      <c r="B89" s="166"/>
      <c r="C89" s="158"/>
      <c r="D89" s="159"/>
      <c r="E89" s="4"/>
      <c r="F89" s="15"/>
    </row>
    <row r="90" spans="1:6" ht="15.75" customHeight="1">
      <c r="A90" s="155"/>
      <c r="B90" s="166"/>
      <c r="C90" s="158"/>
      <c r="D90" s="159"/>
      <c r="E90" s="4"/>
      <c r="F90" s="15"/>
    </row>
    <row r="91" spans="1:6" ht="15.75" customHeight="1">
      <c r="A91" s="155"/>
      <c r="B91" s="166"/>
      <c r="C91" s="158"/>
      <c r="D91" s="159"/>
      <c r="E91" s="4"/>
      <c r="F91" s="15"/>
    </row>
    <row r="92" spans="1:6" ht="15.75" customHeight="1">
      <c r="A92" s="155"/>
      <c r="B92" s="166"/>
      <c r="C92" s="158"/>
      <c r="D92" s="159"/>
      <c r="E92" s="4"/>
      <c r="F92" s="15"/>
    </row>
    <row r="93" spans="1:6" ht="15.75" customHeight="1">
      <c r="A93" s="155"/>
      <c r="B93" s="166"/>
      <c r="C93" s="158"/>
      <c r="D93" s="159"/>
      <c r="E93" s="4"/>
      <c r="F93" s="15"/>
    </row>
    <row r="94" spans="1:6" ht="15.75" customHeight="1">
      <c r="A94" s="155"/>
      <c r="B94" s="167"/>
      <c r="C94" s="158"/>
      <c r="D94" s="159"/>
      <c r="E94" s="4"/>
      <c r="F94" s="15"/>
    </row>
    <row r="95" spans="1:6" ht="15.75" customHeight="1">
      <c r="A95" s="155"/>
      <c r="B95" s="167"/>
      <c r="C95" s="158"/>
      <c r="D95" s="159"/>
      <c r="E95" s="4"/>
      <c r="F95" s="15"/>
    </row>
    <row r="96" spans="1:6" ht="15.75" customHeight="1">
      <c r="A96" s="155"/>
      <c r="B96" s="167"/>
      <c r="C96" s="158"/>
      <c r="D96" s="159"/>
      <c r="E96" s="4"/>
      <c r="F96" s="15"/>
    </row>
    <row r="97" spans="1:6" ht="15.75" customHeight="1">
      <c r="A97" s="155"/>
      <c r="B97" s="167"/>
      <c r="C97" s="158"/>
      <c r="D97" s="159"/>
      <c r="E97" s="4"/>
      <c r="F97" s="15"/>
    </row>
    <row r="98" spans="1:6" ht="15.75" customHeight="1">
      <c r="A98" s="155"/>
      <c r="B98" s="167"/>
      <c r="C98" s="158"/>
      <c r="D98" s="159"/>
      <c r="E98" s="4"/>
      <c r="F98" s="15"/>
    </row>
    <row r="99" spans="1:6" ht="15.75" customHeight="1">
      <c r="A99" s="155"/>
      <c r="B99" s="155"/>
      <c r="C99" s="158"/>
      <c r="D99" s="159"/>
      <c r="E99" s="4"/>
      <c r="F99" s="15"/>
    </row>
    <row r="100" spans="1:6" ht="15.75" customHeight="1">
      <c r="A100" s="155"/>
      <c r="B100" s="155"/>
      <c r="C100" s="158"/>
      <c r="D100" s="159"/>
      <c r="E100" s="4"/>
      <c r="F100" s="15"/>
    </row>
    <row r="101" spans="1:6" ht="15.75" customHeight="1">
      <c r="A101" s="155"/>
      <c r="B101" s="155"/>
      <c r="C101" s="158"/>
      <c r="D101" s="159"/>
      <c r="E101" s="4"/>
      <c r="F101" s="15"/>
    </row>
    <row r="102" spans="1:6" ht="15.75" customHeight="1">
      <c r="A102" s="155"/>
      <c r="B102" s="155"/>
      <c r="C102" s="158"/>
      <c r="D102" s="159"/>
      <c r="E102" s="4"/>
      <c r="F102" s="15"/>
    </row>
    <row r="103" spans="1:6" ht="15.75" customHeight="1">
      <c r="A103" s="155"/>
      <c r="B103" s="155"/>
      <c r="C103" s="158"/>
      <c r="D103" s="159"/>
      <c r="E103" s="4"/>
      <c r="F103" s="15"/>
    </row>
    <row r="104" spans="1:6" ht="15.75" customHeight="1">
      <c r="A104" s="155"/>
      <c r="B104" s="155"/>
      <c r="C104" s="158"/>
      <c r="D104" s="159"/>
      <c r="E104" s="4"/>
      <c r="F104" s="15"/>
    </row>
    <row r="105" spans="1:6" ht="15.75" customHeight="1">
      <c r="A105" s="155"/>
      <c r="B105" s="155"/>
      <c r="C105" s="158"/>
      <c r="D105" s="159"/>
      <c r="E105" s="4"/>
      <c r="F105" s="15"/>
    </row>
    <row r="106" spans="1:6" ht="15.75" customHeight="1">
      <c r="A106" s="155"/>
      <c r="B106" s="155"/>
      <c r="C106" s="158"/>
      <c r="D106" s="159"/>
      <c r="E106" s="4"/>
      <c r="F106" s="15"/>
    </row>
    <row r="107" spans="1:6" ht="15.75" customHeight="1">
      <c r="A107" s="155"/>
      <c r="B107" s="155"/>
      <c r="C107" s="158"/>
      <c r="D107" s="159"/>
      <c r="E107" s="4"/>
      <c r="F107" s="15"/>
    </row>
    <row r="108" spans="1:6" ht="15.75" customHeight="1">
      <c r="A108" s="155"/>
      <c r="B108" s="155"/>
      <c r="C108" s="158"/>
      <c r="D108" s="159"/>
      <c r="E108" s="4"/>
      <c r="F108" s="15"/>
    </row>
    <row r="109" spans="1:6" ht="15.75" customHeight="1">
      <c r="A109" s="155"/>
      <c r="B109" s="155"/>
      <c r="C109" s="158"/>
      <c r="D109" s="159"/>
      <c r="E109" s="4"/>
      <c r="F109" s="15"/>
    </row>
    <row r="110" spans="1:6" ht="15.75" customHeight="1">
      <c r="A110" s="155"/>
      <c r="B110" s="155"/>
      <c r="C110" s="158"/>
      <c r="D110" s="159"/>
      <c r="E110" s="4"/>
      <c r="F110" s="15"/>
    </row>
    <row r="111" spans="1:6" ht="15.75" customHeight="1">
      <c r="A111" s="155"/>
      <c r="B111" s="155"/>
      <c r="C111" s="158"/>
      <c r="D111" s="159"/>
      <c r="E111" s="4"/>
      <c r="F111" s="15"/>
    </row>
    <row r="112" spans="1:6" ht="15.75" customHeight="1">
      <c r="A112" s="155"/>
      <c r="B112" s="155"/>
      <c r="C112" s="158"/>
      <c r="D112" s="159"/>
      <c r="E112" s="4"/>
      <c r="F112" s="15"/>
    </row>
    <row r="113" spans="1:6" ht="15.75" customHeight="1">
      <c r="A113" s="155"/>
      <c r="B113" s="155"/>
      <c r="C113" s="158"/>
      <c r="D113" s="159"/>
      <c r="E113" s="4"/>
      <c r="F113" s="15"/>
    </row>
    <row r="114" spans="1:6" ht="15.75" customHeight="1">
      <c r="A114" s="155"/>
      <c r="B114" s="155"/>
      <c r="C114" s="158"/>
      <c r="D114" s="159"/>
      <c r="E114" s="4"/>
      <c r="F114" s="15"/>
    </row>
    <row r="115" spans="1:6" ht="15.75" customHeight="1">
      <c r="A115" s="155"/>
      <c r="B115" s="155"/>
      <c r="C115" s="158"/>
      <c r="D115" s="159"/>
      <c r="E115" s="4"/>
      <c r="F115" s="15"/>
    </row>
    <row r="116" spans="1:6" ht="15.75" customHeight="1">
      <c r="A116" s="155"/>
      <c r="B116" s="155"/>
      <c r="C116" s="158"/>
      <c r="D116" s="159"/>
      <c r="E116" s="4"/>
      <c r="F116" s="15"/>
    </row>
    <row r="117" spans="1:6" ht="15.75" customHeight="1">
      <c r="A117" s="155"/>
      <c r="B117" s="155"/>
      <c r="C117" s="158"/>
      <c r="D117" s="159"/>
      <c r="E117" s="4"/>
      <c r="F117" s="15"/>
    </row>
    <row r="118" spans="1:6" ht="15.75" customHeight="1">
      <c r="A118" s="155"/>
      <c r="B118" s="155"/>
      <c r="C118" s="158"/>
      <c r="D118" s="159"/>
      <c r="E118" s="4"/>
      <c r="F118" s="15"/>
    </row>
    <row r="119" spans="1:6" ht="15.75" customHeight="1">
      <c r="A119" s="155"/>
      <c r="B119" s="155"/>
      <c r="C119" s="158"/>
      <c r="D119" s="159"/>
      <c r="E119" s="4"/>
      <c r="F119" s="15"/>
    </row>
    <row r="120" spans="1:6" ht="15.75" customHeight="1">
      <c r="A120" s="155"/>
      <c r="B120" s="155"/>
      <c r="C120" s="158"/>
      <c r="D120" s="159"/>
      <c r="E120" s="4"/>
      <c r="F120" s="15"/>
    </row>
    <row r="121" spans="1:6" ht="15.75" customHeight="1">
      <c r="A121" s="155"/>
      <c r="B121" s="155"/>
      <c r="C121" s="158"/>
      <c r="D121" s="159"/>
      <c r="E121" s="4"/>
      <c r="F121" s="15"/>
    </row>
    <row r="122" spans="1:6" ht="15.75" customHeight="1">
      <c r="A122" s="155"/>
      <c r="B122" s="155"/>
      <c r="C122" s="158"/>
      <c r="D122" s="159"/>
      <c r="E122" s="4"/>
      <c r="F122" s="15"/>
    </row>
    <row r="123" spans="1:6" ht="15.75" customHeight="1">
      <c r="A123" s="155"/>
      <c r="B123" s="155"/>
      <c r="C123" s="158"/>
      <c r="D123" s="159"/>
      <c r="E123" s="4"/>
      <c r="F123" s="15"/>
    </row>
    <row r="124" spans="1:6" ht="15.75" customHeight="1">
      <c r="A124" s="155"/>
      <c r="B124" s="155"/>
      <c r="C124" s="158"/>
      <c r="D124" s="159"/>
      <c r="E124" s="4"/>
      <c r="F124" s="15"/>
    </row>
    <row r="125" spans="1:6" ht="15.75" customHeight="1">
      <c r="A125" s="155"/>
      <c r="B125" s="155"/>
      <c r="C125" s="158"/>
      <c r="D125" s="159"/>
      <c r="E125" s="4"/>
      <c r="F125" s="15"/>
    </row>
    <row r="126" spans="1:6" ht="15.75" customHeight="1">
      <c r="A126" s="155"/>
      <c r="B126" s="155"/>
      <c r="C126" s="158"/>
      <c r="D126" s="159"/>
      <c r="E126" s="4"/>
      <c r="F126" s="15"/>
    </row>
    <row r="127" spans="1:6" ht="15.75" customHeight="1">
      <c r="A127" s="155"/>
      <c r="B127" s="155"/>
      <c r="C127" s="158"/>
      <c r="D127" s="159"/>
      <c r="E127" s="4"/>
      <c r="F127" s="15"/>
    </row>
    <row r="128" spans="1:6" ht="15.75" customHeight="1">
      <c r="A128" s="155"/>
      <c r="B128" s="155"/>
      <c r="C128" s="158"/>
      <c r="D128" s="159"/>
      <c r="E128" s="4"/>
      <c r="F128" s="15"/>
    </row>
    <row r="129" spans="1:6" ht="15.75" customHeight="1">
      <c r="A129" s="155"/>
      <c r="B129" s="155"/>
      <c r="C129" s="158"/>
      <c r="D129" s="159"/>
      <c r="E129" s="4"/>
      <c r="F129" s="15"/>
    </row>
    <row r="130" spans="1:6" ht="15.75" customHeight="1">
      <c r="A130" s="155"/>
      <c r="B130" s="155"/>
      <c r="C130" s="158"/>
      <c r="D130" s="159"/>
      <c r="E130" s="4"/>
      <c r="F130" s="15"/>
    </row>
    <row r="131" spans="1:6" ht="15.75" customHeight="1">
      <c r="A131" s="155"/>
      <c r="B131" s="155"/>
      <c r="C131" s="158"/>
      <c r="D131" s="159"/>
      <c r="E131" s="4"/>
      <c r="F131" s="15"/>
    </row>
    <row r="132" spans="1:6" ht="15.75" customHeight="1">
      <c r="A132" s="155"/>
      <c r="B132" s="155"/>
      <c r="C132" s="158"/>
      <c r="D132" s="159"/>
      <c r="E132" s="4"/>
      <c r="F132" s="15"/>
    </row>
    <row r="133" spans="1:6" ht="15.75" customHeight="1">
      <c r="A133" s="155"/>
      <c r="B133" s="155"/>
      <c r="C133" s="158"/>
      <c r="D133" s="159"/>
      <c r="E133" s="4"/>
      <c r="F133" s="15"/>
    </row>
    <row r="134" spans="1:6" ht="15.75" customHeight="1">
      <c r="A134" s="155"/>
      <c r="B134" s="155"/>
      <c r="C134" s="158"/>
      <c r="D134" s="159"/>
      <c r="E134" s="4"/>
      <c r="F134" s="15"/>
    </row>
    <row r="135" spans="1:6" ht="15.75" customHeight="1">
      <c r="A135" s="155"/>
      <c r="B135" s="155"/>
      <c r="C135" s="158"/>
      <c r="D135" s="159"/>
      <c r="E135" s="4"/>
      <c r="F135" s="15"/>
    </row>
    <row r="136" spans="1:6" ht="15.75" customHeight="1">
      <c r="A136" s="155"/>
      <c r="B136" s="155"/>
      <c r="C136" s="158"/>
      <c r="D136" s="159"/>
      <c r="E136" s="4"/>
      <c r="F136" s="15"/>
    </row>
    <row r="137" spans="1:6" ht="15.75" customHeight="1">
      <c r="A137" s="155"/>
      <c r="B137" s="155"/>
      <c r="C137" s="158"/>
      <c r="D137" s="159"/>
      <c r="E137" s="4"/>
      <c r="F137" s="15"/>
    </row>
    <row r="138" spans="1:6" ht="15.75" customHeight="1">
      <c r="A138" s="155"/>
      <c r="B138" s="155"/>
      <c r="C138" s="158"/>
      <c r="D138" s="159"/>
      <c r="E138" s="4"/>
      <c r="F138" s="15"/>
    </row>
    <row r="139" spans="1:6" ht="15.75" customHeight="1">
      <c r="A139" s="155"/>
      <c r="B139" s="155"/>
      <c r="C139" s="158"/>
      <c r="D139" s="159"/>
      <c r="E139" s="4"/>
      <c r="F139" s="15"/>
    </row>
    <row r="140" spans="1:6" ht="15.75" customHeight="1">
      <c r="A140" s="155"/>
      <c r="B140" s="155"/>
      <c r="C140" s="158"/>
      <c r="D140" s="159"/>
      <c r="E140" s="4"/>
      <c r="F140" s="15"/>
    </row>
    <row r="141" spans="1:6" ht="15.75" customHeight="1">
      <c r="A141" s="155"/>
      <c r="B141" s="155"/>
      <c r="C141" s="158"/>
      <c r="D141" s="159"/>
      <c r="E141" s="4"/>
      <c r="F141" s="15"/>
    </row>
    <row r="142" spans="1:6" ht="15.75" customHeight="1">
      <c r="A142" s="155"/>
      <c r="B142" s="155"/>
      <c r="C142" s="158"/>
      <c r="D142" s="159"/>
      <c r="E142" s="4"/>
      <c r="F142" s="15"/>
    </row>
    <row r="143" spans="1:6" ht="15.75" customHeight="1">
      <c r="A143" s="155"/>
      <c r="B143" s="155"/>
      <c r="C143" s="158"/>
      <c r="D143" s="159"/>
      <c r="E143" s="4"/>
      <c r="F143" s="15"/>
    </row>
    <row r="144" spans="1:6" ht="15.75" customHeight="1">
      <c r="A144" s="155"/>
      <c r="B144" s="155"/>
      <c r="C144" s="158"/>
      <c r="D144" s="159"/>
      <c r="E144" s="4"/>
      <c r="F144" s="15"/>
    </row>
    <row r="145" spans="1:6" ht="15.75" customHeight="1">
      <c r="A145" s="155"/>
      <c r="B145" s="155"/>
      <c r="C145" s="158"/>
      <c r="D145" s="159"/>
      <c r="E145" s="4"/>
      <c r="F145" s="15"/>
    </row>
    <row r="146" spans="1:6" ht="15.75" customHeight="1">
      <c r="A146" s="155"/>
      <c r="B146" s="155"/>
      <c r="C146" s="158"/>
      <c r="D146" s="159"/>
      <c r="E146" s="4"/>
      <c r="F146" s="15"/>
    </row>
    <row r="147" spans="1:6" ht="15.75" customHeight="1">
      <c r="A147" s="155"/>
      <c r="B147" s="155"/>
      <c r="C147" s="158"/>
      <c r="D147" s="159"/>
      <c r="E147" s="4"/>
      <c r="F147" s="15"/>
    </row>
    <row r="148" spans="1:6" ht="15.75" customHeight="1">
      <c r="A148" s="155"/>
      <c r="B148" s="155"/>
      <c r="C148" s="158"/>
      <c r="D148" s="159"/>
      <c r="E148" s="4"/>
      <c r="F148" s="15"/>
    </row>
    <row r="149" spans="1:6" ht="15.75" customHeight="1">
      <c r="A149" s="155"/>
      <c r="B149" s="155"/>
      <c r="C149" s="158"/>
      <c r="D149" s="159"/>
      <c r="E149" s="4"/>
      <c r="F149" s="15"/>
    </row>
    <row r="150" spans="1:6" ht="15.75" customHeight="1">
      <c r="A150" s="155"/>
      <c r="B150" s="155"/>
      <c r="C150" s="158"/>
      <c r="D150" s="159"/>
      <c r="E150" s="4"/>
      <c r="F150" s="15"/>
    </row>
    <row r="151" spans="1:6" ht="15.75" customHeight="1">
      <c r="A151" s="155"/>
      <c r="B151" s="155"/>
      <c r="C151" s="158"/>
      <c r="D151" s="159"/>
      <c r="E151" s="4"/>
      <c r="F151" s="15"/>
    </row>
    <row r="152" spans="1:6" ht="15.75" customHeight="1">
      <c r="A152" s="155"/>
      <c r="B152" s="155"/>
      <c r="C152" s="158"/>
      <c r="D152" s="159"/>
      <c r="E152" s="4"/>
      <c r="F152" s="15"/>
    </row>
    <row r="153" spans="1:6" ht="15.75" customHeight="1">
      <c r="A153" s="155"/>
      <c r="B153" s="155"/>
      <c r="C153" s="158"/>
      <c r="D153" s="159"/>
      <c r="E153" s="4"/>
      <c r="F153" s="15"/>
    </row>
    <row r="154" spans="1:6" ht="15.75" customHeight="1">
      <c r="A154" s="155"/>
      <c r="B154" s="155"/>
      <c r="C154" s="158"/>
      <c r="D154" s="159"/>
      <c r="E154" s="4"/>
      <c r="F154" s="15"/>
    </row>
    <row r="155" spans="1:6" ht="15.75" customHeight="1">
      <c r="A155" s="155"/>
      <c r="B155" s="155"/>
      <c r="C155" s="158"/>
      <c r="D155" s="159"/>
      <c r="E155" s="4"/>
      <c r="F155" s="15"/>
    </row>
    <row r="156" spans="1:6" ht="15.75" customHeight="1">
      <c r="A156" s="155"/>
      <c r="B156" s="155"/>
      <c r="C156" s="158"/>
      <c r="D156" s="159"/>
      <c r="E156" s="4"/>
      <c r="F156" s="15"/>
    </row>
    <row r="157" spans="1:6" ht="15.75" customHeight="1">
      <c r="A157" s="155"/>
      <c r="B157" s="155"/>
      <c r="C157" s="158"/>
      <c r="D157" s="159"/>
      <c r="E157" s="4"/>
      <c r="F157" s="15"/>
    </row>
    <row r="158" spans="1:6" ht="15.75" customHeight="1">
      <c r="A158" s="155"/>
      <c r="B158" s="155"/>
      <c r="C158" s="158"/>
      <c r="D158" s="159"/>
      <c r="E158" s="4"/>
      <c r="F158" s="15"/>
    </row>
    <row r="159" spans="1:6" ht="15.75" customHeight="1">
      <c r="A159" s="155"/>
      <c r="B159" s="155"/>
      <c r="C159" s="158"/>
      <c r="D159" s="159"/>
      <c r="E159" s="4"/>
      <c r="F159" s="15"/>
    </row>
    <row r="160" spans="1:6" ht="15.75" customHeight="1">
      <c r="A160" s="155"/>
      <c r="B160" s="155"/>
      <c r="C160" s="158"/>
      <c r="D160" s="159"/>
      <c r="E160" s="4"/>
      <c r="F160" s="15"/>
    </row>
    <row r="161" spans="1:6" ht="15.75" customHeight="1">
      <c r="A161" s="155"/>
      <c r="B161" s="155"/>
      <c r="C161" s="158"/>
      <c r="D161" s="159"/>
      <c r="E161" s="4"/>
      <c r="F161" s="15"/>
    </row>
    <row r="162" spans="1:6" ht="15.75" customHeight="1">
      <c r="A162" s="155"/>
      <c r="B162" s="155"/>
      <c r="C162" s="158"/>
      <c r="D162" s="159"/>
      <c r="E162" s="4"/>
      <c r="F162" s="15"/>
    </row>
    <row r="163" spans="1:6" ht="15.75" customHeight="1">
      <c r="A163" s="155"/>
      <c r="B163" s="155"/>
      <c r="C163" s="158"/>
      <c r="D163" s="159"/>
      <c r="E163" s="4"/>
      <c r="F163" s="15"/>
    </row>
    <row r="164" spans="1:6" ht="15.75" customHeight="1">
      <c r="A164" s="155"/>
      <c r="B164" s="155"/>
      <c r="C164" s="158"/>
      <c r="D164" s="159"/>
      <c r="E164" s="4"/>
      <c r="F164" s="15"/>
    </row>
    <row r="165" spans="1:6" ht="15.75" customHeight="1">
      <c r="A165" s="155"/>
      <c r="B165" s="155"/>
      <c r="C165" s="158"/>
      <c r="D165" s="159"/>
      <c r="E165" s="4"/>
      <c r="F165" s="15"/>
    </row>
    <row r="166" spans="1:6" ht="15.75" customHeight="1">
      <c r="A166" s="155"/>
      <c r="B166" s="155"/>
      <c r="C166" s="158"/>
      <c r="D166" s="159"/>
      <c r="E166" s="4"/>
      <c r="F166" s="15"/>
    </row>
    <row r="167" spans="1:6" ht="15.75" customHeight="1">
      <c r="A167" s="155"/>
      <c r="B167" s="155"/>
      <c r="C167" s="158"/>
      <c r="D167" s="159"/>
      <c r="E167" s="4"/>
      <c r="F167" s="15"/>
    </row>
    <row r="168" spans="1:6" ht="15.75" customHeight="1">
      <c r="A168" s="155"/>
      <c r="B168" s="155"/>
      <c r="C168" s="158"/>
      <c r="D168" s="159"/>
      <c r="E168" s="4"/>
      <c r="F168" s="15"/>
    </row>
    <row r="169" spans="1:6" ht="15.75" customHeight="1">
      <c r="A169" s="155"/>
      <c r="B169" s="155"/>
      <c r="C169" s="158"/>
      <c r="D169" s="159"/>
      <c r="E169" s="4"/>
      <c r="F169" s="15"/>
    </row>
    <row r="170" spans="1:6" ht="15.75" customHeight="1">
      <c r="A170" s="155"/>
      <c r="B170" s="155"/>
      <c r="C170" s="158"/>
      <c r="D170" s="159"/>
      <c r="E170" s="4"/>
      <c r="F170" s="15"/>
    </row>
    <row r="171" spans="1:6" ht="15.75" customHeight="1">
      <c r="A171" s="155"/>
      <c r="B171" s="155"/>
      <c r="C171" s="158"/>
      <c r="D171" s="159"/>
      <c r="E171" s="4"/>
      <c r="F171" s="15"/>
    </row>
    <row r="172" spans="1:6" ht="15.75" customHeight="1">
      <c r="A172" s="155"/>
      <c r="B172" s="155"/>
      <c r="C172" s="158"/>
      <c r="D172" s="159"/>
      <c r="E172" s="4"/>
      <c r="F172" s="15"/>
    </row>
    <row r="173" spans="1:6" ht="15.75" customHeight="1">
      <c r="A173" s="155"/>
      <c r="B173" s="155"/>
      <c r="C173" s="158"/>
      <c r="D173" s="159"/>
      <c r="E173" s="4"/>
      <c r="F173" s="15"/>
    </row>
    <row r="174" spans="1:6" ht="15.75" customHeight="1">
      <c r="A174" s="155"/>
      <c r="B174" s="155"/>
      <c r="C174" s="158"/>
      <c r="D174" s="159"/>
      <c r="E174" s="4"/>
      <c r="F174" s="15"/>
    </row>
    <row r="175" spans="1:6" ht="15.75" customHeight="1">
      <c r="A175" s="155"/>
      <c r="B175" s="155"/>
      <c r="C175" s="158"/>
      <c r="D175" s="159"/>
      <c r="E175" s="4"/>
      <c r="F175" s="15"/>
    </row>
    <row r="176" spans="1:6" ht="15.75" customHeight="1">
      <c r="A176" s="155"/>
      <c r="B176" s="155"/>
      <c r="C176" s="158"/>
      <c r="D176" s="159"/>
      <c r="E176" s="4"/>
      <c r="F176" s="15"/>
    </row>
    <row r="177" spans="1:6" ht="15.75" customHeight="1">
      <c r="A177" s="155"/>
      <c r="B177" s="155"/>
      <c r="C177" s="158"/>
      <c r="D177" s="159"/>
      <c r="E177" s="4"/>
      <c r="F177" s="15"/>
    </row>
    <row r="178" spans="1:6" ht="15.75" customHeight="1">
      <c r="A178" s="155"/>
      <c r="B178" s="155"/>
      <c r="C178" s="158"/>
      <c r="D178" s="159"/>
      <c r="E178" s="4"/>
      <c r="F178" s="15"/>
    </row>
    <row r="179" spans="1:6" ht="15.75" customHeight="1">
      <c r="A179" s="155"/>
      <c r="B179" s="155"/>
      <c r="C179" s="158"/>
      <c r="D179" s="159"/>
      <c r="E179" s="4"/>
      <c r="F179" s="15"/>
    </row>
    <row r="180" spans="1:6" ht="15.75" customHeight="1">
      <c r="A180" s="155"/>
      <c r="B180" s="155"/>
      <c r="C180" s="158"/>
      <c r="D180" s="159"/>
      <c r="E180" s="4"/>
      <c r="F180" s="15"/>
    </row>
    <row r="181" spans="1:6" ht="15.75" customHeight="1">
      <c r="A181" s="155"/>
      <c r="B181" s="155"/>
      <c r="C181" s="158"/>
      <c r="D181" s="159"/>
      <c r="E181" s="4"/>
      <c r="F181" s="15"/>
    </row>
    <row r="182" spans="1:6" ht="15.75" customHeight="1">
      <c r="A182" s="155"/>
      <c r="B182" s="155"/>
      <c r="C182" s="158"/>
      <c r="D182" s="159"/>
      <c r="E182" s="4"/>
      <c r="F182" s="15"/>
    </row>
    <row r="183" spans="1:6" ht="15.75" customHeight="1">
      <c r="A183" s="155"/>
      <c r="B183" s="155"/>
      <c r="C183" s="158"/>
      <c r="D183" s="159"/>
      <c r="E183" s="4"/>
      <c r="F183" s="15"/>
    </row>
    <row r="184" spans="1:6" ht="15.75" customHeight="1">
      <c r="A184" s="155"/>
      <c r="B184" s="155"/>
      <c r="C184" s="158"/>
      <c r="D184" s="159"/>
      <c r="E184" s="4"/>
      <c r="F184" s="15"/>
    </row>
    <row r="185" spans="1:6" ht="15.75" customHeight="1">
      <c r="A185" s="155"/>
      <c r="B185" s="155"/>
      <c r="C185" s="158"/>
      <c r="D185" s="159"/>
      <c r="E185" s="4"/>
      <c r="F185" s="15"/>
    </row>
    <row r="186" spans="1:6" ht="15.75" customHeight="1">
      <c r="A186" s="155"/>
      <c r="B186" s="155"/>
      <c r="C186" s="158"/>
      <c r="D186" s="159"/>
      <c r="E186" s="4"/>
      <c r="F186" s="15"/>
    </row>
    <row r="187" spans="1:6" ht="15.75" customHeight="1">
      <c r="A187" s="155"/>
      <c r="B187" s="155"/>
      <c r="C187" s="158"/>
      <c r="D187" s="159"/>
      <c r="E187" s="4"/>
      <c r="F187" s="15"/>
    </row>
    <row r="188" spans="1:6" ht="15.75" customHeight="1">
      <c r="A188" s="155"/>
      <c r="B188" s="155"/>
      <c r="C188" s="158"/>
      <c r="D188" s="159"/>
      <c r="E188" s="4"/>
      <c r="F188" s="15"/>
    </row>
    <row r="189" spans="1:6" ht="15.75" customHeight="1">
      <c r="A189" s="155"/>
      <c r="B189" s="155"/>
      <c r="C189" s="158"/>
      <c r="D189" s="159"/>
      <c r="E189" s="4"/>
      <c r="F189" s="15"/>
    </row>
    <row r="190" spans="1:6" ht="15.75" customHeight="1">
      <c r="A190" s="155"/>
      <c r="B190" s="155"/>
      <c r="C190" s="158"/>
      <c r="D190" s="159"/>
      <c r="E190" s="4"/>
      <c r="F190" s="15"/>
    </row>
    <row r="191" spans="1:6" ht="15.75" customHeight="1">
      <c r="A191" s="155"/>
      <c r="B191" s="155"/>
      <c r="C191" s="158"/>
      <c r="D191" s="159"/>
      <c r="E191" s="4"/>
      <c r="F191" s="15"/>
    </row>
    <row r="192" spans="1:6" ht="15.75" customHeight="1">
      <c r="A192" s="155"/>
      <c r="B192" s="155"/>
      <c r="C192" s="158"/>
      <c r="D192" s="159"/>
      <c r="E192" s="4"/>
      <c r="F192" s="15"/>
    </row>
    <row r="193" spans="1:6" ht="15.75" customHeight="1">
      <c r="A193" s="155"/>
      <c r="B193" s="155"/>
      <c r="C193" s="158"/>
      <c r="D193" s="159"/>
      <c r="E193" s="4"/>
      <c r="F193" s="15"/>
    </row>
    <row r="194" spans="1:6" ht="15.75" customHeight="1">
      <c r="A194" s="155"/>
      <c r="B194" s="155"/>
      <c r="C194" s="158"/>
      <c r="D194" s="159"/>
      <c r="E194" s="4"/>
      <c r="F194" s="15"/>
    </row>
    <row r="195" spans="1:6" ht="15.75" customHeight="1">
      <c r="A195" s="155"/>
      <c r="B195" s="155"/>
      <c r="C195" s="158"/>
      <c r="D195" s="159"/>
      <c r="E195" s="4"/>
      <c r="F195" s="15"/>
    </row>
    <row r="196" spans="1:6" ht="15.75" customHeight="1">
      <c r="A196" s="155"/>
      <c r="B196" s="155"/>
      <c r="C196" s="158"/>
      <c r="D196" s="159"/>
      <c r="E196" s="4"/>
      <c r="F196" s="15"/>
    </row>
    <row r="197" spans="1:6" ht="15.75" customHeight="1">
      <c r="A197" s="155"/>
      <c r="B197" s="155"/>
      <c r="C197" s="158"/>
      <c r="D197" s="159"/>
      <c r="E197" s="4"/>
      <c r="F197" s="15"/>
    </row>
    <row r="198" spans="1:6" ht="15.75" customHeight="1">
      <c r="A198" s="155"/>
      <c r="B198" s="155"/>
      <c r="C198" s="158"/>
      <c r="D198" s="159"/>
      <c r="E198" s="4"/>
      <c r="F198" s="15"/>
    </row>
    <row r="199" spans="1:6" ht="15.75" customHeight="1">
      <c r="A199" s="155"/>
      <c r="B199" s="155"/>
      <c r="C199" s="158"/>
      <c r="D199" s="159"/>
      <c r="E199" s="4"/>
      <c r="F199" s="15"/>
    </row>
    <row r="200" spans="1:6" ht="15.75" customHeight="1">
      <c r="A200" s="155"/>
      <c r="B200" s="155"/>
      <c r="C200" s="158"/>
      <c r="D200" s="159"/>
      <c r="E200" s="4"/>
      <c r="F200" s="15"/>
    </row>
    <row r="201" spans="1:6" ht="15.75" customHeight="1">
      <c r="A201" s="155"/>
      <c r="B201" s="155"/>
      <c r="C201" s="158"/>
      <c r="D201" s="159"/>
      <c r="E201" s="4"/>
      <c r="F201" s="15"/>
    </row>
    <row r="202" spans="1:6" ht="15.75" customHeight="1">
      <c r="A202" s="155"/>
      <c r="B202" s="155"/>
      <c r="C202" s="158"/>
      <c r="D202" s="159"/>
      <c r="E202" s="4"/>
      <c r="F202" s="15"/>
    </row>
    <row r="203" spans="1:6" ht="15.75" customHeight="1">
      <c r="A203" s="155"/>
      <c r="B203" s="155"/>
      <c r="C203" s="158"/>
      <c r="D203" s="159"/>
      <c r="E203" s="4"/>
      <c r="F203" s="15"/>
    </row>
    <row r="204" spans="1:6" ht="15.75" customHeight="1">
      <c r="A204" s="155"/>
      <c r="B204" s="155"/>
      <c r="C204" s="158"/>
      <c r="D204" s="159"/>
      <c r="E204" s="4"/>
      <c r="F204" s="15"/>
    </row>
    <row r="205" spans="1:6" ht="15.75" customHeight="1">
      <c r="A205" s="155"/>
      <c r="B205" s="155"/>
      <c r="C205" s="158"/>
      <c r="D205" s="159"/>
      <c r="E205" s="4"/>
      <c r="F205" s="15"/>
    </row>
    <row r="206" spans="1:6" ht="15.75" customHeight="1">
      <c r="A206" s="155"/>
      <c r="B206" s="155"/>
      <c r="C206" s="158"/>
      <c r="D206" s="159"/>
      <c r="E206" s="4"/>
      <c r="F206" s="15"/>
    </row>
    <row r="207" spans="1:6" ht="15.75" customHeight="1">
      <c r="A207" s="155"/>
      <c r="B207" s="155"/>
      <c r="C207" s="158"/>
      <c r="D207" s="159"/>
      <c r="E207" s="4"/>
      <c r="F207" s="15"/>
    </row>
    <row r="208" spans="1:6" ht="15.75" customHeight="1">
      <c r="A208" s="155"/>
      <c r="B208" s="155"/>
      <c r="C208" s="158"/>
      <c r="D208" s="159"/>
      <c r="E208" s="4"/>
      <c r="F208" s="15"/>
    </row>
    <row r="209" spans="1:6" ht="15.75" customHeight="1">
      <c r="A209" s="155"/>
      <c r="B209" s="155"/>
      <c r="C209" s="158"/>
      <c r="D209" s="159"/>
      <c r="E209" s="4"/>
      <c r="F209" s="15"/>
    </row>
    <row r="210" spans="1:6" ht="15.75" customHeight="1">
      <c r="A210" s="155"/>
      <c r="B210" s="155"/>
      <c r="C210" s="158"/>
      <c r="D210" s="159"/>
      <c r="E210" s="4"/>
      <c r="F210" s="15"/>
    </row>
    <row r="211" spans="1:6" ht="15.75" customHeight="1">
      <c r="A211" s="155"/>
      <c r="B211" s="155"/>
      <c r="C211" s="158"/>
      <c r="D211" s="159"/>
      <c r="E211" s="4"/>
      <c r="F211" s="15"/>
    </row>
    <row r="212" spans="1:6" ht="15.75" customHeight="1">
      <c r="A212" s="155"/>
      <c r="B212" s="155"/>
      <c r="C212" s="158"/>
      <c r="D212" s="159"/>
      <c r="E212" s="4"/>
      <c r="F212" s="15"/>
    </row>
    <row r="213" spans="1:6" ht="15.75" customHeight="1">
      <c r="A213" s="155"/>
      <c r="B213" s="155"/>
      <c r="C213" s="158"/>
      <c r="D213" s="159"/>
      <c r="E213" s="4"/>
      <c r="F213" s="15"/>
    </row>
    <row r="214" spans="1:6" ht="15.75" customHeight="1">
      <c r="A214" s="155"/>
      <c r="B214" s="155"/>
      <c r="C214" s="158"/>
      <c r="D214" s="159"/>
      <c r="E214" s="4"/>
      <c r="F214" s="15"/>
    </row>
    <row r="215" spans="1:6" ht="15.75" customHeight="1">
      <c r="A215" s="155"/>
      <c r="B215" s="155"/>
      <c r="C215" s="158"/>
      <c r="D215" s="159"/>
      <c r="E215" s="4"/>
      <c r="F215" s="15"/>
    </row>
    <row r="216" spans="1:6" ht="15.75" customHeight="1">
      <c r="A216" s="155"/>
      <c r="B216" s="155"/>
      <c r="C216" s="158"/>
      <c r="D216" s="159"/>
      <c r="E216" s="4"/>
      <c r="F216" s="15"/>
    </row>
    <row r="217" spans="1:6" ht="15.75" customHeight="1">
      <c r="A217" s="155"/>
      <c r="B217" s="155"/>
      <c r="C217" s="158"/>
      <c r="D217" s="159"/>
      <c r="E217" s="4"/>
      <c r="F217" s="15"/>
    </row>
    <row r="218" spans="1:6" ht="15.75" customHeight="1">
      <c r="A218" s="155"/>
      <c r="B218" s="155"/>
      <c r="C218" s="158"/>
      <c r="D218" s="159"/>
      <c r="E218" s="4"/>
      <c r="F218" s="15"/>
    </row>
    <row r="219" spans="1:6" ht="15.75" customHeight="1">
      <c r="A219" s="155"/>
      <c r="B219" s="155"/>
      <c r="C219" s="158"/>
      <c r="D219" s="159"/>
      <c r="E219" s="4"/>
      <c r="F219" s="15"/>
    </row>
    <row r="220" spans="1:6" ht="15.75" customHeight="1">
      <c r="A220" s="155"/>
      <c r="B220" s="155"/>
      <c r="C220" s="158"/>
      <c r="D220" s="159"/>
      <c r="E220" s="4"/>
      <c r="F220" s="15"/>
    </row>
    <row r="221" spans="1:6" ht="15.75" customHeight="1">
      <c r="A221" s="155"/>
      <c r="B221" s="155"/>
      <c r="C221" s="158"/>
      <c r="D221" s="159"/>
      <c r="E221" s="4"/>
      <c r="F221" s="15"/>
    </row>
    <row r="222" spans="1:6" ht="15.75" customHeight="1">
      <c r="A222" s="155"/>
      <c r="B222" s="155"/>
      <c r="C222" s="158"/>
      <c r="D222" s="159"/>
      <c r="E222" s="4"/>
      <c r="F222" s="15"/>
    </row>
    <row r="223" spans="1:6" ht="15.75" customHeight="1">
      <c r="A223" s="155"/>
      <c r="B223" s="155"/>
      <c r="C223" s="158"/>
      <c r="D223" s="159"/>
      <c r="E223" s="4"/>
      <c r="F223" s="15"/>
    </row>
    <row r="224" spans="1:6" ht="15.75" customHeight="1">
      <c r="A224" s="155"/>
      <c r="B224" s="155"/>
      <c r="C224" s="158"/>
      <c r="D224" s="159"/>
      <c r="E224" s="4"/>
      <c r="F224" s="15"/>
    </row>
    <row r="225" spans="1:6" ht="15.75" customHeight="1">
      <c r="A225" s="155"/>
      <c r="B225" s="155"/>
      <c r="C225" s="158"/>
      <c r="D225" s="159"/>
      <c r="E225" s="4"/>
      <c r="F225" s="15"/>
    </row>
    <row r="226" spans="1:6" ht="15.75" customHeight="1">
      <c r="A226" s="155"/>
      <c r="B226" s="155"/>
      <c r="C226" s="158"/>
      <c r="D226" s="159"/>
      <c r="E226" s="4"/>
      <c r="F226" s="15"/>
    </row>
    <row r="227" spans="1:6" ht="15.75" customHeight="1">
      <c r="A227" s="155"/>
      <c r="B227" s="155"/>
      <c r="C227" s="158"/>
      <c r="D227" s="159"/>
      <c r="E227" s="4"/>
      <c r="F227" s="15"/>
    </row>
    <row r="228" spans="1:6" ht="15.75" customHeight="1">
      <c r="A228" s="155"/>
      <c r="B228" s="155"/>
      <c r="C228" s="158"/>
      <c r="D228" s="159"/>
      <c r="E228" s="4"/>
      <c r="F228" s="15"/>
    </row>
    <row r="229" spans="1:6" ht="15.75" customHeight="1">
      <c r="A229" s="155"/>
      <c r="B229" s="155"/>
      <c r="C229" s="158"/>
      <c r="D229" s="159"/>
      <c r="E229" s="4"/>
      <c r="F229" s="15"/>
    </row>
    <row r="230" spans="1:6" ht="15.75" customHeight="1">
      <c r="A230" s="155"/>
      <c r="B230" s="155"/>
      <c r="C230" s="158"/>
      <c r="D230" s="159"/>
      <c r="E230" s="4"/>
      <c r="F230" s="15"/>
    </row>
    <row r="231" spans="1:6" ht="15.75" customHeight="1">
      <c r="A231" s="155"/>
      <c r="B231" s="155"/>
      <c r="C231" s="158"/>
      <c r="D231" s="159"/>
      <c r="E231" s="4"/>
      <c r="F231" s="15"/>
    </row>
    <row r="232" spans="1:6" ht="15.75" customHeight="1">
      <c r="A232" s="155"/>
      <c r="B232" s="155"/>
      <c r="C232" s="158"/>
      <c r="D232" s="159"/>
      <c r="E232" s="4"/>
      <c r="F232" s="15"/>
    </row>
    <row r="233" spans="1:6" ht="15.75" customHeight="1">
      <c r="A233" s="155"/>
      <c r="B233" s="155"/>
      <c r="C233" s="158"/>
      <c r="D233" s="159"/>
      <c r="E233" s="4"/>
      <c r="F233" s="15"/>
    </row>
    <row r="234" spans="1:6" ht="15.75" customHeight="1">
      <c r="A234" s="155"/>
      <c r="B234" s="155"/>
      <c r="C234" s="158"/>
      <c r="D234" s="159"/>
      <c r="E234" s="4"/>
      <c r="F234" s="15"/>
    </row>
    <row r="235" spans="1:6" ht="15.75" customHeight="1">
      <c r="A235" s="155"/>
      <c r="B235" s="155"/>
      <c r="C235" s="158"/>
      <c r="D235" s="159"/>
      <c r="E235" s="4"/>
      <c r="F235" s="15"/>
    </row>
    <row r="236" spans="1:6" ht="15.75" customHeight="1">
      <c r="A236" s="155"/>
      <c r="B236" s="155"/>
      <c r="C236" s="158"/>
      <c r="D236" s="159"/>
      <c r="E236" s="4"/>
      <c r="F236" s="15"/>
    </row>
    <row r="237" spans="1:6" ht="15.75" customHeight="1">
      <c r="A237" s="155"/>
      <c r="B237" s="155"/>
      <c r="C237" s="158"/>
      <c r="D237" s="159"/>
      <c r="E237" s="4"/>
      <c r="F237" s="15"/>
    </row>
    <row r="238" spans="1:6" ht="15.75" customHeight="1">
      <c r="A238" s="155"/>
      <c r="B238" s="155"/>
      <c r="C238" s="158"/>
      <c r="D238" s="159"/>
      <c r="E238" s="4"/>
      <c r="F238" s="15"/>
    </row>
    <row r="239" spans="1:6" ht="15.75" customHeight="1">
      <c r="A239" s="155"/>
      <c r="B239" s="155"/>
      <c r="C239" s="158"/>
      <c r="D239" s="159"/>
      <c r="E239" s="4"/>
      <c r="F239" s="15"/>
    </row>
    <row r="240" spans="1:6" ht="15.75" customHeight="1">
      <c r="A240" s="155"/>
      <c r="B240" s="155"/>
      <c r="C240" s="158"/>
      <c r="D240" s="159"/>
      <c r="E240" s="4"/>
      <c r="F240" s="15"/>
    </row>
    <row r="241" spans="1:6" ht="15.75" customHeight="1">
      <c r="A241" s="155"/>
      <c r="B241" s="155"/>
      <c r="C241" s="158"/>
      <c r="D241" s="159"/>
      <c r="E241" s="4"/>
      <c r="F241" s="15"/>
    </row>
    <row r="242" spans="1:6" ht="15.75" customHeight="1">
      <c r="A242" s="155"/>
      <c r="B242" s="155"/>
      <c r="C242" s="158"/>
      <c r="D242" s="159"/>
      <c r="E242" s="4"/>
      <c r="F242" s="15"/>
    </row>
    <row r="243" spans="1:6" ht="15.75" customHeight="1">
      <c r="A243" s="155"/>
      <c r="B243" s="155"/>
      <c r="C243" s="158"/>
      <c r="D243" s="159"/>
      <c r="E243" s="4"/>
      <c r="F243" s="15"/>
    </row>
    <row r="244" spans="1:6" ht="15.75" customHeight="1">
      <c r="A244" s="155"/>
      <c r="B244" s="155"/>
      <c r="C244" s="158"/>
      <c r="D244" s="159"/>
      <c r="E244" s="4"/>
      <c r="F244" s="15"/>
    </row>
    <row r="245" spans="1:6" ht="15.75" customHeight="1">
      <c r="A245" s="155"/>
      <c r="B245" s="155"/>
      <c r="C245" s="158"/>
      <c r="D245" s="159"/>
      <c r="E245" s="4"/>
      <c r="F245" s="15"/>
    </row>
    <row r="246" spans="1:6" ht="15.75" customHeight="1">
      <c r="A246" s="155"/>
      <c r="B246" s="155"/>
      <c r="C246" s="158"/>
      <c r="D246" s="159"/>
      <c r="E246" s="4"/>
      <c r="F246" s="15"/>
    </row>
    <row r="247" spans="1:6" ht="15.75" customHeight="1">
      <c r="A247" s="155"/>
      <c r="B247" s="155"/>
      <c r="C247" s="158"/>
      <c r="D247" s="159"/>
      <c r="E247" s="4"/>
      <c r="F247" s="15"/>
    </row>
    <row r="248" spans="1:6" ht="15.75" customHeight="1">
      <c r="A248" s="155"/>
      <c r="B248" s="155"/>
      <c r="C248" s="158"/>
      <c r="D248" s="159"/>
      <c r="E248" s="4"/>
      <c r="F248" s="15"/>
    </row>
    <row r="249" spans="1:6" ht="15.75" customHeight="1">
      <c r="A249" s="155"/>
      <c r="B249" s="155"/>
      <c r="C249" s="158"/>
      <c r="D249" s="159"/>
      <c r="E249" s="4"/>
      <c r="F249" s="15"/>
    </row>
    <row r="250" spans="1:6" ht="15.75" customHeight="1">
      <c r="C250" s="112"/>
      <c r="D250" s="168"/>
      <c r="E250" s="4"/>
      <c r="F250" s="15"/>
    </row>
    <row r="251" spans="1:6" ht="15.75" customHeight="1">
      <c r="C251" s="112"/>
      <c r="D251" s="168"/>
      <c r="E251" s="4"/>
      <c r="F251" s="15"/>
    </row>
    <row r="252" spans="1:6" ht="15.75" customHeight="1">
      <c r="C252" s="112"/>
      <c r="D252" s="168"/>
      <c r="E252" s="4"/>
      <c r="F252" s="15"/>
    </row>
    <row r="253" spans="1:6" ht="15.75" customHeight="1">
      <c r="C253" s="112"/>
      <c r="D253" s="168"/>
      <c r="E253" s="4"/>
      <c r="F253" s="15"/>
    </row>
    <row r="254" spans="1:6" ht="15.75" customHeight="1">
      <c r="C254" s="112"/>
      <c r="D254" s="168"/>
      <c r="E254" s="4"/>
      <c r="F254" s="15"/>
    </row>
    <row r="255" spans="1:6" ht="15.75" customHeight="1">
      <c r="C255" s="112"/>
      <c r="D255" s="168"/>
      <c r="E255" s="4"/>
      <c r="F255" s="15"/>
    </row>
    <row r="256" spans="1:6" ht="15.75" customHeight="1">
      <c r="C256" s="112"/>
      <c r="D256" s="168"/>
      <c r="E256" s="4"/>
      <c r="F256" s="15"/>
    </row>
    <row r="257" spans="3:6" ht="15.75" customHeight="1">
      <c r="C257" s="112"/>
      <c r="D257" s="168"/>
      <c r="E257" s="4"/>
      <c r="F257" s="15"/>
    </row>
    <row r="258" spans="3:6" ht="15.75" customHeight="1">
      <c r="C258" s="112"/>
      <c r="D258" s="168"/>
      <c r="E258" s="4"/>
      <c r="F258" s="15"/>
    </row>
    <row r="259" spans="3:6" ht="15.75" customHeight="1">
      <c r="C259" s="112"/>
      <c r="D259" s="168"/>
      <c r="E259" s="4"/>
      <c r="F259" s="15"/>
    </row>
    <row r="260" spans="3:6" ht="15.75" customHeight="1">
      <c r="C260" s="112"/>
      <c r="D260" s="168"/>
      <c r="E260" s="4"/>
      <c r="F260" s="15"/>
    </row>
    <row r="261" spans="3:6" ht="15.75" customHeight="1">
      <c r="C261" s="112"/>
      <c r="D261" s="168"/>
      <c r="E261" s="4"/>
      <c r="F261" s="15"/>
    </row>
    <row r="262" spans="3:6" ht="15.75" customHeight="1">
      <c r="C262" s="112"/>
      <c r="D262" s="168"/>
      <c r="E262" s="4"/>
      <c r="F262" s="15"/>
    </row>
    <row r="263" spans="3:6" ht="15.75" customHeight="1">
      <c r="C263" s="112"/>
      <c r="D263" s="168"/>
      <c r="E263" s="4"/>
      <c r="F263" s="15"/>
    </row>
    <row r="264" spans="3:6" ht="15.75" customHeight="1">
      <c r="C264" s="112"/>
      <c r="D264" s="168"/>
      <c r="E264" s="4"/>
      <c r="F264" s="15"/>
    </row>
    <row r="265" spans="3:6" ht="15.75" customHeight="1">
      <c r="C265" s="112"/>
      <c r="D265" s="168"/>
      <c r="E265" s="4"/>
      <c r="F265" s="15"/>
    </row>
    <row r="266" spans="3:6" ht="15.75" customHeight="1">
      <c r="C266" s="112"/>
      <c r="D266" s="168"/>
      <c r="E266" s="4"/>
      <c r="F266" s="15"/>
    </row>
    <row r="267" spans="3:6" ht="15.75" customHeight="1">
      <c r="C267" s="112"/>
      <c r="D267" s="168"/>
      <c r="E267" s="4"/>
      <c r="F267" s="15"/>
    </row>
    <row r="268" spans="3:6" ht="15.75" customHeight="1">
      <c r="C268" s="112"/>
      <c r="D268" s="168"/>
      <c r="E268" s="4"/>
      <c r="F268" s="15"/>
    </row>
    <row r="269" spans="3:6" ht="15.75" customHeight="1">
      <c r="C269" s="112"/>
      <c r="D269" s="168"/>
      <c r="E269" s="4"/>
      <c r="F269" s="15"/>
    </row>
    <row r="270" spans="3:6" ht="15.75" customHeight="1">
      <c r="C270" s="112"/>
      <c r="D270" s="168"/>
      <c r="E270" s="4"/>
      <c r="F270" s="15"/>
    </row>
    <row r="271" spans="3:6" ht="15.75" customHeight="1">
      <c r="C271" s="112"/>
      <c r="D271" s="168"/>
      <c r="E271" s="4"/>
      <c r="F271" s="15"/>
    </row>
    <row r="272" spans="3:6" ht="15.75" customHeight="1">
      <c r="C272" s="112"/>
      <c r="D272" s="168"/>
      <c r="E272" s="4"/>
      <c r="F272" s="15"/>
    </row>
    <row r="273" spans="3:6" ht="15.75" customHeight="1">
      <c r="C273" s="112"/>
      <c r="D273" s="168"/>
      <c r="E273" s="4"/>
      <c r="F273" s="15"/>
    </row>
    <row r="274" spans="3:6" ht="15.75" customHeight="1">
      <c r="C274" s="112"/>
      <c r="D274" s="168"/>
      <c r="E274" s="4"/>
      <c r="F274" s="15"/>
    </row>
    <row r="275" spans="3:6" ht="15.75" customHeight="1">
      <c r="C275" s="112"/>
      <c r="D275" s="168"/>
      <c r="E275" s="4"/>
      <c r="F275" s="15"/>
    </row>
    <row r="276" spans="3:6" ht="15.75" customHeight="1">
      <c r="C276" s="112"/>
      <c r="D276" s="168"/>
      <c r="E276" s="4"/>
      <c r="F276" s="15"/>
    </row>
    <row r="277" spans="3:6" ht="15.75" customHeight="1">
      <c r="C277" s="112"/>
      <c r="D277" s="168"/>
      <c r="E277" s="4"/>
      <c r="F277" s="15"/>
    </row>
    <row r="278" spans="3:6" ht="15.75" customHeight="1">
      <c r="C278" s="112"/>
      <c r="D278" s="168"/>
      <c r="E278" s="4"/>
      <c r="F278" s="15"/>
    </row>
    <row r="279" spans="3:6" ht="15.75" customHeight="1">
      <c r="C279" s="112"/>
      <c r="D279" s="168"/>
      <c r="E279" s="4"/>
      <c r="F279" s="15"/>
    </row>
    <row r="280" spans="3:6" ht="15.75" customHeight="1">
      <c r="C280" s="112"/>
      <c r="D280" s="168"/>
      <c r="E280" s="4"/>
      <c r="F280" s="15"/>
    </row>
    <row r="281" spans="3:6" ht="15.75" customHeight="1">
      <c r="C281" s="112"/>
      <c r="D281" s="168"/>
      <c r="E281" s="4"/>
      <c r="F281" s="15"/>
    </row>
    <row r="282" spans="3:6" ht="15.75" customHeight="1">
      <c r="C282" s="112"/>
      <c r="D282" s="168"/>
      <c r="E282" s="4"/>
      <c r="F282" s="15"/>
    </row>
    <row r="283" spans="3:6" ht="15.75" customHeight="1">
      <c r="C283" s="112"/>
      <c r="D283" s="168"/>
      <c r="E283" s="4"/>
      <c r="F283" s="15"/>
    </row>
    <row r="284" spans="3:6" ht="15.75" customHeight="1">
      <c r="C284" s="112"/>
      <c r="D284" s="168"/>
      <c r="E284" s="4"/>
      <c r="F284" s="15"/>
    </row>
    <row r="285" spans="3:6" ht="15.75" customHeight="1">
      <c r="C285" s="112"/>
      <c r="D285" s="168"/>
      <c r="E285" s="4"/>
      <c r="F285" s="15"/>
    </row>
    <row r="286" spans="3:6" ht="15.75" customHeight="1">
      <c r="C286" s="112"/>
      <c r="D286" s="168"/>
      <c r="E286" s="4"/>
      <c r="F286" s="15"/>
    </row>
    <row r="287" spans="3:6" ht="15.75" customHeight="1">
      <c r="C287" s="112"/>
      <c r="D287" s="168"/>
      <c r="E287" s="4"/>
      <c r="F287" s="15"/>
    </row>
    <row r="288" spans="3:6" ht="15.75" customHeight="1">
      <c r="C288" s="112"/>
      <c r="D288" s="168"/>
      <c r="E288" s="4"/>
      <c r="F288" s="15"/>
    </row>
    <row r="289" spans="3:6" ht="15.75" customHeight="1">
      <c r="C289" s="112"/>
      <c r="D289" s="168"/>
      <c r="E289" s="4"/>
      <c r="F289" s="15"/>
    </row>
    <row r="290" spans="3:6" ht="15.75" customHeight="1">
      <c r="C290" s="112"/>
      <c r="D290" s="168"/>
      <c r="E290" s="4"/>
      <c r="F290" s="15"/>
    </row>
    <row r="291" spans="3:6" ht="15.75" customHeight="1">
      <c r="C291" s="112"/>
      <c r="D291" s="168"/>
      <c r="E291" s="4"/>
      <c r="F291" s="15"/>
    </row>
    <row r="292" spans="3:6" ht="15.75" customHeight="1">
      <c r="C292" s="112"/>
      <c r="D292" s="168"/>
      <c r="E292" s="4"/>
      <c r="F292" s="15"/>
    </row>
    <row r="293" spans="3:6" ht="15.75" customHeight="1">
      <c r="C293" s="112"/>
      <c r="D293" s="168"/>
      <c r="E293" s="4"/>
      <c r="F293" s="15"/>
    </row>
    <row r="294" spans="3:6" ht="15.75" customHeight="1">
      <c r="C294" s="112"/>
      <c r="D294" s="168"/>
      <c r="E294" s="4"/>
      <c r="F294" s="15"/>
    </row>
    <row r="295" spans="3:6" ht="15.75" customHeight="1">
      <c r="C295" s="112"/>
      <c r="D295" s="168"/>
      <c r="E295" s="4"/>
      <c r="F295" s="15"/>
    </row>
    <row r="296" spans="3:6" ht="15.75" customHeight="1">
      <c r="C296" s="112"/>
      <c r="D296" s="168"/>
      <c r="E296" s="4"/>
      <c r="F296" s="15"/>
    </row>
    <row r="297" spans="3:6" ht="15.75" customHeight="1">
      <c r="C297" s="112"/>
      <c r="D297" s="168"/>
      <c r="E297" s="4"/>
      <c r="F297" s="15"/>
    </row>
    <row r="298" spans="3:6" ht="15.75" customHeight="1">
      <c r="C298" s="112"/>
      <c r="D298" s="168"/>
      <c r="E298" s="4"/>
      <c r="F298" s="15"/>
    </row>
    <row r="299" spans="3:6" ht="15.75" customHeight="1">
      <c r="C299" s="112"/>
      <c r="D299" s="168"/>
      <c r="E299" s="4"/>
      <c r="F299" s="15"/>
    </row>
    <row r="300" spans="3:6" ht="15.75" customHeight="1">
      <c r="C300" s="112"/>
      <c r="D300" s="168"/>
      <c r="E300" s="4"/>
      <c r="F300" s="15"/>
    </row>
    <row r="301" spans="3:6" ht="15.75" customHeight="1">
      <c r="C301" s="112"/>
      <c r="D301" s="168"/>
      <c r="E301" s="4"/>
      <c r="F301" s="15"/>
    </row>
    <row r="302" spans="3:6" ht="15.75" customHeight="1">
      <c r="C302" s="112"/>
      <c r="D302" s="168"/>
      <c r="E302" s="4"/>
      <c r="F302" s="15"/>
    </row>
    <row r="303" spans="3:6" ht="15.75" customHeight="1">
      <c r="C303" s="112"/>
      <c r="D303" s="168"/>
      <c r="E303" s="4"/>
      <c r="F303" s="15"/>
    </row>
    <row r="304" spans="3:6" ht="15.75" customHeight="1">
      <c r="C304" s="112"/>
      <c r="D304" s="168"/>
      <c r="E304" s="4"/>
      <c r="F304" s="15"/>
    </row>
    <row r="305" spans="3:6" ht="15.75" customHeight="1">
      <c r="C305" s="112"/>
      <c r="D305" s="168"/>
      <c r="E305" s="4"/>
      <c r="F305" s="15"/>
    </row>
    <row r="306" spans="3:6" ht="15.75" customHeight="1">
      <c r="C306" s="112"/>
      <c r="D306" s="168"/>
      <c r="E306" s="4"/>
      <c r="F306" s="15"/>
    </row>
    <row r="307" spans="3:6" ht="15.75" customHeight="1">
      <c r="C307" s="112"/>
      <c r="D307" s="168"/>
      <c r="E307" s="4"/>
      <c r="F307" s="15"/>
    </row>
    <row r="308" spans="3:6" ht="15.75" customHeight="1">
      <c r="C308" s="112"/>
      <c r="D308" s="168"/>
      <c r="E308" s="4"/>
      <c r="F308" s="15"/>
    </row>
    <row r="309" spans="3:6" ht="15.75" customHeight="1">
      <c r="C309" s="112"/>
      <c r="D309" s="168"/>
      <c r="E309" s="4"/>
      <c r="F309" s="15"/>
    </row>
    <row r="310" spans="3:6" ht="15.75" customHeight="1">
      <c r="C310" s="112"/>
      <c r="D310" s="168"/>
      <c r="E310" s="4"/>
      <c r="F310" s="15"/>
    </row>
    <row r="311" spans="3:6" ht="15.75" customHeight="1">
      <c r="C311" s="112"/>
      <c r="D311" s="168"/>
      <c r="E311" s="4"/>
      <c r="F311" s="15"/>
    </row>
    <row r="312" spans="3:6" ht="15.75" customHeight="1">
      <c r="C312" s="112"/>
      <c r="D312" s="168"/>
      <c r="E312" s="4"/>
      <c r="F312" s="15"/>
    </row>
    <row r="313" spans="3:6" ht="15.75" customHeight="1">
      <c r="C313" s="112"/>
      <c r="D313" s="168"/>
      <c r="E313" s="4"/>
      <c r="F313" s="15"/>
    </row>
    <row r="314" spans="3:6" ht="15.75" customHeight="1">
      <c r="C314" s="112"/>
      <c r="D314" s="168"/>
      <c r="E314" s="4"/>
      <c r="F314" s="15"/>
    </row>
    <row r="315" spans="3:6" ht="15.75" customHeight="1">
      <c r="C315" s="112"/>
      <c r="D315" s="168"/>
      <c r="E315" s="4"/>
      <c r="F315" s="15"/>
    </row>
    <row r="316" spans="3:6" ht="15.75" customHeight="1">
      <c r="C316" s="112"/>
      <c r="D316" s="168"/>
      <c r="E316" s="4"/>
      <c r="F316" s="15"/>
    </row>
    <row r="317" spans="3:6" ht="15.75" customHeight="1">
      <c r="C317" s="112"/>
      <c r="D317" s="168"/>
      <c r="E317" s="4"/>
      <c r="F317" s="15"/>
    </row>
    <row r="318" spans="3:6" ht="15.75" customHeight="1">
      <c r="C318" s="112"/>
      <c r="D318" s="168"/>
      <c r="E318" s="4"/>
      <c r="F318" s="15"/>
    </row>
    <row r="319" spans="3:6" ht="15.75" customHeight="1">
      <c r="C319" s="112"/>
      <c r="D319" s="168"/>
      <c r="E319" s="4"/>
      <c r="F319" s="15"/>
    </row>
    <row r="320" spans="3:6" ht="15.75" customHeight="1">
      <c r="C320" s="112"/>
      <c r="D320" s="168"/>
      <c r="E320" s="4"/>
      <c r="F320" s="15"/>
    </row>
    <row r="321" spans="3:6" ht="15.75" customHeight="1">
      <c r="C321" s="112"/>
      <c r="D321" s="168"/>
      <c r="E321" s="4"/>
      <c r="F321" s="15"/>
    </row>
    <row r="322" spans="3:6" ht="15.75" customHeight="1">
      <c r="C322" s="112"/>
      <c r="D322" s="168"/>
      <c r="E322" s="4"/>
      <c r="F322" s="15"/>
    </row>
    <row r="323" spans="3:6" ht="15.75" customHeight="1">
      <c r="C323" s="112"/>
      <c r="D323" s="168"/>
      <c r="E323" s="4"/>
      <c r="F323" s="15"/>
    </row>
    <row r="324" spans="3:6" ht="15.75" customHeight="1">
      <c r="C324" s="112"/>
      <c r="D324" s="168"/>
      <c r="E324" s="4"/>
      <c r="F324" s="15"/>
    </row>
    <row r="325" spans="3:6" ht="15.75" customHeight="1">
      <c r="C325" s="112"/>
      <c r="D325" s="168"/>
      <c r="E325" s="4"/>
      <c r="F325" s="15"/>
    </row>
    <row r="326" spans="3:6" ht="15.75" customHeight="1">
      <c r="C326" s="112"/>
      <c r="D326" s="168"/>
      <c r="E326" s="4"/>
      <c r="F326" s="15"/>
    </row>
    <row r="327" spans="3:6" ht="15.75" customHeight="1">
      <c r="C327" s="112"/>
      <c r="D327" s="168"/>
      <c r="E327" s="4"/>
      <c r="F327" s="15"/>
    </row>
    <row r="328" spans="3:6" ht="15.75" customHeight="1">
      <c r="C328" s="112"/>
      <c r="D328" s="168"/>
      <c r="E328" s="4"/>
      <c r="F328" s="15"/>
    </row>
    <row r="329" spans="3:6" ht="15.75" customHeight="1">
      <c r="C329" s="112"/>
      <c r="D329" s="168"/>
      <c r="E329" s="4"/>
      <c r="F329" s="15"/>
    </row>
    <row r="330" spans="3:6" ht="15.75" customHeight="1">
      <c r="C330" s="112"/>
      <c r="D330" s="168"/>
      <c r="E330" s="4"/>
      <c r="F330" s="15"/>
    </row>
    <row r="331" spans="3:6" ht="15.75" customHeight="1">
      <c r="C331" s="112"/>
      <c r="D331" s="168"/>
      <c r="E331" s="4"/>
      <c r="F331" s="15"/>
    </row>
    <row r="332" spans="3:6" ht="15.75" customHeight="1">
      <c r="C332" s="112"/>
      <c r="D332" s="168"/>
      <c r="E332" s="4"/>
      <c r="F332" s="15"/>
    </row>
    <row r="333" spans="3:6" ht="15.75" customHeight="1">
      <c r="C333" s="112"/>
      <c r="D333" s="168"/>
      <c r="E333" s="4"/>
      <c r="F333" s="15"/>
    </row>
    <row r="334" spans="3:6" ht="15.75" customHeight="1">
      <c r="C334" s="112"/>
      <c r="D334" s="168"/>
      <c r="E334" s="4"/>
      <c r="F334" s="15"/>
    </row>
    <row r="335" spans="3:6" ht="15.75" customHeight="1">
      <c r="C335" s="112"/>
      <c r="D335" s="168"/>
      <c r="E335" s="4"/>
      <c r="F335" s="15"/>
    </row>
    <row r="336" spans="3:6" ht="15.75" customHeight="1">
      <c r="C336" s="112"/>
      <c r="D336" s="168"/>
      <c r="E336" s="4"/>
      <c r="F336" s="15"/>
    </row>
    <row r="337" spans="3:6" ht="15.75" customHeight="1">
      <c r="C337" s="112"/>
      <c r="D337" s="168"/>
      <c r="E337" s="4"/>
      <c r="F337" s="15"/>
    </row>
    <row r="338" spans="3:6" ht="15.75" customHeight="1">
      <c r="C338" s="112"/>
      <c r="D338" s="168"/>
      <c r="E338" s="4"/>
      <c r="F338" s="15"/>
    </row>
    <row r="339" spans="3:6" ht="15.75" customHeight="1">
      <c r="C339" s="112"/>
      <c r="D339" s="168"/>
      <c r="E339" s="4"/>
      <c r="F339" s="15"/>
    </row>
    <row r="340" spans="3:6" ht="15.75" customHeight="1">
      <c r="C340" s="112"/>
      <c r="D340" s="168"/>
      <c r="E340" s="4"/>
      <c r="F340" s="15"/>
    </row>
    <row r="341" spans="3:6" ht="15.75" customHeight="1">
      <c r="C341" s="112"/>
      <c r="D341" s="168"/>
      <c r="E341" s="4"/>
      <c r="F341" s="15"/>
    </row>
    <row r="342" spans="3:6" ht="15.75" customHeight="1">
      <c r="C342" s="112"/>
      <c r="D342" s="168"/>
      <c r="E342" s="4"/>
      <c r="F342" s="15"/>
    </row>
    <row r="343" spans="3:6" ht="15.75" customHeight="1">
      <c r="C343" s="112"/>
      <c r="D343" s="168"/>
      <c r="E343" s="4"/>
      <c r="F343" s="15"/>
    </row>
    <row r="344" spans="3:6" ht="15.75" customHeight="1">
      <c r="C344" s="112"/>
      <c r="D344" s="168"/>
      <c r="E344" s="4"/>
      <c r="F344" s="15"/>
    </row>
    <row r="345" spans="3:6" ht="15.75" customHeight="1">
      <c r="C345" s="112"/>
      <c r="D345" s="168"/>
      <c r="E345" s="4"/>
      <c r="F345" s="15"/>
    </row>
    <row r="346" spans="3:6" ht="15.75" customHeight="1">
      <c r="C346" s="112"/>
      <c r="D346" s="168"/>
      <c r="E346" s="4"/>
      <c r="F346" s="15"/>
    </row>
    <row r="347" spans="3:6" ht="15.75" customHeight="1">
      <c r="C347" s="112"/>
      <c r="D347" s="168"/>
      <c r="E347" s="4"/>
      <c r="F347" s="15"/>
    </row>
    <row r="348" spans="3:6" ht="15.75" customHeight="1">
      <c r="C348" s="112"/>
      <c r="D348" s="168"/>
      <c r="E348" s="4"/>
      <c r="F348" s="15"/>
    </row>
    <row r="349" spans="3:6" ht="15.75" customHeight="1">
      <c r="C349" s="112"/>
      <c r="D349" s="168"/>
      <c r="E349" s="4"/>
      <c r="F349" s="15"/>
    </row>
    <row r="350" spans="3:6" ht="15.75" customHeight="1">
      <c r="C350" s="112"/>
      <c r="D350" s="168"/>
      <c r="E350" s="4"/>
      <c r="F350" s="15"/>
    </row>
    <row r="351" spans="3:6" ht="15.75" customHeight="1">
      <c r="C351" s="112"/>
      <c r="D351" s="168"/>
      <c r="E351" s="4"/>
      <c r="F351" s="15"/>
    </row>
    <row r="352" spans="3:6" ht="15.75" customHeight="1">
      <c r="C352" s="112"/>
      <c r="D352" s="168"/>
      <c r="E352" s="4"/>
      <c r="F352" s="15"/>
    </row>
    <row r="353" spans="3:6" ht="15.75" customHeight="1">
      <c r="C353" s="112"/>
      <c r="D353" s="168"/>
      <c r="E353" s="4"/>
      <c r="F353" s="15"/>
    </row>
    <row r="354" spans="3:6" ht="15.75" customHeight="1">
      <c r="C354" s="112"/>
      <c r="D354" s="168"/>
      <c r="E354" s="4"/>
      <c r="F354" s="15"/>
    </row>
    <row r="355" spans="3:6" ht="15.75" customHeight="1">
      <c r="C355" s="112"/>
      <c r="D355" s="168"/>
      <c r="E355" s="4"/>
      <c r="F355" s="15"/>
    </row>
    <row r="356" spans="3:6" ht="15.75" customHeight="1">
      <c r="C356" s="112"/>
      <c r="D356" s="168"/>
      <c r="E356" s="4"/>
      <c r="F356" s="15"/>
    </row>
    <row r="357" spans="3:6" ht="15.75" customHeight="1">
      <c r="C357" s="112"/>
      <c r="D357" s="168"/>
      <c r="E357" s="4"/>
      <c r="F357" s="15"/>
    </row>
    <row r="358" spans="3:6" ht="15.75" customHeight="1">
      <c r="C358" s="112"/>
      <c r="D358" s="168"/>
      <c r="E358" s="4"/>
      <c r="F358" s="15"/>
    </row>
    <row r="359" spans="3:6" ht="15.75" customHeight="1">
      <c r="C359" s="112"/>
      <c r="D359" s="168"/>
      <c r="E359" s="4"/>
      <c r="F359" s="15"/>
    </row>
    <row r="360" spans="3:6" ht="15.75" customHeight="1">
      <c r="C360" s="112"/>
      <c r="D360" s="168"/>
      <c r="E360" s="4"/>
      <c r="F360" s="15"/>
    </row>
    <row r="361" spans="3:6" ht="15.75" customHeight="1">
      <c r="C361" s="112"/>
      <c r="D361" s="168"/>
      <c r="E361" s="4"/>
      <c r="F361" s="15"/>
    </row>
    <row r="362" spans="3:6" ht="15.75" customHeight="1">
      <c r="C362" s="112"/>
      <c r="D362" s="168"/>
      <c r="E362" s="4"/>
      <c r="F362" s="15"/>
    </row>
    <row r="363" spans="3:6" ht="15.75" customHeight="1">
      <c r="C363" s="112"/>
      <c r="D363" s="168"/>
      <c r="E363" s="4"/>
      <c r="F363" s="15"/>
    </row>
    <row r="364" spans="3:6" ht="15.75" customHeight="1">
      <c r="C364" s="112"/>
      <c r="D364" s="168"/>
      <c r="E364" s="4"/>
      <c r="F364" s="15"/>
    </row>
    <row r="365" spans="3:6" ht="15.75" customHeight="1">
      <c r="C365" s="112"/>
      <c r="D365" s="168"/>
      <c r="E365" s="4"/>
      <c r="F365" s="15"/>
    </row>
    <row r="366" spans="3:6" ht="15.75" customHeight="1">
      <c r="C366" s="112"/>
      <c r="D366" s="168"/>
      <c r="E366" s="4"/>
      <c r="F366" s="15"/>
    </row>
    <row r="367" spans="3:6" ht="15.75" customHeight="1">
      <c r="C367" s="112"/>
      <c r="D367" s="168"/>
      <c r="E367" s="4"/>
      <c r="F367" s="15"/>
    </row>
    <row r="368" spans="3:6" ht="15.75" customHeight="1">
      <c r="C368" s="112"/>
      <c r="D368" s="168"/>
      <c r="E368" s="4"/>
      <c r="F368" s="15"/>
    </row>
    <row r="369" spans="3:6" ht="15.75" customHeight="1">
      <c r="C369" s="112"/>
      <c r="D369" s="168"/>
      <c r="E369" s="4"/>
      <c r="F369" s="15"/>
    </row>
    <row r="370" spans="3:6" ht="15.75" customHeight="1">
      <c r="C370" s="112"/>
      <c r="D370" s="168"/>
      <c r="E370" s="4"/>
      <c r="F370" s="15"/>
    </row>
    <row r="371" spans="3:6" ht="15.75" customHeight="1">
      <c r="C371" s="112"/>
      <c r="D371" s="168"/>
      <c r="E371" s="4"/>
      <c r="F371" s="15"/>
    </row>
    <row r="372" spans="3:6" ht="15.75" customHeight="1">
      <c r="C372" s="112"/>
      <c r="D372" s="168"/>
      <c r="E372" s="4"/>
      <c r="F372" s="15"/>
    </row>
    <row r="373" spans="3:6" ht="15.75" customHeight="1">
      <c r="C373" s="112"/>
      <c r="D373" s="168"/>
      <c r="E373" s="4"/>
      <c r="F373" s="15"/>
    </row>
    <row r="374" spans="3:6" ht="15.75" customHeight="1">
      <c r="C374" s="112"/>
      <c r="D374" s="168"/>
      <c r="E374" s="4"/>
      <c r="F374" s="15"/>
    </row>
    <row r="375" spans="3:6" ht="15.75" customHeight="1">
      <c r="C375" s="112"/>
      <c r="D375" s="168"/>
      <c r="E375" s="4"/>
      <c r="F375" s="15"/>
    </row>
    <row r="376" spans="3:6" ht="15.75" customHeight="1">
      <c r="C376" s="112"/>
      <c r="D376" s="168"/>
      <c r="E376" s="4"/>
      <c r="F376" s="15"/>
    </row>
    <row r="377" spans="3:6" ht="15.75" customHeight="1">
      <c r="C377" s="112"/>
      <c r="D377" s="168"/>
      <c r="E377" s="4"/>
      <c r="F377" s="15"/>
    </row>
    <row r="378" spans="3:6" ht="15.75" customHeight="1">
      <c r="C378" s="112"/>
      <c r="D378" s="168"/>
      <c r="E378" s="4"/>
      <c r="F378" s="15"/>
    </row>
    <row r="379" spans="3:6" ht="15.75" customHeight="1">
      <c r="C379" s="112"/>
      <c r="D379" s="168"/>
      <c r="E379" s="4"/>
      <c r="F379" s="15"/>
    </row>
    <row r="380" spans="3:6" ht="15.75" customHeight="1">
      <c r="C380" s="112"/>
      <c r="D380" s="168"/>
      <c r="E380" s="4"/>
      <c r="F380" s="15"/>
    </row>
    <row r="381" spans="3:6" ht="15.75" customHeight="1">
      <c r="C381" s="112"/>
      <c r="D381" s="168"/>
      <c r="E381" s="4"/>
      <c r="F381" s="15"/>
    </row>
    <row r="382" spans="3:6" ht="15.75" customHeight="1">
      <c r="C382" s="112"/>
      <c r="D382" s="168"/>
      <c r="E382" s="4"/>
      <c r="F382" s="15"/>
    </row>
    <row r="383" spans="3:6" ht="15.75" customHeight="1">
      <c r="C383" s="112"/>
      <c r="D383" s="168"/>
      <c r="E383" s="4"/>
      <c r="F383" s="15"/>
    </row>
    <row r="384" spans="3:6" ht="15.75" customHeight="1">
      <c r="C384" s="112"/>
      <c r="D384" s="168"/>
      <c r="E384" s="4"/>
      <c r="F384" s="15"/>
    </row>
    <row r="385" spans="3:6" ht="15.75" customHeight="1">
      <c r="C385" s="112"/>
      <c r="D385" s="168"/>
      <c r="E385" s="4"/>
      <c r="F385" s="15"/>
    </row>
    <row r="386" spans="3:6" ht="15.75" customHeight="1">
      <c r="C386" s="112"/>
      <c r="D386" s="168"/>
      <c r="E386" s="4"/>
      <c r="F386" s="15"/>
    </row>
    <row r="387" spans="3:6" ht="15.75" customHeight="1">
      <c r="C387" s="112"/>
      <c r="D387" s="168"/>
      <c r="E387" s="4"/>
      <c r="F387" s="15"/>
    </row>
    <row r="388" spans="3:6" ht="15.75" customHeight="1">
      <c r="C388" s="112"/>
      <c r="D388" s="168"/>
      <c r="E388" s="4"/>
      <c r="F388" s="15"/>
    </row>
    <row r="389" spans="3:6" ht="15.75" customHeight="1">
      <c r="C389" s="112"/>
      <c r="D389" s="168"/>
      <c r="E389" s="4"/>
      <c r="F389" s="15"/>
    </row>
    <row r="390" spans="3:6" ht="15.75" customHeight="1">
      <c r="C390" s="112"/>
      <c r="D390" s="168"/>
      <c r="E390" s="4"/>
      <c r="F390" s="15"/>
    </row>
    <row r="391" spans="3:6" ht="15.75" customHeight="1">
      <c r="C391" s="112"/>
      <c r="D391" s="168"/>
      <c r="E391" s="4"/>
      <c r="F391" s="15"/>
    </row>
    <row r="392" spans="3:6" ht="15.75" customHeight="1">
      <c r="C392" s="112"/>
      <c r="D392" s="168"/>
      <c r="E392" s="4"/>
      <c r="F392" s="15"/>
    </row>
    <row r="393" spans="3:6" ht="15.75" customHeight="1">
      <c r="C393" s="112"/>
      <c r="D393" s="168"/>
      <c r="E393" s="4"/>
      <c r="F393" s="15"/>
    </row>
    <row r="394" spans="3:6" ht="15.75" customHeight="1">
      <c r="C394" s="112"/>
      <c r="D394" s="168"/>
      <c r="E394" s="4"/>
      <c r="F394" s="15"/>
    </row>
    <row r="395" spans="3:6" ht="15.75" customHeight="1">
      <c r="C395" s="112"/>
      <c r="D395" s="168"/>
      <c r="E395" s="4"/>
      <c r="F395" s="15"/>
    </row>
    <row r="396" spans="3:6" ht="15.75" customHeight="1">
      <c r="C396" s="112"/>
      <c r="D396" s="168"/>
      <c r="E396" s="4"/>
      <c r="F396" s="15"/>
    </row>
    <row r="397" spans="3:6" ht="15.75" customHeight="1">
      <c r="C397" s="112"/>
      <c r="D397" s="168"/>
      <c r="E397" s="4"/>
      <c r="F397" s="15"/>
    </row>
    <row r="398" spans="3:6" ht="15.75" customHeight="1">
      <c r="C398" s="112"/>
      <c r="D398" s="168"/>
      <c r="E398" s="4"/>
      <c r="F398" s="15"/>
    </row>
    <row r="399" spans="3:6" ht="15.75" customHeight="1">
      <c r="C399" s="112"/>
      <c r="D399" s="168"/>
      <c r="E399" s="4"/>
      <c r="F399" s="15"/>
    </row>
    <row r="400" spans="3:6" ht="15.75" customHeight="1">
      <c r="C400" s="112"/>
      <c r="D400" s="168"/>
      <c r="E400" s="4"/>
      <c r="F400" s="15"/>
    </row>
    <row r="401" spans="3:6" ht="15.75" customHeight="1">
      <c r="C401" s="112"/>
      <c r="D401" s="168"/>
      <c r="E401" s="4"/>
      <c r="F401" s="15"/>
    </row>
    <row r="402" spans="3:6" ht="15.75" customHeight="1">
      <c r="C402" s="112"/>
      <c r="D402" s="168"/>
      <c r="E402" s="4"/>
      <c r="F402" s="15"/>
    </row>
    <row r="403" spans="3:6" ht="15.75" customHeight="1">
      <c r="C403" s="112"/>
      <c r="D403" s="168"/>
      <c r="E403" s="4"/>
      <c r="F403" s="15"/>
    </row>
    <row r="404" spans="3:6" ht="15.75" customHeight="1">
      <c r="C404" s="112"/>
      <c r="D404" s="168"/>
      <c r="E404" s="4"/>
      <c r="F404" s="15"/>
    </row>
    <row r="405" spans="3:6" ht="15.75" customHeight="1">
      <c r="C405" s="112"/>
      <c r="D405" s="168"/>
      <c r="E405" s="4"/>
      <c r="F405" s="15"/>
    </row>
    <row r="406" spans="3:6" ht="15.75" customHeight="1">
      <c r="C406" s="112"/>
      <c r="D406" s="168"/>
      <c r="E406" s="4"/>
      <c r="F406" s="15"/>
    </row>
    <row r="407" spans="3:6" ht="15.75" customHeight="1">
      <c r="C407" s="112"/>
      <c r="D407" s="168"/>
      <c r="E407" s="4"/>
      <c r="F407" s="15"/>
    </row>
    <row r="408" spans="3:6" ht="15.75" customHeight="1">
      <c r="C408" s="112"/>
      <c r="D408" s="168"/>
      <c r="E408" s="4"/>
      <c r="F408" s="15"/>
    </row>
    <row r="409" spans="3:6" ht="15.75" customHeight="1">
      <c r="C409" s="112"/>
      <c r="D409" s="168"/>
      <c r="E409" s="4"/>
      <c r="F409" s="15"/>
    </row>
    <row r="410" spans="3:6" ht="15.75" customHeight="1">
      <c r="C410" s="112"/>
      <c r="D410" s="168"/>
      <c r="E410" s="4"/>
      <c r="F410" s="15"/>
    </row>
    <row r="411" spans="3:6" ht="15.75" customHeight="1">
      <c r="C411" s="112"/>
      <c r="D411" s="168"/>
      <c r="E411" s="4"/>
      <c r="F411" s="15"/>
    </row>
    <row r="412" spans="3:6" ht="15.75" customHeight="1">
      <c r="C412" s="112"/>
      <c r="D412" s="168"/>
      <c r="E412" s="4"/>
      <c r="F412" s="15"/>
    </row>
    <row r="413" spans="3:6" ht="15.75" customHeight="1">
      <c r="C413" s="112"/>
      <c r="D413" s="168"/>
      <c r="E413" s="4"/>
      <c r="F413" s="15"/>
    </row>
    <row r="414" spans="3:6" ht="15.75" customHeight="1">
      <c r="C414" s="112"/>
      <c r="D414" s="168"/>
      <c r="E414" s="4"/>
      <c r="F414" s="15"/>
    </row>
    <row r="415" spans="3:6" ht="15.75" customHeight="1">
      <c r="C415" s="112"/>
      <c r="D415" s="168"/>
      <c r="E415" s="4"/>
      <c r="F415" s="15"/>
    </row>
    <row r="416" spans="3:6" ht="15.75" customHeight="1">
      <c r="C416" s="112"/>
      <c r="D416" s="168"/>
      <c r="E416" s="4"/>
      <c r="F416" s="15"/>
    </row>
    <row r="417" spans="3:6" ht="15.75" customHeight="1">
      <c r="C417" s="112"/>
      <c r="D417" s="168"/>
      <c r="E417" s="4"/>
      <c r="F417" s="15"/>
    </row>
    <row r="418" spans="3:6" ht="15.75" customHeight="1">
      <c r="C418" s="112"/>
      <c r="D418" s="168"/>
      <c r="E418" s="4"/>
      <c r="F418" s="15"/>
    </row>
    <row r="419" spans="3:6" ht="15.75" customHeight="1">
      <c r="C419" s="112"/>
      <c r="D419" s="168"/>
      <c r="E419" s="4"/>
      <c r="F419" s="15"/>
    </row>
    <row r="420" spans="3:6" ht="15.75" customHeight="1">
      <c r="C420" s="112"/>
      <c r="D420" s="168"/>
      <c r="E420" s="4"/>
      <c r="F420" s="15"/>
    </row>
    <row r="421" spans="3:6" ht="15.75" customHeight="1">
      <c r="C421" s="112"/>
      <c r="D421" s="168"/>
      <c r="E421" s="4"/>
      <c r="F421" s="15"/>
    </row>
    <row r="422" spans="3:6" ht="15.75" customHeight="1">
      <c r="C422" s="112"/>
      <c r="D422" s="168"/>
      <c r="E422" s="4"/>
      <c r="F422" s="15"/>
    </row>
    <row r="423" spans="3:6" ht="15.75" customHeight="1">
      <c r="C423" s="112"/>
      <c r="D423" s="168"/>
      <c r="E423" s="4"/>
      <c r="F423" s="15"/>
    </row>
    <row r="424" spans="3:6" ht="15.75" customHeight="1">
      <c r="C424" s="112"/>
      <c r="D424" s="168"/>
      <c r="E424" s="4"/>
      <c r="F424" s="15"/>
    </row>
    <row r="425" spans="3:6" ht="15.75" customHeight="1">
      <c r="C425" s="112"/>
      <c r="D425" s="168"/>
      <c r="E425" s="4"/>
      <c r="F425" s="15"/>
    </row>
    <row r="426" spans="3:6" ht="15.75" customHeight="1">
      <c r="C426" s="112"/>
      <c r="D426" s="168"/>
      <c r="E426" s="4"/>
      <c r="F426" s="15"/>
    </row>
    <row r="427" spans="3:6" ht="15.75" customHeight="1">
      <c r="C427" s="112"/>
      <c r="D427" s="168"/>
      <c r="E427" s="4"/>
      <c r="F427" s="15"/>
    </row>
    <row r="428" spans="3:6" ht="15.75" customHeight="1">
      <c r="C428" s="112"/>
      <c r="D428" s="168"/>
      <c r="E428" s="4"/>
      <c r="F428" s="15"/>
    </row>
    <row r="429" spans="3:6" ht="15.75" customHeight="1">
      <c r="C429" s="112"/>
      <c r="D429" s="168"/>
      <c r="E429" s="4"/>
      <c r="F429" s="15"/>
    </row>
    <row r="430" spans="3:6" ht="15.75" customHeight="1">
      <c r="C430" s="112"/>
      <c r="D430" s="168"/>
      <c r="E430" s="4"/>
      <c r="F430" s="15"/>
    </row>
    <row r="431" spans="3:6" ht="15.75" customHeight="1">
      <c r="C431" s="112"/>
      <c r="D431" s="168"/>
      <c r="E431" s="4"/>
      <c r="F431" s="15"/>
    </row>
    <row r="432" spans="3:6" ht="15.75" customHeight="1">
      <c r="C432" s="112"/>
      <c r="D432" s="168"/>
      <c r="E432" s="4"/>
      <c r="F432" s="15"/>
    </row>
    <row r="433" spans="3:6" ht="15.75" customHeight="1">
      <c r="C433" s="112"/>
      <c r="D433" s="168"/>
      <c r="E433" s="4"/>
      <c r="F433" s="15"/>
    </row>
    <row r="434" spans="3:6" ht="15.75" customHeight="1">
      <c r="C434" s="112"/>
      <c r="D434" s="168"/>
      <c r="E434" s="4"/>
      <c r="F434" s="15"/>
    </row>
    <row r="435" spans="3:6" ht="15.75" customHeight="1">
      <c r="C435" s="112"/>
      <c r="D435" s="168"/>
      <c r="E435" s="4"/>
      <c r="F435" s="15"/>
    </row>
    <row r="436" spans="3:6" ht="15.75" customHeight="1">
      <c r="C436" s="112"/>
      <c r="D436" s="168"/>
      <c r="E436" s="4"/>
      <c r="F436" s="15"/>
    </row>
    <row r="437" spans="3:6" ht="15.75" customHeight="1">
      <c r="C437" s="112"/>
      <c r="D437" s="168"/>
      <c r="E437" s="4"/>
      <c r="F437" s="15"/>
    </row>
    <row r="438" spans="3:6" ht="15.75" customHeight="1">
      <c r="C438" s="112"/>
      <c r="D438" s="168"/>
      <c r="E438" s="4"/>
      <c r="F438" s="15"/>
    </row>
    <row r="439" spans="3:6" ht="15.75" customHeight="1">
      <c r="C439" s="112"/>
      <c r="D439" s="168"/>
      <c r="E439" s="4"/>
      <c r="F439" s="15"/>
    </row>
    <row r="440" spans="3:6" ht="15.75" customHeight="1">
      <c r="C440" s="112"/>
      <c r="D440" s="168"/>
      <c r="E440" s="4"/>
      <c r="F440" s="15"/>
    </row>
    <row r="441" spans="3:6" ht="15.75" customHeight="1">
      <c r="C441" s="112"/>
      <c r="D441" s="168"/>
      <c r="E441" s="4"/>
      <c r="F441" s="15"/>
    </row>
    <row r="442" spans="3:6" ht="15.75" customHeight="1">
      <c r="C442" s="112"/>
      <c r="D442" s="168"/>
      <c r="E442" s="4"/>
      <c r="F442" s="15"/>
    </row>
    <row r="443" spans="3:6" ht="15.75" customHeight="1">
      <c r="C443" s="112"/>
      <c r="D443" s="168"/>
      <c r="E443" s="4"/>
      <c r="F443" s="15"/>
    </row>
    <row r="444" spans="3:6" ht="15.75" customHeight="1">
      <c r="C444" s="112"/>
      <c r="D444" s="168"/>
      <c r="E444" s="4"/>
      <c r="F444" s="15"/>
    </row>
    <row r="445" spans="3:6" ht="15.75" customHeight="1">
      <c r="C445" s="112"/>
      <c r="D445" s="168"/>
      <c r="E445" s="4"/>
      <c r="F445" s="15"/>
    </row>
    <row r="446" spans="3:6" ht="15.75" customHeight="1">
      <c r="C446" s="112"/>
      <c r="D446" s="168"/>
      <c r="E446" s="4"/>
      <c r="F446" s="15"/>
    </row>
    <row r="447" spans="3:6" ht="15.75" customHeight="1">
      <c r="C447" s="112"/>
      <c r="D447" s="168"/>
      <c r="E447" s="4"/>
      <c r="F447" s="15"/>
    </row>
    <row r="448" spans="3:6" ht="15.75" customHeight="1">
      <c r="C448" s="112"/>
      <c r="D448" s="168"/>
      <c r="E448" s="4"/>
      <c r="F448" s="15"/>
    </row>
    <row r="449" spans="3:6" ht="15.75" customHeight="1">
      <c r="C449" s="112"/>
      <c r="D449" s="168"/>
      <c r="E449" s="4"/>
      <c r="F449" s="15"/>
    </row>
    <row r="450" spans="3:6" ht="15.75" customHeight="1">
      <c r="C450" s="112"/>
      <c r="D450" s="168"/>
      <c r="E450" s="4"/>
      <c r="F450" s="15"/>
    </row>
    <row r="451" spans="3:6" ht="15.75" customHeight="1">
      <c r="C451" s="112"/>
      <c r="D451" s="168"/>
      <c r="E451" s="4"/>
      <c r="F451" s="15"/>
    </row>
    <row r="452" spans="3:6" ht="15.75" customHeight="1">
      <c r="C452" s="112"/>
      <c r="D452" s="168"/>
      <c r="E452" s="4"/>
      <c r="F452" s="15"/>
    </row>
    <row r="453" spans="3:6" ht="15.75" customHeight="1">
      <c r="C453" s="112"/>
      <c r="D453" s="168"/>
      <c r="E453" s="4"/>
      <c r="F453" s="15"/>
    </row>
    <row r="454" spans="3:6" ht="15.75" customHeight="1">
      <c r="C454" s="112"/>
      <c r="D454" s="168"/>
      <c r="E454" s="4"/>
      <c r="F454" s="15"/>
    </row>
    <row r="455" spans="3:6" ht="15.75" customHeight="1">
      <c r="C455" s="112"/>
      <c r="D455" s="168"/>
      <c r="E455" s="4"/>
      <c r="F455" s="15"/>
    </row>
    <row r="456" spans="3:6" ht="15.75" customHeight="1">
      <c r="C456" s="112"/>
      <c r="D456" s="168"/>
      <c r="E456" s="4"/>
      <c r="F456" s="15"/>
    </row>
    <row r="457" spans="3:6" ht="15.75" customHeight="1">
      <c r="C457" s="112"/>
      <c r="D457" s="168"/>
      <c r="E457" s="4"/>
      <c r="F457" s="15"/>
    </row>
    <row r="458" spans="3:6" ht="15.75" customHeight="1">
      <c r="C458" s="112"/>
      <c r="D458" s="168"/>
      <c r="E458" s="4"/>
      <c r="F458" s="15"/>
    </row>
    <row r="459" spans="3:6" ht="15.75" customHeight="1">
      <c r="C459" s="112"/>
      <c r="D459" s="168"/>
      <c r="E459" s="4"/>
      <c r="F459" s="15"/>
    </row>
    <row r="460" spans="3:6" ht="15.75" customHeight="1">
      <c r="C460" s="112"/>
      <c r="D460" s="168"/>
      <c r="E460" s="4"/>
      <c r="F460" s="15"/>
    </row>
    <row r="461" spans="3:6" ht="15.75" customHeight="1">
      <c r="C461" s="112"/>
      <c r="D461" s="168"/>
      <c r="E461" s="4"/>
      <c r="F461" s="15"/>
    </row>
    <row r="462" spans="3:6" ht="15.75" customHeight="1">
      <c r="C462" s="112"/>
      <c r="D462" s="168"/>
      <c r="E462" s="4"/>
      <c r="F462" s="15"/>
    </row>
    <row r="463" spans="3:6" ht="15.75" customHeight="1">
      <c r="C463" s="112"/>
      <c r="D463" s="168"/>
      <c r="E463" s="4"/>
      <c r="F463" s="15"/>
    </row>
    <row r="464" spans="3:6" ht="15.75" customHeight="1">
      <c r="C464" s="112"/>
      <c r="D464" s="168"/>
      <c r="E464" s="4"/>
      <c r="F464" s="15"/>
    </row>
    <row r="465" spans="3:6" ht="15.75" customHeight="1">
      <c r="C465" s="112"/>
      <c r="D465" s="168"/>
      <c r="E465" s="4"/>
      <c r="F465" s="15"/>
    </row>
    <row r="466" spans="3:6" ht="15.75" customHeight="1">
      <c r="C466" s="112"/>
      <c r="D466" s="168"/>
      <c r="E466" s="4"/>
      <c r="F466" s="15"/>
    </row>
    <row r="467" spans="3:6" ht="15.75" customHeight="1">
      <c r="C467" s="112"/>
      <c r="D467" s="168"/>
      <c r="E467" s="4"/>
      <c r="F467" s="15"/>
    </row>
    <row r="468" spans="3:6" ht="15.75" customHeight="1">
      <c r="C468" s="112"/>
      <c r="D468" s="168"/>
      <c r="E468" s="4"/>
      <c r="F468" s="15"/>
    </row>
    <row r="469" spans="3:6" ht="15.75" customHeight="1">
      <c r="C469" s="112"/>
      <c r="D469" s="168"/>
      <c r="E469" s="4"/>
      <c r="F469" s="15"/>
    </row>
    <row r="470" spans="3:6" ht="15.75" customHeight="1">
      <c r="C470" s="112"/>
      <c r="D470" s="168"/>
      <c r="E470" s="4"/>
      <c r="F470" s="15"/>
    </row>
    <row r="471" spans="3:6" ht="15.75" customHeight="1">
      <c r="C471" s="112"/>
      <c r="D471" s="168"/>
      <c r="E471" s="4"/>
      <c r="F471" s="15"/>
    </row>
    <row r="472" spans="3:6" ht="15.75" customHeight="1">
      <c r="C472" s="112"/>
      <c r="D472" s="168"/>
      <c r="E472" s="4"/>
      <c r="F472" s="15"/>
    </row>
    <row r="473" spans="3:6" ht="15.75" customHeight="1">
      <c r="C473" s="112"/>
      <c r="D473" s="168"/>
      <c r="E473" s="4"/>
      <c r="F473" s="15"/>
    </row>
    <row r="474" spans="3:6" ht="15.75" customHeight="1">
      <c r="C474" s="112"/>
      <c r="D474" s="168"/>
      <c r="E474" s="4"/>
      <c r="F474" s="15"/>
    </row>
    <row r="475" spans="3:6" ht="15.75" customHeight="1">
      <c r="C475" s="112"/>
      <c r="D475" s="168"/>
      <c r="E475" s="4"/>
      <c r="F475" s="15"/>
    </row>
    <row r="476" spans="3:6" ht="15.75" customHeight="1">
      <c r="C476" s="112"/>
      <c r="D476" s="168"/>
      <c r="E476" s="4"/>
      <c r="F476" s="15"/>
    </row>
    <row r="477" spans="3:6" ht="15.75" customHeight="1">
      <c r="C477" s="112"/>
      <c r="D477" s="168"/>
      <c r="E477" s="4"/>
      <c r="F477" s="15"/>
    </row>
    <row r="478" spans="3:6" ht="15.75" customHeight="1">
      <c r="C478" s="112"/>
      <c r="D478" s="168"/>
      <c r="E478" s="4"/>
      <c r="F478" s="15"/>
    </row>
    <row r="479" spans="3:6" ht="15.75" customHeight="1">
      <c r="C479" s="112"/>
      <c r="D479" s="168"/>
      <c r="E479" s="4"/>
      <c r="F479" s="15"/>
    </row>
    <row r="480" spans="3:6" ht="15.75" customHeight="1">
      <c r="C480" s="112"/>
      <c r="D480" s="168"/>
      <c r="E480" s="4"/>
      <c r="F480" s="15"/>
    </row>
    <row r="481" spans="3:6" ht="15.75" customHeight="1">
      <c r="C481" s="112"/>
      <c r="D481" s="168"/>
      <c r="E481" s="4"/>
      <c r="F481" s="15"/>
    </row>
    <row r="482" spans="3:6" ht="15.75" customHeight="1">
      <c r="C482" s="112"/>
      <c r="D482" s="168"/>
      <c r="E482" s="4"/>
      <c r="F482" s="15"/>
    </row>
    <row r="483" spans="3:6" ht="15.75" customHeight="1">
      <c r="C483" s="112"/>
      <c r="D483" s="168"/>
      <c r="E483" s="4"/>
      <c r="F483" s="15"/>
    </row>
    <row r="484" spans="3:6" ht="15.75" customHeight="1">
      <c r="C484" s="112"/>
      <c r="D484" s="168"/>
      <c r="E484" s="4"/>
      <c r="F484" s="15"/>
    </row>
    <row r="485" spans="3:6" ht="15.75" customHeight="1">
      <c r="C485" s="112"/>
      <c r="D485" s="168"/>
      <c r="E485" s="4"/>
      <c r="F485" s="15"/>
    </row>
    <row r="486" spans="3:6" ht="15.75" customHeight="1">
      <c r="C486" s="112"/>
      <c r="D486" s="168"/>
      <c r="E486" s="4"/>
      <c r="F486" s="15"/>
    </row>
    <row r="487" spans="3:6" ht="15.75" customHeight="1">
      <c r="C487" s="112"/>
      <c r="D487" s="168"/>
      <c r="E487" s="4"/>
      <c r="F487" s="15"/>
    </row>
    <row r="488" spans="3:6" ht="15.75" customHeight="1">
      <c r="C488" s="112"/>
      <c r="D488" s="168"/>
      <c r="E488" s="4"/>
      <c r="F488" s="15"/>
    </row>
    <row r="489" spans="3:6" ht="15.75" customHeight="1">
      <c r="C489" s="112"/>
      <c r="D489" s="168"/>
      <c r="E489" s="4"/>
      <c r="F489" s="15"/>
    </row>
    <row r="490" spans="3:6" ht="15.75" customHeight="1">
      <c r="C490" s="112"/>
      <c r="D490" s="168"/>
      <c r="E490" s="4"/>
      <c r="F490" s="15"/>
    </row>
    <row r="491" spans="3:6" ht="15.75" customHeight="1">
      <c r="C491" s="112"/>
      <c r="D491" s="168"/>
      <c r="E491" s="4"/>
      <c r="F491" s="15"/>
    </row>
    <row r="492" spans="3:6" ht="15.75" customHeight="1">
      <c r="C492" s="112"/>
      <c r="D492" s="168"/>
      <c r="E492" s="4"/>
      <c r="F492" s="15"/>
    </row>
    <row r="493" spans="3:6" ht="15.75" customHeight="1">
      <c r="C493" s="112"/>
      <c r="D493" s="168"/>
      <c r="E493" s="4"/>
      <c r="F493" s="15"/>
    </row>
    <row r="494" spans="3:6" ht="15.75" customHeight="1">
      <c r="C494" s="112"/>
      <c r="D494" s="168"/>
      <c r="E494" s="4"/>
      <c r="F494" s="15"/>
    </row>
    <row r="495" spans="3:6" ht="15.75" customHeight="1">
      <c r="C495" s="112"/>
      <c r="D495" s="168"/>
      <c r="E495" s="4"/>
      <c r="F495" s="15"/>
    </row>
    <row r="496" spans="3:6" ht="15.75" customHeight="1">
      <c r="C496" s="112"/>
      <c r="D496" s="168"/>
      <c r="E496" s="4"/>
      <c r="F496" s="15"/>
    </row>
    <row r="497" spans="3:6" ht="15.75" customHeight="1">
      <c r="C497" s="112"/>
      <c r="D497" s="168"/>
      <c r="E497" s="4"/>
      <c r="F497" s="15"/>
    </row>
    <row r="498" spans="3:6" ht="15.75" customHeight="1">
      <c r="C498" s="112"/>
      <c r="D498" s="168"/>
      <c r="E498" s="4"/>
      <c r="F498" s="15"/>
    </row>
    <row r="499" spans="3:6" ht="15.75" customHeight="1">
      <c r="C499" s="112"/>
      <c r="D499" s="168"/>
      <c r="E499" s="4"/>
      <c r="F499" s="15"/>
    </row>
    <row r="500" spans="3:6" ht="15.75" customHeight="1">
      <c r="C500" s="112"/>
      <c r="D500" s="168"/>
      <c r="E500" s="4"/>
      <c r="F500" s="15"/>
    </row>
    <row r="501" spans="3:6" ht="15.75" customHeight="1">
      <c r="C501" s="112"/>
      <c r="D501" s="168"/>
      <c r="E501" s="4"/>
      <c r="F501" s="15"/>
    </row>
    <row r="502" spans="3:6" ht="15.75" customHeight="1">
      <c r="C502" s="112"/>
      <c r="D502" s="168"/>
      <c r="E502" s="4"/>
      <c r="F502" s="15"/>
    </row>
    <row r="503" spans="3:6" ht="15.75" customHeight="1">
      <c r="C503" s="112"/>
      <c r="D503" s="168"/>
      <c r="E503" s="4"/>
      <c r="F503" s="15"/>
    </row>
    <row r="504" spans="3:6" ht="15.75" customHeight="1">
      <c r="C504" s="112"/>
      <c r="D504" s="168"/>
      <c r="E504" s="4"/>
      <c r="F504" s="15"/>
    </row>
    <row r="505" spans="3:6" ht="15.75" customHeight="1">
      <c r="C505" s="112"/>
      <c r="D505" s="168"/>
      <c r="E505" s="4"/>
      <c r="F505" s="15"/>
    </row>
    <row r="506" spans="3:6" ht="15.75" customHeight="1">
      <c r="C506" s="112"/>
      <c r="D506" s="168"/>
      <c r="E506" s="4"/>
      <c r="F506" s="15"/>
    </row>
    <row r="507" spans="3:6" ht="15.75" customHeight="1">
      <c r="C507" s="112"/>
      <c r="D507" s="168"/>
      <c r="E507" s="4"/>
      <c r="F507" s="15"/>
    </row>
    <row r="508" spans="3:6" ht="15.75" customHeight="1">
      <c r="C508" s="112"/>
      <c r="D508" s="168"/>
      <c r="E508" s="4"/>
      <c r="F508" s="15"/>
    </row>
    <row r="509" spans="3:6" ht="15.75" customHeight="1">
      <c r="C509" s="112"/>
      <c r="D509" s="168"/>
      <c r="E509" s="4"/>
      <c r="F509" s="15"/>
    </row>
    <row r="510" spans="3:6" ht="15.75" customHeight="1">
      <c r="C510" s="112"/>
      <c r="D510" s="168"/>
      <c r="E510" s="4"/>
      <c r="F510" s="15"/>
    </row>
    <row r="511" spans="3:6" ht="15.75" customHeight="1">
      <c r="C511" s="112"/>
      <c r="D511" s="168"/>
      <c r="E511" s="4"/>
      <c r="F511" s="15"/>
    </row>
    <row r="512" spans="3:6" ht="15.75" customHeight="1">
      <c r="C512" s="112"/>
      <c r="D512" s="168"/>
      <c r="E512" s="4"/>
      <c r="F512" s="15"/>
    </row>
    <row r="513" spans="3:6" ht="15.75" customHeight="1">
      <c r="C513" s="112"/>
      <c r="D513" s="168"/>
      <c r="E513" s="4"/>
      <c r="F513" s="15"/>
    </row>
    <row r="514" spans="3:6" ht="15.75" customHeight="1">
      <c r="C514" s="112"/>
      <c r="D514" s="168"/>
      <c r="E514" s="4"/>
      <c r="F514" s="15"/>
    </row>
    <row r="515" spans="3:6" ht="15.75" customHeight="1">
      <c r="C515" s="112"/>
      <c r="D515" s="168"/>
      <c r="E515" s="4"/>
      <c r="F515" s="15"/>
    </row>
    <row r="516" spans="3:6" ht="15.75" customHeight="1">
      <c r="C516" s="112"/>
      <c r="D516" s="168"/>
      <c r="E516" s="4"/>
      <c r="F516" s="15"/>
    </row>
    <row r="517" spans="3:6" ht="15.75" customHeight="1">
      <c r="C517" s="112"/>
      <c r="D517" s="168"/>
      <c r="E517" s="4"/>
      <c r="F517" s="15"/>
    </row>
    <row r="518" spans="3:6" ht="15.75" customHeight="1">
      <c r="C518" s="112"/>
      <c r="D518" s="168"/>
      <c r="E518" s="4"/>
      <c r="F518" s="15"/>
    </row>
    <row r="519" spans="3:6" ht="15.75" customHeight="1">
      <c r="C519" s="112"/>
      <c r="D519" s="168"/>
      <c r="E519" s="4"/>
      <c r="F519" s="15"/>
    </row>
    <row r="520" spans="3:6" ht="15.75" customHeight="1">
      <c r="C520" s="112"/>
      <c r="D520" s="168"/>
      <c r="E520" s="4"/>
      <c r="F520" s="15"/>
    </row>
    <row r="521" spans="3:6" ht="15.75" customHeight="1">
      <c r="C521" s="112"/>
      <c r="D521" s="168"/>
      <c r="E521" s="4"/>
      <c r="F521" s="15"/>
    </row>
    <row r="522" spans="3:6" ht="15.75" customHeight="1">
      <c r="C522" s="112"/>
      <c r="D522" s="168"/>
      <c r="E522" s="4"/>
      <c r="F522" s="15"/>
    </row>
    <row r="523" spans="3:6" ht="15.75" customHeight="1">
      <c r="C523" s="112"/>
      <c r="D523" s="168"/>
      <c r="E523" s="4"/>
      <c r="F523" s="15"/>
    </row>
    <row r="524" spans="3:6" ht="15.75" customHeight="1">
      <c r="C524" s="112"/>
      <c r="D524" s="168"/>
      <c r="E524" s="4"/>
      <c r="F524" s="15"/>
    </row>
    <row r="525" spans="3:6" ht="15.75" customHeight="1">
      <c r="C525" s="112"/>
      <c r="D525" s="168"/>
      <c r="E525" s="4"/>
      <c r="F525" s="15"/>
    </row>
    <row r="526" spans="3:6" ht="15.75" customHeight="1">
      <c r="C526" s="112"/>
      <c r="D526" s="168"/>
      <c r="E526" s="4"/>
      <c r="F526" s="15"/>
    </row>
    <row r="527" spans="3:6" ht="15.75" customHeight="1">
      <c r="C527" s="112"/>
      <c r="D527" s="168"/>
      <c r="E527" s="4"/>
      <c r="F527" s="15"/>
    </row>
    <row r="528" spans="3:6" ht="15.75" customHeight="1">
      <c r="C528" s="112"/>
      <c r="D528" s="168"/>
      <c r="E528" s="4"/>
      <c r="F528" s="15"/>
    </row>
    <row r="529" spans="3:6" ht="15.75" customHeight="1">
      <c r="C529" s="112"/>
      <c r="D529" s="168"/>
      <c r="E529" s="4"/>
      <c r="F529" s="15"/>
    </row>
    <row r="530" spans="3:6" ht="15.75" customHeight="1">
      <c r="C530" s="112"/>
      <c r="D530" s="168"/>
      <c r="E530" s="4"/>
      <c r="F530" s="15"/>
    </row>
    <row r="531" spans="3:6" ht="15.75" customHeight="1">
      <c r="C531" s="112"/>
      <c r="D531" s="168"/>
      <c r="E531" s="4"/>
      <c r="F531" s="15"/>
    </row>
    <row r="532" spans="3:6" ht="15.75" customHeight="1">
      <c r="C532" s="112"/>
      <c r="D532" s="168"/>
      <c r="E532" s="4"/>
      <c r="F532" s="15"/>
    </row>
    <row r="533" spans="3:6" ht="15.75" customHeight="1">
      <c r="C533" s="112"/>
      <c r="D533" s="168"/>
      <c r="E533" s="4"/>
      <c r="F533" s="15"/>
    </row>
    <row r="534" spans="3:6" ht="15.75" customHeight="1">
      <c r="C534" s="112"/>
      <c r="D534" s="168"/>
      <c r="E534" s="4"/>
      <c r="F534" s="15"/>
    </row>
    <row r="535" spans="3:6" ht="15.75" customHeight="1">
      <c r="C535" s="112"/>
      <c r="D535" s="168"/>
      <c r="E535" s="4"/>
      <c r="F535" s="15"/>
    </row>
    <row r="536" spans="3:6" ht="15.75" customHeight="1">
      <c r="C536" s="112"/>
      <c r="D536" s="168"/>
      <c r="E536" s="4"/>
      <c r="F536" s="15"/>
    </row>
    <row r="537" spans="3:6" ht="15.75" customHeight="1">
      <c r="C537" s="112"/>
      <c r="D537" s="168"/>
      <c r="E537" s="4"/>
      <c r="F537" s="15"/>
    </row>
    <row r="538" spans="3:6" ht="15.75" customHeight="1">
      <c r="C538" s="112"/>
      <c r="D538" s="168"/>
      <c r="E538" s="4"/>
      <c r="F538" s="15"/>
    </row>
    <row r="539" spans="3:6" ht="15.75" customHeight="1">
      <c r="C539" s="112"/>
      <c r="D539" s="168"/>
      <c r="E539" s="4"/>
      <c r="F539" s="15"/>
    </row>
    <row r="540" spans="3:6" ht="15.75" customHeight="1">
      <c r="C540" s="112"/>
      <c r="D540" s="168"/>
      <c r="E540" s="4"/>
      <c r="F540" s="15"/>
    </row>
    <row r="541" spans="3:6" ht="15.75" customHeight="1">
      <c r="C541" s="112"/>
      <c r="D541" s="168"/>
      <c r="E541" s="4"/>
      <c r="F541" s="15"/>
    </row>
    <row r="542" spans="3:6" ht="15.75" customHeight="1">
      <c r="C542" s="112"/>
      <c r="D542" s="168"/>
      <c r="E542" s="4"/>
      <c r="F542" s="15"/>
    </row>
    <row r="543" spans="3:6" ht="15.75" customHeight="1">
      <c r="C543" s="112"/>
      <c r="D543" s="168"/>
      <c r="E543" s="4"/>
      <c r="F543" s="15"/>
    </row>
    <row r="544" spans="3:6" ht="15.75" customHeight="1">
      <c r="C544" s="112"/>
      <c r="D544" s="168"/>
      <c r="E544" s="4"/>
      <c r="F544" s="15"/>
    </row>
    <row r="545" spans="3:6" ht="15.75" customHeight="1">
      <c r="C545" s="112"/>
      <c r="D545" s="168"/>
      <c r="E545" s="4"/>
      <c r="F545" s="15"/>
    </row>
    <row r="546" spans="3:6" ht="15.75" customHeight="1">
      <c r="C546" s="112"/>
      <c r="D546" s="168"/>
      <c r="E546" s="4"/>
      <c r="F546" s="15"/>
    </row>
    <row r="547" spans="3:6" ht="15.75" customHeight="1">
      <c r="C547" s="112"/>
      <c r="D547" s="168"/>
      <c r="E547" s="4"/>
      <c r="F547" s="15"/>
    </row>
    <row r="548" spans="3:6" ht="15.75" customHeight="1">
      <c r="C548" s="112"/>
      <c r="D548" s="168"/>
      <c r="E548" s="4"/>
      <c r="F548" s="15"/>
    </row>
    <row r="549" spans="3:6" ht="15.75" customHeight="1">
      <c r="C549" s="112"/>
      <c r="D549" s="168"/>
      <c r="E549" s="4"/>
      <c r="F549" s="15"/>
    </row>
    <row r="550" spans="3:6" ht="15.75" customHeight="1">
      <c r="C550" s="112"/>
      <c r="D550" s="168"/>
      <c r="E550" s="4"/>
      <c r="F550" s="15"/>
    </row>
    <row r="551" spans="3:6" ht="15.75" customHeight="1">
      <c r="C551" s="112"/>
      <c r="D551" s="168"/>
      <c r="E551" s="4"/>
      <c r="F551" s="15"/>
    </row>
    <row r="552" spans="3:6" ht="15.75" customHeight="1">
      <c r="C552" s="112"/>
      <c r="D552" s="168"/>
      <c r="E552" s="4"/>
      <c r="F552" s="15"/>
    </row>
    <row r="553" spans="3:6" ht="15.75" customHeight="1">
      <c r="C553" s="112"/>
      <c r="D553" s="168"/>
      <c r="E553" s="4"/>
      <c r="F553" s="15"/>
    </row>
    <row r="554" spans="3:6" ht="15.75" customHeight="1">
      <c r="C554" s="112"/>
      <c r="D554" s="168"/>
      <c r="E554" s="4"/>
      <c r="F554" s="15"/>
    </row>
    <row r="555" spans="3:6" ht="15.75" customHeight="1">
      <c r="C555" s="112"/>
      <c r="D555" s="168"/>
      <c r="E555" s="4"/>
      <c r="F555" s="15"/>
    </row>
    <row r="556" spans="3:6" ht="15.75" customHeight="1">
      <c r="C556" s="112"/>
      <c r="D556" s="168"/>
      <c r="E556" s="4"/>
      <c r="F556" s="15"/>
    </row>
    <row r="557" spans="3:6" ht="15.75" customHeight="1">
      <c r="C557" s="112"/>
      <c r="D557" s="168"/>
      <c r="E557" s="4"/>
      <c r="F557" s="15"/>
    </row>
    <row r="558" spans="3:6" ht="15.75" customHeight="1">
      <c r="C558" s="112"/>
      <c r="D558" s="168"/>
      <c r="E558" s="4"/>
      <c r="F558" s="15"/>
    </row>
    <row r="559" spans="3:6" ht="15.75" customHeight="1">
      <c r="C559" s="112"/>
      <c r="D559" s="168"/>
      <c r="E559" s="4"/>
      <c r="F559" s="15"/>
    </row>
    <row r="560" spans="3:6" ht="15.75" customHeight="1">
      <c r="C560" s="112"/>
      <c r="D560" s="168"/>
      <c r="E560" s="4"/>
      <c r="F560" s="15"/>
    </row>
    <row r="561" spans="3:6" ht="15.75" customHeight="1">
      <c r="C561" s="112"/>
      <c r="D561" s="168"/>
      <c r="E561" s="4"/>
      <c r="F561" s="15"/>
    </row>
    <row r="562" spans="3:6" ht="15.75" customHeight="1">
      <c r="C562" s="112"/>
      <c r="D562" s="168"/>
      <c r="E562" s="4"/>
      <c r="F562" s="15"/>
    </row>
    <row r="563" spans="3:6" ht="15.75" customHeight="1">
      <c r="C563" s="112"/>
      <c r="D563" s="168"/>
      <c r="E563" s="4"/>
      <c r="F563" s="15"/>
    </row>
    <row r="564" spans="3:6" ht="15.75" customHeight="1">
      <c r="C564" s="112"/>
      <c r="D564" s="168"/>
      <c r="E564" s="4"/>
      <c r="F564" s="15"/>
    </row>
    <row r="565" spans="3:6" ht="15.75" customHeight="1">
      <c r="C565" s="112"/>
      <c r="D565" s="168"/>
      <c r="E565" s="4"/>
      <c r="F565" s="15"/>
    </row>
    <row r="566" spans="3:6" ht="15.75" customHeight="1">
      <c r="C566" s="112"/>
      <c r="D566" s="168"/>
      <c r="E566" s="4"/>
      <c r="F566" s="15"/>
    </row>
    <row r="567" spans="3:6" ht="15.75" customHeight="1">
      <c r="C567" s="112"/>
      <c r="D567" s="168"/>
      <c r="E567" s="4"/>
      <c r="F567" s="15"/>
    </row>
    <row r="568" spans="3:6" ht="15.75" customHeight="1">
      <c r="C568" s="112"/>
      <c r="D568" s="168"/>
      <c r="E568" s="4"/>
      <c r="F568" s="15"/>
    </row>
    <row r="569" spans="3:6" ht="15.75" customHeight="1">
      <c r="C569" s="112"/>
      <c r="D569" s="168"/>
      <c r="E569" s="4"/>
      <c r="F569" s="15"/>
    </row>
    <row r="570" spans="3:6" ht="15.75" customHeight="1">
      <c r="C570" s="112"/>
      <c r="D570" s="168"/>
      <c r="E570" s="4"/>
      <c r="F570" s="15"/>
    </row>
    <row r="571" spans="3:6" ht="15.75" customHeight="1">
      <c r="C571" s="112"/>
      <c r="D571" s="168"/>
      <c r="E571" s="4"/>
      <c r="F571" s="15"/>
    </row>
    <row r="572" spans="3:6" ht="15.75" customHeight="1">
      <c r="C572" s="112"/>
      <c r="D572" s="168"/>
      <c r="E572" s="4"/>
      <c r="F572" s="15"/>
    </row>
    <row r="573" spans="3:6" ht="15.75" customHeight="1">
      <c r="C573" s="112"/>
      <c r="D573" s="168"/>
      <c r="E573" s="4"/>
      <c r="F573" s="15"/>
    </row>
    <row r="574" spans="3:6" ht="15.75" customHeight="1">
      <c r="C574" s="112"/>
      <c r="D574" s="168"/>
      <c r="E574" s="4"/>
      <c r="F574" s="15"/>
    </row>
    <row r="575" spans="3:6" ht="15.75" customHeight="1">
      <c r="C575" s="112"/>
      <c r="D575" s="168"/>
      <c r="E575" s="4"/>
      <c r="F575" s="15"/>
    </row>
    <row r="576" spans="3:6" ht="15.75" customHeight="1">
      <c r="C576" s="112"/>
      <c r="D576" s="168"/>
      <c r="E576" s="4"/>
      <c r="F576" s="15"/>
    </row>
    <row r="577" spans="3:6" ht="15.75" customHeight="1">
      <c r="C577" s="112"/>
      <c r="D577" s="168"/>
      <c r="E577" s="4"/>
      <c r="F577" s="15"/>
    </row>
    <row r="578" spans="3:6" ht="15.75" customHeight="1">
      <c r="C578" s="112"/>
      <c r="D578" s="168"/>
      <c r="E578" s="4"/>
      <c r="F578" s="15"/>
    </row>
    <row r="579" spans="3:6" ht="15.75" customHeight="1">
      <c r="C579" s="112"/>
      <c r="D579" s="168"/>
      <c r="E579" s="4"/>
      <c r="F579" s="15"/>
    </row>
    <row r="580" spans="3:6" ht="15.75" customHeight="1">
      <c r="C580" s="112"/>
      <c r="D580" s="168"/>
      <c r="E580" s="4"/>
      <c r="F580" s="15"/>
    </row>
    <row r="581" spans="3:6" ht="15.75" customHeight="1">
      <c r="C581" s="112"/>
      <c r="D581" s="168"/>
      <c r="E581" s="4"/>
      <c r="F581" s="15"/>
    </row>
    <row r="582" spans="3:6" ht="15.75" customHeight="1">
      <c r="C582" s="112"/>
      <c r="D582" s="168"/>
      <c r="E582" s="4"/>
      <c r="F582" s="15"/>
    </row>
    <row r="583" spans="3:6" ht="15.75" customHeight="1">
      <c r="C583" s="112"/>
      <c r="D583" s="168"/>
      <c r="E583" s="4"/>
      <c r="F583" s="15"/>
    </row>
    <row r="584" spans="3:6" ht="15.75" customHeight="1">
      <c r="C584" s="112"/>
      <c r="D584" s="168"/>
      <c r="E584" s="4"/>
      <c r="F584" s="15"/>
    </row>
    <row r="585" spans="3:6" ht="15.75" customHeight="1">
      <c r="C585" s="112"/>
      <c r="D585" s="168"/>
      <c r="E585" s="4"/>
      <c r="F585" s="15"/>
    </row>
    <row r="586" spans="3:6" ht="15.75" customHeight="1">
      <c r="C586" s="112"/>
      <c r="D586" s="168"/>
      <c r="E586" s="4"/>
      <c r="F586" s="15"/>
    </row>
    <row r="587" spans="3:6" ht="15.75" customHeight="1">
      <c r="C587" s="112"/>
      <c r="D587" s="168"/>
      <c r="E587" s="4"/>
      <c r="F587" s="15"/>
    </row>
    <row r="588" spans="3:6" ht="15.75" customHeight="1">
      <c r="C588" s="112"/>
      <c r="D588" s="168"/>
      <c r="E588" s="4"/>
      <c r="F588" s="15"/>
    </row>
    <row r="589" spans="3:6" ht="15.75" customHeight="1">
      <c r="C589" s="112"/>
      <c r="D589" s="168"/>
      <c r="E589" s="4"/>
      <c r="F589" s="15"/>
    </row>
    <row r="590" spans="3:6" ht="15.75" customHeight="1">
      <c r="C590" s="112"/>
      <c r="D590" s="168"/>
      <c r="E590" s="4"/>
      <c r="F590" s="15"/>
    </row>
    <row r="591" spans="3:6" ht="15.75" customHeight="1">
      <c r="C591" s="112"/>
      <c r="D591" s="168"/>
      <c r="E591" s="4"/>
      <c r="F591" s="15"/>
    </row>
    <row r="592" spans="3:6" ht="15.75" customHeight="1">
      <c r="C592" s="112"/>
      <c r="D592" s="168"/>
      <c r="E592" s="4"/>
      <c r="F592" s="15"/>
    </row>
    <row r="593" spans="3:6" ht="15.75" customHeight="1">
      <c r="C593" s="112"/>
      <c r="D593" s="168"/>
      <c r="E593" s="4"/>
      <c r="F593" s="15"/>
    </row>
    <row r="594" spans="3:6" ht="15.75" customHeight="1">
      <c r="C594" s="112"/>
      <c r="D594" s="168"/>
      <c r="E594" s="4"/>
      <c r="F594" s="15"/>
    </row>
    <row r="595" spans="3:6" ht="15.75" customHeight="1">
      <c r="C595" s="112"/>
      <c r="D595" s="168"/>
      <c r="E595" s="4"/>
      <c r="F595" s="15"/>
    </row>
    <row r="596" spans="3:6" ht="15.75" customHeight="1">
      <c r="C596" s="112"/>
      <c r="D596" s="168"/>
      <c r="E596" s="4"/>
      <c r="F596" s="15"/>
    </row>
    <row r="597" spans="3:6" ht="15.75" customHeight="1">
      <c r="C597" s="112"/>
      <c r="D597" s="168"/>
      <c r="E597" s="4"/>
      <c r="F597" s="15"/>
    </row>
    <row r="598" spans="3:6" ht="15.75" customHeight="1">
      <c r="C598" s="112"/>
      <c r="D598" s="168"/>
      <c r="E598" s="4"/>
      <c r="F598" s="15"/>
    </row>
    <row r="599" spans="3:6" ht="15.75" customHeight="1">
      <c r="C599" s="112"/>
      <c r="D599" s="168"/>
      <c r="E599" s="4"/>
      <c r="F599" s="15"/>
    </row>
    <row r="600" spans="3:6" ht="15.75" customHeight="1">
      <c r="C600" s="112"/>
      <c r="D600" s="168"/>
      <c r="E600" s="4"/>
      <c r="F600" s="15"/>
    </row>
    <row r="601" spans="3:6" ht="15.75" customHeight="1">
      <c r="C601" s="112"/>
      <c r="D601" s="168"/>
      <c r="E601" s="4"/>
      <c r="F601" s="15"/>
    </row>
    <row r="602" spans="3:6" ht="15.75" customHeight="1">
      <c r="C602" s="112"/>
      <c r="D602" s="168"/>
      <c r="E602" s="4"/>
      <c r="F602" s="15"/>
    </row>
    <row r="603" spans="3:6" ht="15.75" customHeight="1">
      <c r="C603" s="112"/>
      <c r="D603" s="168"/>
      <c r="E603" s="4"/>
      <c r="F603" s="15"/>
    </row>
    <row r="604" spans="3:6" ht="15.75" customHeight="1">
      <c r="C604" s="112"/>
      <c r="D604" s="168"/>
      <c r="E604" s="4"/>
      <c r="F604" s="15"/>
    </row>
    <row r="605" spans="3:6" ht="15.75" customHeight="1">
      <c r="C605" s="112"/>
      <c r="D605" s="168"/>
      <c r="E605" s="4"/>
      <c r="F605" s="15"/>
    </row>
    <row r="606" spans="3:6" ht="15.75" customHeight="1">
      <c r="C606" s="112"/>
      <c r="D606" s="168"/>
      <c r="E606" s="4"/>
      <c r="F606" s="15"/>
    </row>
    <row r="607" spans="3:6" ht="15.75" customHeight="1">
      <c r="C607" s="112"/>
      <c r="D607" s="168"/>
      <c r="E607" s="4"/>
      <c r="F607" s="15"/>
    </row>
    <row r="608" spans="3:6" ht="15.75" customHeight="1">
      <c r="C608" s="112"/>
      <c r="D608" s="168"/>
      <c r="E608" s="4"/>
      <c r="F608" s="15"/>
    </row>
    <row r="609" spans="3:6" ht="15.75" customHeight="1">
      <c r="C609" s="112"/>
      <c r="D609" s="168"/>
      <c r="E609" s="4"/>
      <c r="F609" s="15"/>
    </row>
    <row r="610" spans="3:6" ht="15.75" customHeight="1">
      <c r="C610" s="112"/>
      <c r="D610" s="168"/>
      <c r="E610" s="4"/>
      <c r="F610" s="15"/>
    </row>
    <row r="611" spans="3:6" ht="15.75" customHeight="1">
      <c r="C611" s="112"/>
      <c r="D611" s="168"/>
      <c r="E611" s="4"/>
      <c r="F611" s="15"/>
    </row>
    <row r="612" spans="3:6" ht="15.75" customHeight="1">
      <c r="C612" s="112"/>
      <c r="D612" s="168"/>
      <c r="E612" s="4"/>
      <c r="F612" s="15"/>
    </row>
    <row r="613" spans="3:6" ht="15.75" customHeight="1">
      <c r="C613" s="112"/>
      <c r="D613" s="168"/>
      <c r="E613" s="4"/>
      <c r="F613" s="15"/>
    </row>
    <row r="614" spans="3:6" ht="15.75" customHeight="1">
      <c r="C614" s="112"/>
      <c r="D614" s="168"/>
      <c r="E614" s="4"/>
      <c r="F614" s="15"/>
    </row>
    <row r="615" spans="3:6" ht="15.75" customHeight="1">
      <c r="C615" s="112"/>
      <c r="D615" s="168"/>
      <c r="E615" s="4"/>
      <c r="F615" s="15"/>
    </row>
    <row r="616" spans="3:6" ht="15.75" customHeight="1">
      <c r="C616" s="112"/>
      <c r="D616" s="168"/>
      <c r="E616" s="4"/>
      <c r="F616" s="15"/>
    </row>
    <row r="617" spans="3:6" ht="15.75" customHeight="1">
      <c r="C617" s="112"/>
      <c r="D617" s="168"/>
      <c r="E617" s="4"/>
      <c r="F617" s="15"/>
    </row>
    <row r="618" spans="3:6" ht="15.75" customHeight="1">
      <c r="C618" s="112"/>
      <c r="D618" s="168"/>
      <c r="E618" s="4"/>
      <c r="F618" s="15"/>
    </row>
    <row r="619" spans="3:6" ht="15.75" customHeight="1">
      <c r="C619" s="112"/>
      <c r="D619" s="168"/>
      <c r="E619" s="4"/>
      <c r="F619" s="15"/>
    </row>
    <row r="620" spans="3:6" ht="15.75" customHeight="1">
      <c r="C620" s="112"/>
      <c r="D620" s="168"/>
      <c r="E620" s="4"/>
      <c r="F620" s="15"/>
    </row>
    <row r="621" spans="3:6" ht="15.75" customHeight="1">
      <c r="C621" s="112"/>
      <c r="D621" s="168"/>
      <c r="E621" s="4"/>
      <c r="F621" s="15"/>
    </row>
    <row r="622" spans="3:6" ht="15.75" customHeight="1">
      <c r="C622" s="112"/>
      <c r="D622" s="168"/>
      <c r="E622" s="4"/>
      <c r="F622" s="15"/>
    </row>
    <row r="623" spans="3:6" ht="15.75" customHeight="1">
      <c r="C623" s="112"/>
      <c r="D623" s="168"/>
      <c r="E623" s="4"/>
      <c r="F623" s="15"/>
    </row>
    <row r="624" spans="3:6" ht="15.75" customHeight="1">
      <c r="C624" s="112"/>
      <c r="D624" s="168"/>
      <c r="E624" s="4"/>
      <c r="F624" s="15"/>
    </row>
    <row r="625" spans="3:6" ht="15.75" customHeight="1">
      <c r="C625" s="112"/>
      <c r="D625" s="168"/>
      <c r="E625" s="4"/>
      <c r="F625" s="15"/>
    </row>
    <row r="626" spans="3:6" ht="15.75" customHeight="1">
      <c r="C626" s="112"/>
      <c r="D626" s="168"/>
      <c r="E626" s="4"/>
      <c r="F626" s="15"/>
    </row>
    <row r="627" spans="3:6" ht="15.75" customHeight="1">
      <c r="C627" s="112"/>
      <c r="D627" s="168"/>
      <c r="E627" s="4"/>
      <c r="F627" s="15"/>
    </row>
    <row r="628" spans="3:6" ht="15.75" customHeight="1">
      <c r="C628" s="112"/>
      <c r="D628" s="168"/>
      <c r="E628" s="4"/>
      <c r="F628" s="15"/>
    </row>
    <row r="629" spans="3:6" ht="15.75" customHeight="1">
      <c r="C629" s="112"/>
      <c r="D629" s="168"/>
      <c r="E629" s="4"/>
      <c r="F629" s="15"/>
    </row>
    <row r="630" spans="3:6" ht="15.75" customHeight="1">
      <c r="C630" s="112"/>
      <c r="D630" s="168"/>
      <c r="E630" s="4"/>
      <c r="F630" s="15"/>
    </row>
    <row r="631" spans="3:6" ht="15.75" customHeight="1">
      <c r="C631" s="112"/>
      <c r="D631" s="168"/>
      <c r="E631" s="4"/>
      <c r="F631" s="15"/>
    </row>
    <row r="632" spans="3:6" ht="15.75" customHeight="1">
      <c r="C632" s="112"/>
      <c r="D632" s="168"/>
      <c r="E632" s="4"/>
      <c r="F632" s="15"/>
    </row>
    <row r="633" spans="3:6" ht="15.75" customHeight="1">
      <c r="C633" s="112"/>
      <c r="D633" s="168"/>
      <c r="E633" s="4"/>
      <c r="F633" s="15"/>
    </row>
    <row r="634" spans="3:6" ht="15.75" customHeight="1">
      <c r="C634" s="112"/>
      <c r="D634" s="168"/>
      <c r="E634" s="4"/>
      <c r="F634" s="15"/>
    </row>
    <row r="635" spans="3:6" ht="15.75" customHeight="1">
      <c r="C635" s="112"/>
      <c r="D635" s="168"/>
      <c r="E635" s="4"/>
      <c r="F635" s="15"/>
    </row>
    <row r="636" spans="3:6" ht="15.75" customHeight="1">
      <c r="C636" s="112"/>
      <c r="D636" s="168"/>
      <c r="E636" s="4"/>
      <c r="F636" s="15"/>
    </row>
    <row r="637" spans="3:6" ht="15.75" customHeight="1">
      <c r="C637" s="112"/>
      <c r="D637" s="168"/>
      <c r="E637" s="4"/>
      <c r="F637" s="15"/>
    </row>
    <row r="638" spans="3:6" ht="15.75" customHeight="1">
      <c r="C638" s="112"/>
      <c r="D638" s="168"/>
      <c r="E638" s="4"/>
      <c r="F638" s="15"/>
    </row>
    <row r="639" spans="3:6" ht="15.75" customHeight="1">
      <c r="C639" s="112"/>
      <c r="D639" s="168"/>
      <c r="E639" s="4"/>
      <c r="F639" s="15"/>
    </row>
    <row r="640" spans="3:6" ht="15.75" customHeight="1">
      <c r="C640" s="112"/>
      <c r="D640" s="168"/>
      <c r="E640" s="4"/>
      <c r="F640" s="15"/>
    </row>
    <row r="641" spans="3:6" ht="15.75" customHeight="1">
      <c r="C641" s="112"/>
      <c r="D641" s="168"/>
      <c r="E641" s="4"/>
      <c r="F641" s="15"/>
    </row>
    <row r="642" spans="3:6" ht="15.75" customHeight="1">
      <c r="C642" s="112"/>
      <c r="D642" s="168"/>
      <c r="E642" s="4"/>
      <c r="F642" s="15"/>
    </row>
    <row r="643" spans="3:6" ht="15.75" customHeight="1">
      <c r="C643" s="112"/>
      <c r="D643" s="168"/>
      <c r="E643" s="4"/>
      <c r="F643" s="15"/>
    </row>
    <row r="644" spans="3:6" ht="15.75" customHeight="1">
      <c r="C644" s="112"/>
      <c r="D644" s="168"/>
      <c r="E644" s="4"/>
      <c r="F644" s="15"/>
    </row>
    <row r="645" spans="3:6" ht="15.75" customHeight="1">
      <c r="C645" s="112"/>
      <c r="D645" s="168"/>
      <c r="E645" s="4"/>
      <c r="F645" s="15"/>
    </row>
    <row r="646" spans="3:6" ht="15.75" customHeight="1">
      <c r="C646" s="112"/>
      <c r="D646" s="168"/>
      <c r="E646" s="4"/>
      <c r="F646" s="15"/>
    </row>
    <row r="647" spans="3:6" ht="15.75" customHeight="1">
      <c r="C647" s="112"/>
      <c r="D647" s="168"/>
      <c r="E647" s="4"/>
      <c r="F647" s="15"/>
    </row>
    <row r="648" spans="3:6" ht="15.75" customHeight="1">
      <c r="C648" s="112"/>
      <c r="D648" s="168"/>
      <c r="E648" s="4"/>
      <c r="F648" s="15"/>
    </row>
    <row r="649" spans="3:6" ht="15.75" customHeight="1">
      <c r="C649" s="112"/>
      <c r="D649" s="168"/>
      <c r="E649" s="4"/>
      <c r="F649" s="15"/>
    </row>
    <row r="650" spans="3:6" ht="15.75" customHeight="1">
      <c r="C650" s="112"/>
      <c r="D650" s="168"/>
      <c r="E650" s="4"/>
      <c r="F650" s="15"/>
    </row>
    <row r="651" spans="3:6" ht="15.75" customHeight="1">
      <c r="C651" s="112"/>
      <c r="D651" s="168"/>
      <c r="E651" s="4"/>
      <c r="F651" s="15"/>
    </row>
    <row r="652" spans="3:6" ht="15.75" customHeight="1">
      <c r="C652" s="112"/>
      <c r="D652" s="168"/>
      <c r="E652" s="4"/>
      <c r="F652" s="15"/>
    </row>
    <row r="653" spans="3:6" ht="15.75" customHeight="1">
      <c r="C653" s="112"/>
      <c r="D653" s="168"/>
      <c r="E653" s="4"/>
      <c r="F653" s="15"/>
    </row>
    <row r="654" spans="3:6" ht="15.75" customHeight="1">
      <c r="C654" s="112"/>
      <c r="D654" s="168"/>
      <c r="E654" s="4"/>
      <c r="F654" s="15"/>
    </row>
    <row r="655" spans="3:6" ht="15.75" customHeight="1">
      <c r="C655" s="112"/>
      <c r="D655" s="168"/>
      <c r="E655" s="4"/>
      <c r="F655" s="15"/>
    </row>
    <row r="656" spans="3:6" ht="15.75" customHeight="1">
      <c r="C656" s="112"/>
      <c r="D656" s="168"/>
      <c r="E656" s="4"/>
      <c r="F656" s="15"/>
    </row>
    <row r="657" spans="3:6" ht="15.75" customHeight="1">
      <c r="C657" s="112"/>
      <c r="D657" s="168"/>
      <c r="E657" s="4"/>
      <c r="F657" s="15"/>
    </row>
    <row r="658" spans="3:6" ht="15.75" customHeight="1">
      <c r="C658" s="112"/>
      <c r="D658" s="168"/>
      <c r="E658" s="4"/>
      <c r="F658" s="15"/>
    </row>
    <row r="659" spans="3:6" ht="15.75" customHeight="1">
      <c r="C659" s="112"/>
      <c r="D659" s="168"/>
      <c r="E659" s="4"/>
      <c r="F659" s="15"/>
    </row>
    <row r="660" spans="3:6" ht="15.75" customHeight="1">
      <c r="C660" s="112"/>
      <c r="D660" s="168"/>
      <c r="E660" s="4"/>
      <c r="F660" s="15"/>
    </row>
    <row r="661" spans="3:6" ht="15.75" customHeight="1">
      <c r="C661" s="112"/>
      <c r="D661" s="168"/>
      <c r="E661" s="4"/>
      <c r="F661" s="15"/>
    </row>
    <row r="662" spans="3:6" ht="15.75" customHeight="1">
      <c r="C662" s="112"/>
      <c r="D662" s="168"/>
      <c r="E662" s="4"/>
      <c r="F662" s="15"/>
    </row>
    <row r="663" spans="3:6" ht="15.75" customHeight="1">
      <c r="C663" s="112"/>
      <c r="D663" s="168"/>
      <c r="E663" s="4"/>
      <c r="F663" s="15"/>
    </row>
    <row r="664" spans="3:6" ht="15.75" customHeight="1">
      <c r="C664" s="112"/>
      <c r="D664" s="168"/>
      <c r="E664" s="4"/>
      <c r="F664" s="15"/>
    </row>
    <row r="665" spans="3:6" ht="15.75" customHeight="1">
      <c r="C665" s="112"/>
      <c r="D665" s="168"/>
      <c r="E665" s="4"/>
      <c r="F665" s="15"/>
    </row>
    <row r="666" spans="3:6" ht="15.75" customHeight="1">
      <c r="C666" s="112"/>
      <c r="D666" s="168"/>
      <c r="E666" s="4"/>
      <c r="F666" s="15"/>
    </row>
    <row r="667" spans="3:6" ht="15.75" customHeight="1">
      <c r="C667" s="112"/>
      <c r="D667" s="168"/>
      <c r="E667" s="4"/>
      <c r="F667" s="15"/>
    </row>
    <row r="668" spans="3:6" ht="15.75" customHeight="1">
      <c r="C668" s="112"/>
      <c r="D668" s="168"/>
      <c r="E668" s="4"/>
      <c r="F668" s="15"/>
    </row>
    <row r="669" spans="3:6" ht="15.75" customHeight="1">
      <c r="C669" s="112"/>
      <c r="D669" s="168"/>
      <c r="E669" s="4"/>
      <c r="F669" s="15"/>
    </row>
    <row r="670" spans="3:6" ht="15.75" customHeight="1">
      <c r="C670" s="112"/>
      <c r="D670" s="168"/>
      <c r="E670" s="4"/>
      <c r="F670" s="15"/>
    </row>
    <row r="671" spans="3:6" ht="15.75" customHeight="1">
      <c r="C671" s="112"/>
      <c r="D671" s="168"/>
      <c r="E671" s="4"/>
      <c r="F671" s="15"/>
    </row>
    <row r="672" spans="3:6" ht="15.75" customHeight="1">
      <c r="C672" s="112"/>
      <c r="D672" s="168"/>
      <c r="E672" s="4"/>
      <c r="F672" s="15"/>
    </row>
    <row r="673" spans="3:6" ht="15.75" customHeight="1">
      <c r="C673" s="112"/>
      <c r="D673" s="168"/>
      <c r="E673" s="4"/>
      <c r="F673" s="15"/>
    </row>
    <row r="674" spans="3:6" ht="15.75" customHeight="1">
      <c r="C674" s="112"/>
      <c r="D674" s="168"/>
      <c r="E674" s="4"/>
      <c r="F674" s="15"/>
    </row>
    <row r="675" spans="3:6" ht="15.75" customHeight="1">
      <c r="C675" s="112"/>
      <c r="D675" s="168"/>
      <c r="E675" s="4"/>
      <c r="F675" s="15"/>
    </row>
    <row r="676" spans="3:6" ht="15.75" customHeight="1">
      <c r="C676" s="112"/>
      <c r="D676" s="168"/>
      <c r="E676" s="4"/>
      <c r="F676" s="15"/>
    </row>
    <row r="677" spans="3:6" ht="15.75" customHeight="1">
      <c r="C677" s="112"/>
      <c r="D677" s="168"/>
      <c r="E677" s="4"/>
      <c r="F677" s="15"/>
    </row>
    <row r="678" spans="3:6" ht="15.75" customHeight="1">
      <c r="C678" s="112"/>
      <c r="D678" s="168"/>
      <c r="E678" s="4"/>
      <c r="F678" s="15"/>
    </row>
    <row r="679" spans="3:6" ht="15.75" customHeight="1">
      <c r="C679" s="112"/>
      <c r="D679" s="168"/>
      <c r="E679" s="4"/>
      <c r="F679" s="15"/>
    </row>
    <row r="680" spans="3:6" ht="15.75" customHeight="1">
      <c r="C680" s="112"/>
      <c r="D680" s="168"/>
      <c r="E680" s="4"/>
      <c r="F680" s="15"/>
    </row>
    <row r="681" spans="3:6" ht="15.75" customHeight="1">
      <c r="C681" s="112"/>
      <c r="D681" s="168"/>
      <c r="E681" s="4"/>
      <c r="F681" s="15"/>
    </row>
    <row r="682" spans="3:6" ht="15.75" customHeight="1">
      <c r="C682" s="112"/>
      <c r="D682" s="168"/>
      <c r="E682" s="4"/>
      <c r="F682" s="15"/>
    </row>
    <row r="683" spans="3:6" ht="15.75" customHeight="1">
      <c r="C683" s="112"/>
      <c r="D683" s="168"/>
      <c r="E683" s="4"/>
      <c r="F683" s="15"/>
    </row>
    <row r="684" spans="3:6" ht="15.75" customHeight="1">
      <c r="C684" s="112"/>
      <c r="D684" s="168"/>
      <c r="E684" s="4"/>
      <c r="F684" s="15"/>
    </row>
    <row r="685" spans="3:6" ht="15.75" customHeight="1">
      <c r="C685" s="112"/>
      <c r="D685" s="168"/>
      <c r="E685" s="4"/>
      <c r="F685" s="15"/>
    </row>
    <row r="686" spans="3:6" ht="15.75" customHeight="1">
      <c r="C686" s="112"/>
      <c r="D686" s="168"/>
      <c r="E686" s="4"/>
      <c r="F686" s="15"/>
    </row>
    <row r="687" spans="3:6" ht="15.75" customHeight="1">
      <c r="C687" s="112"/>
      <c r="D687" s="168"/>
      <c r="E687" s="4"/>
      <c r="F687" s="15"/>
    </row>
    <row r="688" spans="3:6" ht="15.75" customHeight="1">
      <c r="C688" s="112"/>
      <c r="D688" s="168"/>
      <c r="E688" s="4"/>
      <c r="F688" s="15"/>
    </row>
    <row r="689" spans="3:6" ht="15.75" customHeight="1">
      <c r="C689" s="112"/>
      <c r="D689" s="168"/>
      <c r="E689" s="4"/>
      <c r="F689" s="15"/>
    </row>
    <row r="690" spans="3:6" ht="15.75" customHeight="1">
      <c r="C690" s="112"/>
      <c r="D690" s="168"/>
      <c r="E690" s="4"/>
      <c r="F690" s="15"/>
    </row>
    <row r="691" spans="3:6" ht="15.75" customHeight="1">
      <c r="C691" s="112"/>
      <c r="D691" s="168"/>
      <c r="E691" s="4"/>
      <c r="F691" s="15"/>
    </row>
    <row r="692" spans="3:6" ht="15.75" customHeight="1">
      <c r="C692" s="112"/>
      <c r="D692" s="168"/>
      <c r="E692" s="4"/>
      <c r="F692" s="15"/>
    </row>
    <row r="693" spans="3:6" ht="15.75" customHeight="1">
      <c r="C693" s="112"/>
      <c r="D693" s="168"/>
      <c r="E693" s="4"/>
      <c r="F693" s="15"/>
    </row>
    <row r="694" spans="3:6" ht="15.75" customHeight="1">
      <c r="C694" s="112"/>
      <c r="D694" s="168"/>
      <c r="E694" s="4"/>
      <c r="F694" s="15"/>
    </row>
    <row r="695" spans="3:6" ht="15.75" customHeight="1">
      <c r="C695" s="112"/>
      <c r="D695" s="168"/>
      <c r="E695" s="4"/>
      <c r="F695" s="15"/>
    </row>
    <row r="696" spans="3:6" ht="15.75" customHeight="1">
      <c r="C696" s="112"/>
      <c r="D696" s="168"/>
      <c r="E696" s="4"/>
      <c r="F696" s="15"/>
    </row>
    <row r="697" spans="3:6" ht="15.75" customHeight="1">
      <c r="C697" s="112"/>
      <c r="D697" s="168"/>
      <c r="E697" s="4"/>
      <c r="F697" s="15"/>
    </row>
    <row r="698" spans="3:6" ht="15.75" customHeight="1">
      <c r="C698" s="112"/>
      <c r="D698" s="168"/>
      <c r="E698" s="4"/>
      <c r="F698" s="15"/>
    </row>
    <row r="699" spans="3:6" ht="15.75" customHeight="1">
      <c r="C699" s="112"/>
      <c r="D699" s="168"/>
      <c r="E699" s="4"/>
      <c r="F699" s="15"/>
    </row>
    <row r="700" spans="3:6" ht="15.75" customHeight="1">
      <c r="C700" s="112"/>
      <c r="D700" s="168"/>
      <c r="E700" s="4"/>
      <c r="F700" s="15"/>
    </row>
    <row r="701" spans="3:6" ht="15.75" customHeight="1">
      <c r="C701" s="112"/>
      <c r="D701" s="168"/>
      <c r="E701" s="4"/>
      <c r="F701" s="15"/>
    </row>
    <row r="702" spans="3:6" ht="15.75" customHeight="1">
      <c r="C702" s="112"/>
      <c r="D702" s="168"/>
      <c r="E702" s="4"/>
      <c r="F702" s="15"/>
    </row>
    <row r="703" spans="3:6" ht="15.75" customHeight="1">
      <c r="C703" s="112"/>
      <c r="D703" s="168"/>
      <c r="E703" s="4"/>
      <c r="F703" s="15"/>
    </row>
    <row r="704" spans="3:6" ht="15.75" customHeight="1">
      <c r="C704" s="112"/>
      <c r="D704" s="168"/>
      <c r="E704" s="4"/>
      <c r="F704" s="15"/>
    </row>
    <row r="705" spans="3:6" ht="15.75" customHeight="1">
      <c r="C705" s="112"/>
      <c r="D705" s="168"/>
      <c r="E705" s="4"/>
      <c r="F705" s="15"/>
    </row>
    <row r="706" spans="3:6" ht="15.75" customHeight="1">
      <c r="C706" s="112"/>
      <c r="D706" s="168"/>
      <c r="E706" s="4"/>
      <c r="F706" s="15"/>
    </row>
    <row r="707" spans="3:6" ht="15.75" customHeight="1">
      <c r="C707" s="112"/>
      <c r="D707" s="168"/>
      <c r="E707" s="4"/>
      <c r="F707" s="15"/>
    </row>
    <row r="708" spans="3:6" ht="15.75" customHeight="1">
      <c r="C708" s="112"/>
      <c r="D708" s="168"/>
      <c r="E708" s="4"/>
      <c r="F708" s="15"/>
    </row>
    <row r="709" spans="3:6" ht="15.75" customHeight="1">
      <c r="C709" s="112"/>
      <c r="D709" s="168"/>
      <c r="E709" s="4"/>
      <c r="F709" s="15"/>
    </row>
    <row r="710" spans="3:6" ht="15.75" customHeight="1">
      <c r="C710" s="112"/>
      <c r="D710" s="168"/>
      <c r="E710" s="4"/>
      <c r="F710" s="15"/>
    </row>
    <row r="711" spans="3:6" ht="15.75" customHeight="1">
      <c r="C711" s="112"/>
      <c r="D711" s="168"/>
      <c r="E711" s="4"/>
      <c r="F711" s="15"/>
    </row>
    <row r="712" spans="3:6" ht="15.75" customHeight="1">
      <c r="C712" s="112"/>
      <c r="D712" s="168"/>
      <c r="E712" s="4"/>
      <c r="F712" s="15"/>
    </row>
    <row r="713" spans="3:6" ht="15.75" customHeight="1">
      <c r="C713" s="112"/>
      <c r="D713" s="168"/>
      <c r="E713" s="4"/>
      <c r="F713" s="15"/>
    </row>
    <row r="714" spans="3:6" ht="15.75" customHeight="1">
      <c r="C714" s="112"/>
      <c r="D714" s="168"/>
      <c r="E714" s="4"/>
      <c r="F714" s="15"/>
    </row>
    <row r="715" spans="3:6" ht="15.75" customHeight="1">
      <c r="C715" s="112"/>
      <c r="D715" s="168"/>
      <c r="E715" s="4"/>
      <c r="F715" s="15"/>
    </row>
    <row r="716" spans="3:6" ht="15.75" customHeight="1">
      <c r="C716" s="112"/>
      <c r="D716" s="168"/>
      <c r="E716" s="4"/>
      <c r="F716" s="15"/>
    </row>
    <row r="717" spans="3:6" ht="15.75" customHeight="1">
      <c r="C717" s="112"/>
      <c r="D717" s="168"/>
      <c r="E717" s="4"/>
      <c r="F717" s="15"/>
    </row>
    <row r="718" spans="3:6" ht="15.75" customHeight="1">
      <c r="C718" s="112"/>
      <c r="D718" s="168"/>
      <c r="E718" s="4"/>
      <c r="F718" s="15"/>
    </row>
    <row r="719" spans="3:6" ht="15.75" customHeight="1">
      <c r="C719" s="112"/>
      <c r="D719" s="168"/>
      <c r="E719" s="4"/>
      <c r="F719" s="15"/>
    </row>
    <row r="720" spans="3:6" ht="15.75" customHeight="1">
      <c r="C720" s="112"/>
      <c r="D720" s="168"/>
      <c r="E720" s="4"/>
      <c r="F720" s="15"/>
    </row>
    <row r="721" spans="3:6" ht="15.75" customHeight="1">
      <c r="C721" s="112"/>
      <c r="D721" s="168"/>
      <c r="E721" s="4"/>
      <c r="F721" s="15"/>
    </row>
    <row r="722" spans="3:6" ht="15.75" customHeight="1">
      <c r="C722" s="112"/>
      <c r="D722" s="168"/>
      <c r="E722" s="4"/>
      <c r="F722" s="15"/>
    </row>
    <row r="723" spans="3:6" ht="15.75" customHeight="1">
      <c r="C723" s="112"/>
      <c r="D723" s="168"/>
      <c r="E723" s="4"/>
      <c r="F723" s="15"/>
    </row>
    <row r="724" spans="3:6" ht="15.75" customHeight="1">
      <c r="C724" s="112"/>
      <c r="D724" s="168"/>
      <c r="E724" s="4"/>
      <c r="F724" s="15"/>
    </row>
    <row r="725" spans="3:6" ht="15.75" customHeight="1">
      <c r="C725" s="112"/>
      <c r="D725" s="168"/>
      <c r="E725" s="4"/>
      <c r="F725" s="15"/>
    </row>
    <row r="726" spans="3:6" ht="15.75" customHeight="1">
      <c r="C726" s="112"/>
      <c r="D726" s="168"/>
      <c r="E726" s="4"/>
      <c r="F726" s="15"/>
    </row>
    <row r="727" spans="3:6" ht="15.75" customHeight="1">
      <c r="C727" s="112"/>
      <c r="D727" s="168"/>
      <c r="E727" s="4"/>
      <c r="F727" s="15"/>
    </row>
    <row r="728" spans="3:6" ht="15.75" customHeight="1">
      <c r="C728" s="112"/>
      <c r="D728" s="168"/>
      <c r="E728" s="4"/>
      <c r="F728" s="15"/>
    </row>
    <row r="729" spans="3:6" ht="15.75" customHeight="1">
      <c r="C729" s="112"/>
      <c r="D729" s="168"/>
      <c r="E729" s="4"/>
      <c r="F729" s="15"/>
    </row>
    <row r="730" spans="3:6" ht="15.75" customHeight="1">
      <c r="C730" s="112"/>
      <c r="D730" s="168"/>
      <c r="E730" s="4"/>
      <c r="F730" s="15"/>
    </row>
    <row r="731" spans="3:6" ht="15.75" customHeight="1">
      <c r="C731" s="112"/>
      <c r="D731" s="168"/>
      <c r="E731" s="4"/>
      <c r="F731" s="15"/>
    </row>
    <row r="732" spans="3:6" ht="15.75" customHeight="1">
      <c r="C732" s="112"/>
      <c r="D732" s="168"/>
      <c r="E732" s="4"/>
      <c r="F732" s="15"/>
    </row>
    <row r="733" spans="3:6" ht="15.75" customHeight="1">
      <c r="C733" s="112"/>
      <c r="D733" s="168"/>
      <c r="E733" s="4"/>
      <c r="F733" s="15"/>
    </row>
    <row r="734" spans="3:6" ht="15.75" customHeight="1">
      <c r="C734" s="112"/>
      <c r="D734" s="168"/>
      <c r="E734" s="4"/>
      <c r="F734" s="15"/>
    </row>
    <row r="735" spans="3:6" ht="15.75" customHeight="1">
      <c r="C735" s="112"/>
      <c r="D735" s="168"/>
      <c r="E735" s="4"/>
      <c r="F735" s="15"/>
    </row>
    <row r="736" spans="3:6" ht="15.75" customHeight="1">
      <c r="C736" s="112"/>
      <c r="D736" s="168"/>
      <c r="E736" s="4"/>
      <c r="F736" s="15"/>
    </row>
    <row r="737" spans="3:6" ht="15.75" customHeight="1">
      <c r="C737" s="112"/>
      <c r="D737" s="168"/>
      <c r="E737" s="4"/>
      <c r="F737" s="15"/>
    </row>
    <row r="738" spans="3:6" ht="15.75" customHeight="1">
      <c r="C738" s="112"/>
      <c r="D738" s="168"/>
      <c r="E738" s="4"/>
      <c r="F738" s="15"/>
    </row>
    <row r="739" spans="3:6" ht="15.75" customHeight="1">
      <c r="C739" s="112"/>
      <c r="D739" s="168"/>
      <c r="E739" s="4"/>
      <c r="F739" s="15"/>
    </row>
    <row r="740" spans="3:6" ht="15.75" customHeight="1">
      <c r="C740" s="112"/>
      <c r="D740" s="168"/>
      <c r="E740" s="4"/>
      <c r="F740" s="15"/>
    </row>
    <row r="741" spans="3:6" ht="15.75" customHeight="1">
      <c r="C741" s="112"/>
      <c r="D741" s="168"/>
      <c r="E741" s="4"/>
      <c r="F741" s="15"/>
    </row>
    <row r="742" spans="3:6" ht="15.75" customHeight="1">
      <c r="C742" s="112"/>
      <c r="D742" s="168"/>
      <c r="E742" s="4"/>
      <c r="F742" s="15"/>
    </row>
    <row r="743" spans="3:6" ht="15.75" customHeight="1">
      <c r="C743" s="112"/>
      <c r="D743" s="168"/>
      <c r="E743" s="4"/>
      <c r="F743" s="15"/>
    </row>
    <row r="744" spans="3:6" ht="15.75" customHeight="1">
      <c r="C744" s="112"/>
      <c r="D744" s="168"/>
      <c r="E744" s="4"/>
      <c r="F744" s="15"/>
    </row>
    <row r="745" spans="3:6" ht="15.75" customHeight="1">
      <c r="C745" s="112"/>
      <c r="D745" s="168"/>
      <c r="E745" s="4"/>
      <c r="F745" s="15"/>
    </row>
    <row r="746" spans="3:6" ht="15.75" customHeight="1">
      <c r="C746" s="112"/>
      <c r="D746" s="168"/>
      <c r="E746" s="4"/>
      <c r="F746" s="15"/>
    </row>
    <row r="747" spans="3:6" ht="15.75" customHeight="1">
      <c r="C747" s="112"/>
      <c r="D747" s="168"/>
      <c r="E747" s="4"/>
      <c r="F747" s="15"/>
    </row>
    <row r="748" spans="3:6" ht="15.75" customHeight="1">
      <c r="C748" s="112"/>
      <c r="D748" s="168"/>
      <c r="E748" s="4"/>
      <c r="F748" s="15"/>
    </row>
    <row r="749" spans="3:6" ht="15.75" customHeight="1">
      <c r="C749" s="112"/>
      <c r="D749" s="168"/>
      <c r="E749" s="4"/>
      <c r="F749" s="15"/>
    </row>
    <row r="750" spans="3:6" ht="15.75" customHeight="1">
      <c r="C750" s="112"/>
      <c r="D750" s="168"/>
      <c r="E750" s="4"/>
      <c r="F750" s="15"/>
    </row>
    <row r="751" spans="3:6" ht="15.75" customHeight="1">
      <c r="C751" s="112"/>
      <c r="D751" s="168"/>
      <c r="E751" s="4"/>
      <c r="F751" s="15"/>
    </row>
    <row r="752" spans="3:6" ht="15.75" customHeight="1">
      <c r="C752" s="112"/>
      <c r="D752" s="168"/>
      <c r="E752" s="4"/>
      <c r="F752" s="15"/>
    </row>
    <row r="753" spans="3:6" ht="15.75" customHeight="1">
      <c r="C753" s="112"/>
      <c r="D753" s="168"/>
      <c r="E753" s="4"/>
      <c r="F753" s="15"/>
    </row>
    <row r="754" spans="3:6" ht="15.75" customHeight="1">
      <c r="C754" s="112"/>
      <c r="D754" s="168"/>
      <c r="E754" s="4"/>
      <c r="F754" s="15"/>
    </row>
    <row r="755" spans="3:6" ht="15.75" customHeight="1">
      <c r="C755" s="112"/>
      <c r="D755" s="168"/>
      <c r="E755" s="4"/>
      <c r="F755" s="15"/>
    </row>
    <row r="756" spans="3:6" ht="15.75" customHeight="1">
      <c r="C756" s="112"/>
      <c r="D756" s="168"/>
      <c r="E756" s="4"/>
      <c r="F756" s="15"/>
    </row>
    <row r="757" spans="3:6" ht="15.75" customHeight="1">
      <c r="C757" s="112"/>
      <c r="D757" s="168"/>
      <c r="E757" s="4"/>
      <c r="F757" s="15"/>
    </row>
    <row r="758" spans="3:6" ht="15.75" customHeight="1">
      <c r="C758" s="112"/>
      <c r="D758" s="168"/>
      <c r="E758" s="4"/>
      <c r="F758" s="15"/>
    </row>
    <row r="759" spans="3:6" ht="15.75" customHeight="1">
      <c r="C759" s="112"/>
      <c r="D759" s="168"/>
      <c r="E759" s="4"/>
      <c r="F759" s="15"/>
    </row>
    <row r="760" spans="3:6" ht="15.75" customHeight="1">
      <c r="C760" s="112"/>
      <c r="D760" s="168"/>
      <c r="E760" s="4"/>
      <c r="F760" s="15"/>
    </row>
    <row r="761" spans="3:6" ht="15.75" customHeight="1">
      <c r="C761" s="112"/>
      <c r="D761" s="168"/>
      <c r="E761" s="4"/>
      <c r="F761" s="15"/>
    </row>
    <row r="762" spans="3:6" ht="15.75" customHeight="1">
      <c r="C762" s="112"/>
      <c r="D762" s="168"/>
      <c r="E762" s="4"/>
      <c r="F762" s="15"/>
    </row>
    <row r="763" spans="3:6" ht="15.75" customHeight="1">
      <c r="C763" s="112"/>
      <c r="D763" s="168"/>
      <c r="E763" s="4"/>
      <c r="F763" s="15"/>
    </row>
    <row r="764" spans="3:6" ht="15.75" customHeight="1">
      <c r="C764" s="112"/>
      <c r="D764" s="168"/>
      <c r="E764" s="4"/>
      <c r="F764" s="15"/>
    </row>
    <row r="765" spans="3:6" ht="15.75" customHeight="1">
      <c r="C765" s="112"/>
      <c r="D765" s="168"/>
      <c r="E765" s="4"/>
      <c r="F765" s="15"/>
    </row>
    <row r="766" spans="3:6" ht="15.75" customHeight="1">
      <c r="C766" s="112"/>
      <c r="D766" s="168"/>
      <c r="E766" s="4"/>
      <c r="F766" s="15"/>
    </row>
    <row r="767" spans="3:6" ht="15.75" customHeight="1">
      <c r="C767" s="112"/>
      <c r="D767" s="168"/>
      <c r="E767" s="4"/>
      <c r="F767" s="15"/>
    </row>
    <row r="768" spans="3:6" ht="15.75" customHeight="1">
      <c r="C768" s="112"/>
      <c r="D768" s="168"/>
      <c r="E768" s="4"/>
      <c r="F768" s="15"/>
    </row>
    <row r="769" spans="3:6" ht="15.75" customHeight="1">
      <c r="C769" s="112"/>
      <c r="D769" s="168"/>
      <c r="E769" s="4"/>
      <c r="F769" s="15"/>
    </row>
    <row r="770" spans="3:6" ht="15.75" customHeight="1">
      <c r="C770" s="112"/>
      <c r="D770" s="168"/>
      <c r="E770" s="4"/>
      <c r="F770" s="15"/>
    </row>
    <row r="771" spans="3:6" ht="15.75" customHeight="1">
      <c r="C771" s="112"/>
      <c r="D771" s="168"/>
      <c r="E771" s="4"/>
      <c r="F771" s="15"/>
    </row>
    <row r="772" spans="3:6" ht="15.75" customHeight="1">
      <c r="C772" s="112"/>
      <c r="D772" s="168"/>
      <c r="E772" s="4"/>
      <c r="F772" s="15"/>
    </row>
    <row r="773" spans="3:6" ht="15.75" customHeight="1">
      <c r="C773" s="112"/>
      <c r="D773" s="168"/>
      <c r="E773" s="4"/>
      <c r="F773" s="15"/>
    </row>
    <row r="774" spans="3:6" ht="15.75" customHeight="1">
      <c r="C774" s="112"/>
      <c r="D774" s="168"/>
      <c r="E774" s="4"/>
      <c r="F774" s="15"/>
    </row>
    <row r="775" spans="3:6" ht="15.75" customHeight="1">
      <c r="C775" s="112"/>
      <c r="D775" s="168"/>
      <c r="E775" s="4"/>
      <c r="F775" s="15"/>
    </row>
    <row r="776" spans="3:6" ht="15.75" customHeight="1">
      <c r="C776" s="112"/>
      <c r="D776" s="168"/>
      <c r="E776" s="4"/>
      <c r="F776" s="15"/>
    </row>
    <row r="777" spans="3:6" ht="15.75" customHeight="1">
      <c r="C777" s="112"/>
      <c r="D777" s="168"/>
      <c r="E777" s="4"/>
      <c r="F777" s="15"/>
    </row>
    <row r="778" spans="3:6" ht="15.75" customHeight="1">
      <c r="C778" s="112"/>
      <c r="D778" s="168"/>
      <c r="E778" s="4"/>
      <c r="F778" s="15"/>
    </row>
    <row r="779" spans="3:6" ht="15.75" customHeight="1">
      <c r="C779" s="112"/>
      <c r="D779" s="168"/>
      <c r="E779" s="4"/>
      <c r="F779" s="15"/>
    </row>
    <row r="780" spans="3:6" ht="15.75" customHeight="1">
      <c r="C780" s="112"/>
      <c r="D780" s="168"/>
      <c r="E780" s="4"/>
      <c r="F780" s="15"/>
    </row>
    <row r="781" spans="3:6" ht="15.75" customHeight="1">
      <c r="C781" s="112"/>
      <c r="D781" s="168"/>
      <c r="E781" s="4"/>
      <c r="F781" s="15"/>
    </row>
    <row r="782" spans="3:6" ht="15.75" customHeight="1">
      <c r="C782" s="112"/>
      <c r="D782" s="168"/>
      <c r="E782" s="4"/>
      <c r="F782" s="15"/>
    </row>
    <row r="783" spans="3:6" ht="15.75" customHeight="1">
      <c r="C783" s="112"/>
      <c r="D783" s="168"/>
      <c r="E783" s="4"/>
      <c r="F783" s="15"/>
    </row>
    <row r="784" spans="3:6" ht="15.75" customHeight="1">
      <c r="C784" s="112"/>
      <c r="D784" s="168"/>
      <c r="E784" s="4"/>
      <c r="F784" s="15"/>
    </row>
    <row r="785" spans="3:6" ht="15.75" customHeight="1">
      <c r="C785" s="112"/>
      <c r="D785" s="168"/>
      <c r="E785" s="4"/>
      <c r="F785" s="15"/>
    </row>
    <row r="786" spans="3:6" ht="15.75" customHeight="1">
      <c r="C786" s="112"/>
      <c r="D786" s="168"/>
      <c r="E786" s="4"/>
      <c r="F786" s="15"/>
    </row>
    <row r="787" spans="3:6" ht="15.75" customHeight="1">
      <c r="C787" s="112"/>
      <c r="D787" s="168"/>
      <c r="E787" s="4"/>
      <c r="F787" s="15"/>
    </row>
    <row r="788" spans="3:6" ht="15.75" customHeight="1">
      <c r="C788" s="112"/>
      <c r="D788" s="168"/>
      <c r="E788" s="4"/>
      <c r="F788" s="15"/>
    </row>
    <row r="789" spans="3:6" ht="15.75" customHeight="1">
      <c r="C789" s="112"/>
      <c r="D789" s="168"/>
      <c r="E789" s="4"/>
      <c r="F789" s="15"/>
    </row>
    <row r="790" spans="3:6" ht="15.75" customHeight="1">
      <c r="C790" s="112"/>
      <c r="D790" s="168"/>
      <c r="E790" s="4"/>
      <c r="F790" s="15"/>
    </row>
    <row r="791" spans="3:6" ht="15.75" customHeight="1">
      <c r="C791" s="112"/>
      <c r="D791" s="168"/>
      <c r="E791" s="4"/>
      <c r="F791" s="15"/>
    </row>
    <row r="792" spans="3:6" ht="15.75" customHeight="1">
      <c r="C792" s="112"/>
      <c r="D792" s="168"/>
      <c r="E792" s="4"/>
      <c r="F792" s="15"/>
    </row>
    <row r="793" spans="3:6" ht="15.75" customHeight="1">
      <c r="C793" s="112"/>
      <c r="D793" s="168"/>
      <c r="E793" s="4"/>
      <c r="F793" s="15"/>
    </row>
    <row r="794" spans="3:6" ht="15.75" customHeight="1">
      <c r="C794" s="112"/>
      <c r="D794" s="168"/>
      <c r="E794" s="4"/>
      <c r="F794" s="15"/>
    </row>
    <row r="795" spans="3:6" ht="15.75" customHeight="1">
      <c r="C795" s="112"/>
      <c r="D795" s="168"/>
      <c r="E795" s="4"/>
      <c r="F795" s="15"/>
    </row>
    <row r="796" spans="3:6" ht="15.75" customHeight="1">
      <c r="C796" s="112"/>
      <c r="D796" s="168"/>
      <c r="E796" s="4"/>
      <c r="F796" s="15"/>
    </row>
    <row r="797" spans="3:6" ht="15.75" customHeight="1">
      <c r="C797" s="112"/>
      <c r="D797" s="168"/>
      <c r="E797" s="4"/>
      <c r="F797" s="15"/>
    </row>
    <row r="798" spans="3:6" ht="15.75" customHeight="1">
      <c r="C798" s="112"/>
      <c r="D798" s="168"/>
      <c r="E798" s="4"/>
      <c r="F798" s="15"/>
    </row>
    <row r="799" spans="3:6" ht="15.75" customHeight="1">
      <c r="C799" s="112"/>
      <c r="D799" s="168"/>
      <c r="E799" s="4"/>
      <c r="F799" s="15"/>
    </row>
    <row r="800" spans="3:6" ht="15.75" customHeight="1">
      <c r="C800" s="112"/>
      <c r="D800" s="168"/>
      <c r="E800" s="4"/>
      <c r="F800" s="15"/>
    </row>
    <row r="801" spans="3:6" ht="15.75" customHeight="1">
      <c r="C801" s="112"/>
      <c r="D801" s="168"/>
      <c r="E801" s="4"/>
      <c r="F801" s="15"/>
    </row>
    <row r="802" spans="3:6" ht="15.75" customHeight="1">
      <c r="C802" s="112"/>
      <c r="D802" s="168"/>
      <c r="E802" s="4"/>
      <c r="F802" s="15"/>
    </row>
    <row r="803" spans="3:6" ht="15.75" customHeight="1">
      <c r="C803" s="112"/>
      <c r="D803" s="168"/>
      <c r="E803" s="4"/>
      <c r="F803" s="15"/>
    </row>
    <row r="804" spans="3:6" ht="15.75" customHeight="1">
      <c r="C804" s="112"/>
      <c r="D804" s="168"/>
      <c r="E804" s="4"/>
      <c r="F804" s="15"/>
    </row>
    <row r="805" spans="3:6" ht="15.75" customHeight="1">
      <c r="C805" s="112"/>
      <c r="D805" s="168"/>
      <c r="E805" s="4"/>
      <c r="F805" s="15"/>
    </row>
    <row r="806" spans="3:6" ht="15.75" customHeight="1">
      <c r="C806" s="112"/>
      <c r="D806" s="168"/>
      <c r="E806" s="4"/>
      <c r="F806" s="15"/>
    </row>
    <row r="807" spans="3:6" ht="15.75" customHeight="1">
      <c r="C807" s="112"/>
      <c r="D807" s="168"/>
      <c r="E807" s="4"/>
      <c r="F807" s="15"/>
    </row>
    <row r="808" spans="3:6" ht="15.75" customHeight="1">
      <c r="C808" s="112"/>
      <c r="D808" s="168"/>
      <c r="E808" s="4"/>
      <c r="F808" s="15"/>
    </row>
    <row r="809" spans="3:6" ht="15.75" customHeight="1">
      <c r="C809" s="112"/>
      <c r="D809" s="168"/>
      <c r="E809" s="4"/>
      <c r="F809" s="15"/>
    </row>
    <row r="810" spans="3:6" ht="15.75" customHeight="1">
      <c r="C810" s="112"/>
      <c r="D810" s="168"/>
      <c r="E810" s="4"/>
      <c r="F810" s="15"/>
    </row>
    <row r="811" spans="3:6" ht="15.75" customHeight="1">
      <c r="C811" s="112"/>
      <c r="D811" s="168"/>
      <c r="E811" s="4"/>
      <c r="F811" s="15"/>
    </row>
    <row r="812" spans="3:6" ht="15.75" customHeight="1">
      <c r="C812" s="112"/>
      <c r="D812" s="168"/>
      <c r="E812" s="4"/>
      <c r="F812" s="15"/>
    </row>
    <row r="813" spans="3:6" ht="15.75" customHeight="1">
      <c r="C813" s="112"/>
      <c r="D813" s="168"/>
      <c r="E813" s="4"/>
      <c r="F813" s="15"/>
    </row>
    <row r="814" spans="3:6" ht="15.75" customHeight="1">
      <c r="C814" s="112"/>
      <c r="D814" s="168"/>
      <c r="E814" s="4"/>
      <c r="F814" s="15"/>
    </row>
    <row r="815" spans="3:6" ht="15.75" customHeight="1">
      <c r="C815" s="112"/>
      <c r="D815" s="168"/>
      <c r="E815" s="4"/>
      <c r="F815" s="15"/>
    </row>
    <row r="816" spans="3:6" ht="15.75" customHeight="1">
      <c r="C816" s="112"/>
      <c r="D816" s="168"/>
      <c r="E816" s="4"/>
      <c r="F816" s="15"/>
    </row>
    <row r="817" spans="3:6" ht="15.75" customHeight="1">
      <c r="C817" s="112"/>
      <c r="D817" s="168"/>
      <c r="E817" s="4"/>
      <c r="F817" s="15"/>
    </row>
    <row r="818" spans="3:6" ht="15.75" customHeight="1">
      <c r="C818" s="112"/>
      <c r="D818" s="168"/>
      <c r="E818" s="4"/>
      <c r="F818" s="15"/>
    </row>
    <row r="819" spans="3:6" ht="15.75" customHeight="1">
      <c r="C819" s="112"/>
      <c r="D819" s="168"/>
      <c r="E819" s="4"/>
      <c r="F819" s="15"/>
    </row>
    <row r="820" spans="3:6" ht="15.75" customHeight="1">
      <c r="C820" s="112"/>
      <c r="D820" s="168"/>
      <c r="E820" s="4"/>
      <c r="F820" s="15"/>
    </row>
    <row r="821" spans="3:6" ht="15.75" customHeight="1">
      <c r="C821" s="112"/>
      <c r="D821" s="168"/>
      <c r="E821" s="4"/>
      <c r="F821" s="15"/>
    </row>
    <row r="822" spans="3:6" ht="15.75" customHeight="1">
      <c r="C822" s="112"/>
      <c r="D822" s="168"/>
      <c r="E822" s="4"/>
      <c r="F822" s="15"/>
    </row>
    <row r="823" spans="3:6" ht="15.75" customHeight="1">
      <c r="C823" s="112"/>
      <c r="D823" s="168"/>
      <c r="E823" s="4"/>
      <c r="F823" s="15"/>
    </row>
    <row r="824" spans="3:6" ht="15.75" customHeight="1">
      <c r="C824" s="112"/>
      <c r="D824" s="168"/>
      <c r="E824" s="4"/>
      <c r="F824" s="15"/>
    </row>
    <row r="825" spans="3:6" ht="15.75" customHeight="1">
      <c r="C825" s="112"/>
      <c r="D825" s="168"/>
      <c r="E825" s="4"/>
      <c r="F825" s="15"/>
    </row>
    <row r="826" spans="3:6" ht="15.75" customHeight="1">
      <c r="C826" s="112"/>
      <c r="D826" s="168"/>
      <c r="E826" s="4"/>
      <c r="F826" s="15"/>
    </row>
    <row r="827" spans="3:6" ht="15.75" customHeight="1">
      <c r="C827" s="112"/>
      <c r="D827" s="168"/>
      <c r="E827" s="4"/>
      <c r="F827" s="15"/>
    </row>
    <row r="828" spans="3:6" ht="15.75" customHeight="1">
      <c r="C828" s="112"/>
      <c r="D828" s="168"/>
      <c r="E828" s="4"/>
      <c r="F828" s="15"/>
    </row>
    <row r="829" spans="3:6" ht="15.75" customHeight="1">
      <c r="C829" s="112"/>
      <c r="D829" s="168"/>
      <c r="E829" s="4"/>
      <c r="F829" s="15"/>
    </row>
    <row r="830" spans="3:6" ht="15.75" customHeight="1">
      <c r="C830" s="112"/>
      <c r="D830" s="168"/>
      <c r="E830" s="4"/>
      <c r="F830" s="15"/>
    </row>
    <row r="831" spans="3:6" ht="15.75" customHeight="1">
      <c r="C831" s="112"/>
      <c r="D831" s="168"/>
      <c r="E831" s="4"/>
      <c r="F831" s="15"/>
    </row>
    <row r="832" spans="3:6" ht="15.75" customHeight="1">
      <c r="C832" s="112"/>
      <c r="D832" s="168"/>
      <c r="E832" s="4"/>
      <c r="F832" s="15"/>
    </row>
    <row r="833" spans="3:6" ht="15.75" customHeight="1">
      <c r="C833" s="112"/>
      <c r="D833" s="168"/>
      <c r="E833" s="4"/>
      <c r="F833" s="15"/>
    </row>
    <row r="834" spans="3:6" ht="15.75" customHeight="1">
      <c r="C834" s="112"/>
      <c r="D834" s="168"/>
      <c r="E834" s="4"/>
      <c r="F834" s="15"/>
    </row>
    <row r="835" spans="3:6" ht="15.75" customHeight="1">
      <c r="C835" s="112"/>
      <c r="D835" s="168"/>
      <c r="E835" s="4"/>
      <c r="F835" s="15"/>
    </row>
    <row r="836" spans="3:6" ht="15.75" customHeight="1">
      <c r="C836" s="112"/>
      <c r="D836" s="168"/>
      <c r="E836" s="4"/>
      <c r="F836" s="15"/>
    </row>
    <row r="837" spans="3:6" ht="15.75" customHeight="1">
      <c r="C837" s="112"/>
      <c r="D837" s="168"/>
      <c r="E837" s="4"/>
      <c r="F837" s="15"/>
    </row>
    <row r="838" spans="3:6" ht="15.75" customHeight="1">
      <c r="C838" s="112"/>
      <c r="D838" s="168"/>
      <c r="E838" s="4"/>
      <c r="F838" s="15"/>
    </row>
    <row r="839" spans="3:6" ht="15.75" customHeight="1">
      <c r="C839" s="112"/>
      <c r="D839" s="168"/>
      <c r="E839" s="4"/>
      <c r="F839" s="15"/>
    </row>
    <row r="840" spans="3:6" ht="15.75" customHeight="1">
      <c r="C840" s="112"/>
      <c r="D840" s="168"/>
      <c r="E840" s="4"/>
      <c r="F840" s="15"/>
    </row>
    <row r="841" spans="3:6" ht="15.75" customHeight="1">
      <c r="C841" s="112"/>
      <c r="D841" s="168"/>
      <c r="E841" s="4"/>
      <c r="F841" s="15"/>
    </row>
    <row r="842" spans="3:6" ht="15.75" customHeight="1">
      <c r="C842" s="112"/>
      <c r="D842" s="168"/>
      <c r="E842" s="4"/>
      <c r="F842" s="15"/>
    </row>
    <row r="843" spans="3:6" ht="15.75" customHeight="1">
      <c r="C843" s="112"/>
      <c r="D843" s="168"/>
      <c r="E843" s="4"/>
      <c r="F843" s="15"/>
    </row>
    <row r="844" spans="3:6" ht="15.75" customHeight="1">
      <c r="C844" s="112"/>
      <c r="D844" s="168"/>
      <c r="E844" s="4"/>
      <c r="F844" s="15"/>
    </row>
    <row r="845" spans="3:6" ht="15.75" customHeight="1">
      <c r="C845" s="112"/>
      <c r="D845" s="168"/>
      <c r="E845" s="4"/>
      <c r="F845" s="15"/>
    </row>
    <row r="846" spans="3:6" ht="15.75" customHeight="1">
      <c r="C846" s="112"/>
      <c r="D846" s="168"/>
      <c r="E846" s="4"/>
      <c r="F846" s="15"/>
    </row>
    <row r="847" spans="3:6" ht="15.75" customHeight="1">
      <c r="C847" s="112"/>
      <c r="D847" s="168"/>
      <c r="E847" s="4"/>
      <c r="F847" s="15"/>
    </row>
    <row r="848" spans="3:6" ht="15.75" customHeight="1">
      <c r="C848" s="112"/>
      <c r="D848" s="168"/>
      <c r="E848" s="4"/>
      <c r="F848" s="15"/>
    </row>
    <row r="849" spans="3:6" ht="15.75" customHeight="1">
      <c r="C849" s="112"/>
      <c r="D849" s="168"/>
      <c r="E849" s="4"/>
      <c r="F849" s="15"/>
    </row>
    <row r="850" spans="3:6" ht="15.75" customHeight="1">
      <c r="C850" s="112"/>
      <c r="D850" s="168"/>
      <c r="E850" s="4"/>
      <c r="F850" s="15"/>
    </row>
    <row r="851" spans="3:6" ht="15.75" customHeight="1">
      <c r="C851" s="112"/>
      <c r="D851" s="168"/>
      <c r="E851" s="4"/>
      <c r="F851" s="15"/>
    </row>
    <row r="852" spans="3:6" ht="15.75" customHeight="1">
      <c r="C852" s="112"/>
      <c r="D852" s="168"/>
      <c r="E852" s="4"/>
      <c r="F852" s="15"/>
    </row>
    <row r="853" spans="3:6" ht="15.75" customHeight="1">
      <c r="C853" s="112"/>
      <c r="D853" s="168"/>
      <c r="E853" s="4"/>
      <c r="F853" s="15"/>
    </row>
    <row r="854" spans="3:6" ht="15.75" customHeight="1">
      <c r="C854" s="112"/>
      <c r="D854" s="168"/>
      <c r="E854" s="4"/>
      <c r="F854" s="15"/>
    </row>
    <row r="855" spans="3:6" ht="15.75" customHeight="1">
      <c r="C855" s="112"/>
      <c r="D855" s="168"/>
      <c r="E855" s="4"/>
      <c r="F855" s="15"/>
    </row>
    <row r="856" spans="3:6" ht="15.75" customHeight="1">
      <c r="C856" s="112"/>
      <c r="D856" s="168"/>
      <c r="E856" s="4"/>
      <c r="F856" s="15"/>
    </row>
    <row r="857" spans="3:6" ht="15.75" customHeight="1">
      <c r="C857" s="112"/>
      <c r="D857" s="168"/>
      <c r="E857" s="4"/>
      <c r="F857" s="15"/>
    </row>
    <row r="858" spans="3:6" ht="15.75" customHeight="1">
      <c r="C858" s="112"/>
      <c r="D858" s="168"/>
      <c r="E858" s="4"/>
      <c r="F858" s="15"/>
    </row>
    <row r="859" spans="3:6" ht="15.75" customHeight="1">
      <c r="C859" s="112"/>
      <c r="D859" s="168"/>
      <c r="E859" s="4"/>
      <c r="F859" s="15"/>
    </row>
    <row r="860" spans="3:6" ht="15.75" customHeight="1">
      <c r="C860" s="112"/>
      <c r="D860" s="168"/>
      <c r="E860" s="4"/>
      <c r="F860" s="15"/>
    </row>
    <row r="861" spans="3:6" ht="15.75" customHeight="1">
      <c r="C861" s="112"/>
      <c r="D861" s="168"/>
      <c r="E861" s="4"/>
      <c r="F861" s="15"/>
    </row>
    <row r="862" spans="3:6" ht="15.75" customHeight="1">
      <c r="C862" s="112"/>
      <c r="D862" s="168"/>
      <c r="E862" s="4"/>
      <c r="F862" s="15"/>
    </row>
    <row r="863" spans="3:6" ht="15.75" customHeight="1">
      <c r="C863" s="112"/>
      <c r="D863" s="168"/>
      <c r="E863" s="4"/>
      <c r="F863" s="15"/>
    </row>
    <row r="864" spans="3:6" ht="15.75" customHeight="1">
      <c r="C864" s="112"/>
      <c r="D864" s="168"/>
      <c r="E864" s="4"/>
      <c r="F864" s="15"/>
    </row>
    <row r="865" spans="3:6" ht="15.75" customHeight="1">
      <c r="C865" s="112"/>
      <c r="D865" s="168"/>
      <c r="E865" s="4"/>
      <c r="F865" s="15"/>
    </row>
    <row r="866" spans="3:6" ht="15.75" customHeight="1">
      <c r="C866" s="112"/>
      <c r="D866" s="168"/>
      <c r="E866" s="4"/>
      <c r="F866" s="15"/>
    </row>
    <row r="867" spans="3:6" ht="15.75" customHeight="1">
      <c r="C867" s="112"/>
      <c r="D867" s="168"/>
      <c r="E867" s="4"/>
      <c r="F867" s="15"/>
    </row>
    <row r="868" spans="3:6" ht="15.75" customHeight="1">
      <c r="C868" s="112"/>
      <c r="D868" s="168"/>
      <c r="E868" s="4"/>
      <c r="F868" s="15"/>
    </row>
    <row r="869" spans="3:6" ht="15.75" customHeight="1">
      <c r="C869" s="112"/>
      <c r="D869" s="168"/>
      <c r="E869" s="4"/>
      <c r="F869" s="15"/>
    </row>
    <row r="870" spans="3:6" ht="15.75" customHeight="1">
      <c r="C870" s="112"/>
      <c r="D870" s="168"/>
      <c r="E870" s="4"/>
      <c r="F870" s="15"/>
    </row>
    <row r="871" spans="3:6" ht="15.75" customHeight="1">
      <c r="C871" s="112"/>
      <c r="D871" s="168"/>
      <c r="E871" s="4"/>
      <c r="F871" s="15"/>
    </row>
    <row r="872" spans="3:6" ht="15.75" customHeight="1">
      <c r="C872" s="112"/>
      <c r="D872" s="168"/>
      <c r="E872" s="4"/>
      <c r="F872" s="15"/>
    </row>
    <row r="873" spans="3:6" ht="15.75" customHeight="1">
      <c r="C873" s="112"/>
      <c r="D873" s="168"/>
      <c r="E873" s="4"/>
      <c r="F873" s="15"/>
    </row>
    <row r="874" spans="3:6" ht="15.75" customHeight="1">
      <c r="C874" s="112"/>
      <c r="D874" s="168"/>
      <c r="E874" s="4"/>
      <c r="F874" s="15"/>
    </row>
    <row r="875" spans="3:6" ht="15.75" customHeight="1">
      <c r="C875" s="112"/>
      <c r="D875" s="168"/>
      <c r="E875" s="4"/>
      <c r="F875" s="15"/>
    </row>
    <row r="876" spans="3:6" ht="15.75" customHeight="1">
      <c r="C876" s="112"/>
      <c r="D876" s="168"/>
      <c r="E876" s="4"/>
      <c r="F876" s="15"/>
    </row>
    <row r="877" spans="3:6" ht="15.75" customHeight="1">
      <c r="C877" s="112"/>
      <c r="D877" s="168"/>
      <c r="E877" s="4"/>
      <c r="F877" s="15"/>
    </row>
    <row r="878" spans="3:6" ht="15.75" customHeight="1">
      <c r="C878" s="112"/>
      <c r="D878" s="168"/>
      <c r="E878" s="4"/>
      <c r="F878" s="15"/>
    </row>
    <row r="879" spans="3:6" ht="15.75" customHeight="1">
      <c r="C879" s="112"/>
      <c r="D879" s="168"/>
      <c r="E879" s="4"/>
      <c r="F879" s="15"/>
    </row>
    <row r="880" spans="3:6" ht="15.75" customHeight="1">
      <c r="C880" s="112"/>
      <c r="D880" s="168"/>
      <c r="E880" s="4"/>
      <c r="F880" s="15"/>
    </row>
    <row r="881" spans="3:6" ht="15.75" customHeight="1">
      <c r="C881" s="112"/>
      <c r="D881" s="168"/>
      <c r="E881" s="4"/>
      <c r="F881" s="15"/>
    </row>
    <row r="882" spans="3:6" ht="15.75" customHeight="1">
      <c r="C882" s="112"/>
      <c r="D882" s="168"/>
      <c r="E882" s="4"/>
      <c r="F882" s="15"/>
    </row>
    <row r="883" spans="3:6" ht="15.75" customHeight="1">
      <c r="C883" s="112"/>
      <c r="D883" s="168"/>
      <c r="E883" s="4"/>
      <c r="F883" s="15"/>
    </row>
    <row r="884" spans="3:6" ht="15.75" customHeight="1">
      <c r="C884" s="112"/>
      <c r="D884" s="168"/>
      <c r="E884" s="4"/>
      <c r="F884" s="15"/>
    </row>
    <row r="885" spans="3:6" ht="15.75" customHeight="1">
      <c r="C885" s="112"/>
      <c r="D885" s="168"/>
      <c r="E885" s="4"/>
      <c r="F885" s="15"/>
    </row>
    <row r="886" spans="3:6" ht="15.75" customHeight="1">
      <c r="C886" s="112"/>
      <c r="D886" s="168"/>
      <c r="E886" s="4"/>
      <c r="F886" s="15"/>
    </row>
    <row r="887" spans="3:6" ht="15.75" customHeight="1">
      <c r="C887" s="112"/>
      <c r="D887" s="168"/>
      <c r="E887" s="4"/>
      <c r="F887" s="15"/>
    </row>
    <row r="888" spans="3:6" ht="15.75" customHeight="1">
      <c r="C888" s="112"/>
      <c r="D888" s="168"/>
      <c r="E888" s="4"/>
      <c r="F888" s="15"/>
    </row>
    <row r="889" spans="3:6" ht="15.75" customHeight="1">
      <c r="C889" s="112"/>
      <c r="D889" s="168"/>
      <c r="E889" s="4"/>
      <c r="F889" s="15"/>
    </row>
    <row r="890" spans="3:6" ht="15.75" customHeight="1">
      <c r="C890" s="112"/>
      <c r="D890" s="168"/>
      <c r="E890" s="4"/>
      <c r="F890" s="15"/>
    </row>
    <row r="891" spans="3:6" ht="15.75" customHeight="1">
      <c r="C891" s="112"/>
      <c r="D891" s="168"/>
      <c r="E891" s="4"/>
      <c r="F891" s="15"/>
    </row>
    <row r="892" spans="3:6" ht="15.75" customHeight="1">
      <c r="C892" s="112"/>
      <c r="D892" s="168"/>
      <c r="E892" s="4"/>
      <c r="F892" s="15"/>
    </row>
    <row r="893" spans="3:6" ht="15.75" customHeight="1">
      <c r="C893" s="112"/>
      <c r="D893" s="168"/>
      <c r="E893" s="4"/>
      <c r="F893" s="15"/>
    </row>
    <row r="894" spans="3:6" ht="15.75" customHeight="1">
      <c r="C894" s="112"/>
      <c r="D894" s="168"/>
      <c r="E894" s="4"/>
      <c r="F894" s="15"/>
    </row>
    <row r="895" spans="3:6" ht="15.75" customHeight="1">
      <c r="C895" s="112"/>
      <c r="D895" s="168"/>
      <c r="E895" s="4"/>
      <c r="F895" s="15"/>
    </row>
    <row r="896" spans="3:6" ht="15.75" customHeight="1">
      <c r="C896" s="112"/>
      <c r="D896" s="168"/>
      <c r="E896" s="4"/>
      <c r="F896" s="15"/>
    </row>
    <row r="897" spans="3:6" ht="15.75" customHeight="1">
      <c r="C897" s="112"/>
      <c r="D897" s="168"/>
      <c r="E897" s="4"/>
      <c r="F897" s="15"/>
    </row>
    <row r="898" spans="3:6" ht="15.75" customHeight="1">
      <c r="C898" s="112"/>
      <c r="D898" s="168"/>
      <c r="E898" s="4"/>
      <c r="F898" s="15"/>
    </row>
    <row r="899" spans="3:6" ht="15.75" customHeight="1">
      <c r="C899" s="112"/>
      <c r="D899" s="168"/>
      <c r="E899" s="4"/>
      <c r="F899" s="15"/>
    </row>
    <row r="900" spans="3:6" ht="15.75" customHeight="1">
      <c r="C900" s="112"/>
      <c r="D900" s="168"/>
      <c r="E900" s="4"/>
      <c r="F900" s="15"/>
    </row>
    <row r="901" spans="3:6" ht="15.75" customHeight="1">
      <c r="C901" s="112"/>
      <c r="D901" s="168"/>
      <c r="E901" s="4"/>
      <c r="F901" s="15"/>
    </row>
    <row r="902" spans="3:6" ht="15.75" customHeight="1">
      <c r="C902" s="112"/>
      <c r="D902" s="168"/>
      <c r="E902" s="4"/>
      <c r="F902" s="15"/>
    </row>
    <row r="903" spans="3:6" ht="15.75" customHeight="1">
      <c r="C903" s="112"/>
      <c r="D903" s="168"/>
      <c r="E903" s="4"/>
      <c r="F903" s="15"/>
    </row>
    <row r="904" spans="3:6" ht="15.75" customHeight="1">
      <c r="C904" s="112"/>
      <c r="D904" s="168"/>
      <c r="E904" s="4"/>
      <c r="F904" s="15"/>
    </row>
    <row r="905" spans="3:6" ht="15.75" customHeight="1">
      <c r="C905" s="112"/>
      <c r="D905" s="168"/>
      <c r="E905" s="4"/>
      <c r="F905" s="15"/>
    </row>
    <row r="906" spans="3:6" ht="15.75" customHeight="1">
      <c r="C906" s="112"/>
      <c r="D906" s="168"/>
      <c r="E906" s="4"/>
      <c r="F906" s="15"/>
    </row>
    <row r="907" spans="3:6" ht="15.75" customHeight="1">
      <c r="C907" s="112"/>
      <c r="D907" s="168"/>
      <c r="E907" s="4"/>
      <c r="F907" s="15"/>
    </row>
    <row r="908" spans="3:6" ht="15.75" customHeight="1">
      <c r="C908" s="112"/>
      <c r="D908" s="168"/>
      <c r="E908" s="4"/>
      <c r="F908" s="15"/>
    </row>
    <row r="909" spans="3:6" ht="15.75" customHeight="1">
      <c r="C909" s="112"/>
      <c r="D909" s="168"/>
      <c r="E909" s="4"/>
      <c r="F909" s="15"/>
    </row>
    <row r="910" spans="3:6" ht="15.75" customHeight="1">
      <c r="C910" s="112"/>
      <c r="D910" s="168"/>
      <c r="E910" s="4"/>
      <c r="F910" s="15"/>
    </row>
    <row r="911" spans="3:6" ht="15.75" customHeight="1">
      <c r="C911" s="112"/>
      <c r="D911" s="168"/>
      <c r="E911" s="4"/>
      <c r="F911" s="15"/>
    </row>
    <row r="912" spans="3:6" ht="15.75" customHeight="1">
      <c r="C912" s="112"/>
      <c r="D912" s="168"/>
      <c r="E912" s="4"/>
      <c r="F912" s="15"/>
    </row>
    <row r="913" spans="3:6" ht="15.75" customHeight="1">
      <c r="C913" s="112"/>
      <c r="D913" s="168"/>
      <c r="E913" s="4"/>
      <c r="F913" s="15"/>
    </row>
    <row r="914" spans="3:6" ht="15.75" customHeight="1">
      <c r="C914" s="112"/>
      <c r="D914" s="168"/>
      <c r="E914" s="4"/>
      <c r="F914" s="15"/>
    </row>
    <row r="915" spans="3:6" ht="15.75" customHeight="1">
      <c r="C915" s="112"/>
      <c r="D915" s="168"/>
      <c r="E915" s="4"/>
      <c r="F915" s="15"/>
    </row>
    <row r="916" spans="3:6" ht="15.75" customHeight="1">
      <c r="C916" s="112"/>
      <c r="D916" s="168"/>
      <c r="E916" s="4"/>
      <c r="F916" s="15"/>
    </row>
    <row r="917" spans="3:6" ht="15.75" customHeight="1">
      <c r="C917" s="112"/>
      <c r="D917" s="168"/>
      <c r="E917" s="4"/>
      <c r="F917" s="15"/>
    </row>
    <row r="918" spans="3:6" ht="15.75" customHeight="1">
      <c r="C918" s="112"/>
      <c r="D918" s="168"/>
      <c r="E918" s="4"/>
      <c r="F918" s="15"/>
    </row>
    <row r="919" spans="3:6" ht="15.75" customHeight="1">
      <c r="C919" s="112"/>
      <c r="D919" s="168"/>
      <c r="E919" s="4"/>
      <c r="F919" s="15"/>
    </row>
    <row r="920" spans="3:6" ht="15.75" customHeight="1">
      <c r="C920" s="112"/>
      <c r="D920" s="168"/>
      <c r="E920" s="4"/>
      <c r="F920" s="15"/>
    </row>
    <row r="921" spans="3:6" ht="15.75" customHeight="1">
      <c r="C921" s="112"/>
      <c r="D921" s="168"/>
      <c r="E921" s="4"/>
      <c r="F921" s="15"/>
    </row>
    <row r="922" spans="3:6" ht="15.75" customHeight="1">
      <c r="C922" s="112"/>
      <c r="D922" s="168"/>
      <c r="E922" s="4"/>
      <c r="F922" s="15"/>
    </row>
    <row r="923" spans="3:6" ht="15.75" customHeight="1">
      <c r="C923" s="112"/>
      <c r="D923" s="168"/>
      <c r="E923" s="4"/>
      <c r="F923" s="15"/>
    </row>
    <row r="924" spans="3:6" ht="15.75" customHeight="1">
      <c r="C924" s="112"/>
      <c r="D924" s="168"/>
      <c r="E924" s="4"/>
      <c r="F924" s="15"/>
    </row>
    <row r="925" spans="3:6" ht="15.75" customHeight="1">
      <c r="C925" s="112"/>
      <c r="D925" s="168"/>
      <c r="E925" s="4"/>
      <c r="F925" s="15"/>
    </row>
    <row r="926" spans="3:6" ht="15.75" customHeight="1">
      <c r="C926" s="112"/>
      <c r="D926" s="168"/>
      <c r="E926" s="4"/>
      <c r="F926" s="15"/>
    </row>
    <row r="927" spans="3:6" ht="15.75" customHeight="1">
      <c r="C927" s="112"/>
      <c r="D927" s="168"/>
      <c r="E927" s="4"/>
      <c r="F927" s="15"/>
    </row>
    <row r="928" spans="3:6" ht="15.75" customHeight="1">
      <c r="C928" s="112"/>
      <c r="D928" s="168"/>
      <c r="E928" s="4"/>
      <c r="F928" s="15"/>
    </row>
    <row r="929" spans="3:6" ht="15.75" customHeight="1">
      <c r="C929" s="112"/>
      <c r="D929" s="168"/>
      <c r="E929" s="4"/>
      <c r="F929" s="15"/>
    </row>
    <row r="930" spans="3:6" ht="15.75" customHeight="1">
      <c r="C930" s="112"/>
      <c r="D930" s="168"/>
      <c r="E930" s="4"/>
      <c r="F930" s="15"/>
    </row>
    <row r="931" spans="3:6" ht="15.75" customHeight="1">
      <c r="C931" s="112"/>
      <c r="D931" s="168"/>
      <c r="E931" s="4"/>
      <c r="F931" s="15"/>
    </row>
    <row r="932" spans="3:6" ht="15.75" customHeight="1">
      <c r="C932" s="112"/>
      <c r="D932" s="168"/>
      <c r="E932" s="4"/>
      <c r="F932" s="15"/>
    </row>
    <row r="933" spans="3:6" ht="15.75" customHeight="1">
      <c r="C933" s="112"/>
      <c r="D933" s="168"/>
      <c r="E933" s="4"/>
      <c r="F933" s="15"/>
    </row>
    <row r="934" spans="3:6" ht="15.75" customHeight="1">
      <c r="C934" s="112"/>
      <c r="D934" s="168"/>
      <c r="E934" s="4"/>
      <c r="F934" s="15"/>
    </row>
    <row r="935" spans="3:6" ht="15.75" customHeight="1">
      <c r="C935" s="112"/>
      <c r="D935" s="168"/>
      <c r="E935" s="4"/>
      <c r="F935" s="15"/>
    </row>
    <row r="936" spans="3:6" ht="15.75" customHeight="1">
      <c r="C936" s="112"/>
      <c r="D936" s="168"/>
      <c r="E936" s="4"/>
      <c r="F936" s="15"/>
    </row>
    <row r="937" spans="3:6" ht="15.75" customHeight="1">
      <c r="C937" s="112"/>
      <c r="D937" s="168"/>
      <c r="E937" s="4"/>
      <c r="F937" s="15"/>
    </row>
    <row r="938" spans="3:6" ht="15.75" customHeight="1">
      <c r="C938" s="112"/>
      <c r="D938" s="168"/>
      <c r="E938" s="4"/>
      <c r="F938" s="15"/>
    </row>
    <row r="939" spans="3:6" ht="15.75" customHeight="1">
      <c r="C939" s="112"/>
      <c r="D939" s="168"/>
      <c r="E939" s="4"/>
      <c r="F939" s="15"/>
    </row>
    <row r="940" spans="3:6" ht="15.75" customHeight="1">
      <c r="C940" s="112"/>
      <c r="D940" s="168"/>
      <c r="E940" s="4"/>
      <c r="F940" s="15"/>
    </row>
    <row r="941" spans="3:6" ht="15.75" customHeight="1">
      <c r="C941" s="112"/>
      <c r="D941" s="168"/>
      <c r="E941" s="4"/>
      <c r="F941" s="15"/>
    </row>
    <row r="942" spans="3:6" ht="15.75" customHeight="1">
      <c r="C942" s="112"/>
      <c r="D942" s="168"/>
      <c r="E942" s="4"/>
      <c r="F942" s="15"/>
    </row>
    <row r="943" spans="3:6" ht="15.75" customHeight="1">
      <c r="C943" s="112"/>
      <c r="D943" s="168"/>
      <c r="E943" s="4"/>
      <c r="F943" s="15"/>
    </row>
    <row r="944" spans="3:6" ht="15.75" customHeight="1">
      <c r="C944" s="112"/>
      <c r="D944" s="168"/>
      <c r="E944" s="4"/>
      <c r="F944" s="15"/>
    </row>
    <row r="945" spans="3:6" ht="15.75" customHeight="1">
      <c r="C945" s="112"/>
      <c r="D945" s="168"/>
      <c r="E945" s="4"/>
      <c r="F945" s="15"/>
    </row>
    <row r="946" spans="3:6" ht="15.75" customHeight="1">
      <c r="C946" s="112"/>
      <c r="D946" s="168"/>
      <c r="E946" s="4"/>
      <c r="F946" s="15"/>
    </row>
    <row r="947" spans="3:6" ht="15.75" customHeight="1">
      <c r="C947" s="112"/>
      <c r="D947" s="168"/>
      <c r="E947" s="4"/>
      <c r="F947" s="15"/>
    </row>
    <row r="948" spans="3:6" ht="15.75" customHeight="1">
      <c r="C948" s="112"/>
      <c r="D948" s="168"/>
      <c r="E948" s="4"/>
      <c r="F948" s="15"/>
    </row>
    <row r="949" spans="3:6" ht="15.75" customHeight="1">
      <c r="C949" s="112"/>
      <c r="D949" s="168"/>
      <c r="E949" s="4"/>
      <c r="F949" s="15"/>
    </row>
    <row r="950" spans="3:6" ht="15.75" customHeight="1">
      <c r="C950" s="112"/>
      <c r="D950" s="168"/>
      <c r="E950" s="4"/>
      <c r="F950" s="15"/>
    </row>
    <row r="951" spans="3:6" ht="15.75" customHeight="1">
      <c r="C951" s="112"/>
      <c r="D951" s="168"/>
      <c r="E951" s="4"/>
      <c r="F951" s="15"/>
    </row>
    <row r="952" spans="3:6" ht="15.75" customHeight="1">
      <c r="C952" s="112"/>
      <c r="D952" s="168"/>
      <c r="E952" s="4"/>
      <c r="F952" s="15"/>
    </row>
    <row r="953" spans="3:6" ht="15.75" customHeight="1">
      <c r="C953" s="112"/>
      <c r="D953" s="168"/>
      <c r="E953" s="4"/>
      <c r="F953" s="15"/>
    </row>
    <row r="954" spans="3:6" ht="15.75" customHeight="1">
      <c r="C954" s="112"/>
      <c r="D954" s="168"/>
      <c r="E954" s="4"/>
      <c r="F954" s="15"/>
    </row>
    <row r="955" spans="3:6" ht="15.75" customHeight="1">
      <c r="C955" s="112"/>
      <c r="D955" s="168"/>
      <c r="E955" s="4"/>
      <c r="F955" s="15"/>
    </row>
    <row r="956" spans="3:6" ht="15.75" customHeight="1">
      <c r="C956" s="112"/>
      <c r="D956" s="168"/>
      <c r="E956" s="4"/>
      <c r="F956" s="15"/>
    </row>
    <row r="957" spans="3:6" ht="15.75" customHeight="1">
      <c r="C957" s="112"/>
      <c r="D957" s="168"/>
      <c r="E957" s="4"/>
      <c r="F957" s="15"/>
    </row>
    <row r="958" spans="3:6" ht="15.75" customHeight="1">
      <c r="C958" s="112"/>
      <c r="D958" s="168"/>
      <c r="E958" s="4"/>
      <c r="F958" s="15"/>
    </row>
    <row r="959" spans="3:6" ht="15.75" customHeight="1">
      <c r="C959" s="112"/>
      <c r="D959" s="168"/>
      <c r="E959" s="4"/>
      <c r="F959" s="15"/>
    </row>
    <row r="960" spans="3:6" ht="15.75" customHeight="1">
      <c r="C960" s="112"/>
      <c r="D960" s="168"/>
      <c r="E960" s="4"/>
      <c r="F960" s="15"/>
    </row>
    <row r="961" spans="3:6" ht="15.75" customHeight="1">
      <c r="C961" s="112"/>
      <c r="D961" s="168"/>
      <c r="E961" s="4"/>
      <c r="F961" s="15"/>
    </row>
    <row r="962" spans="3:6" ht="15.75" customHeight="1">
      <c r="C962" s="112"/>
      <c r="D962" s="168"/>
      <c r="E962" s="4"/>
      <c r="F962" s="15"/>
    </row>
    <row r="963" spans="3:6" ht="15.75" customHeight="1">
      <c r="C963" s="112"/>
      <c r="D963" s="168"/>
      <c r="E963" s="4"/>
      <c r="F963" s="15"/>
    </row>
    <row r="964" spans="3:6" ht="15.75" customHeight="1">
      <c r="C964" s="112"/>
      <c r="D964" s="168"/>
      <c r="E964" s="4"/>
      <c r="F964" s="15"/>
    </row>
    <row r="965" spans="3:6" ht="15.75" customHeight="1">
      <c r="C965" s="112"/>
      <c r="D965" s="168"/>
      <c r="E965" s="4"/>
      <c r="F965" s="15"/>
    </row>
    <row r="966" spans="3:6" ht="15.75" customHeight="1">
      <c r="C966" s="112"/>
      <c r="D966" s="168"/>
      <c r="E966" s="4"/>
      <c r="F966" s="15"/>
    </row>
    <row r="967" spans="3:6" ht="15.75" customHeight="1">
      <c r="C967" s="112"/>
      <c r="D967" s="168"/>
      <c r="E967" s="4"/>
      <c r="F967" s="15"/>
    </row>
    <row r="968" spans="3:6" ht="15.75" customHeight="1">
      <c r="C968" s="112"/>
      <c r="D968" s="168"/>
      <c r="E968" s="4"/>
      <c r="F968" s="15"/>
    </row>
    <row r="969" spans="3:6" ht="15.75" customHeight="1">
      <c r="C969" s="112"/>
      <c r="D969" s="168"/>
      <c r="E969" s="4"/>
      <c r="F969" s="15"/>
    </row>
    <row r="970" spans="3:6" ht="15.75" customHeight="1">
      <c r="C970" s="112"/>
      <c r="D970" s="168"/>
      <c r="E970" s="4"/>
      <c r="F970" s="15"/>
    </row>
    <row r="971" spans="3:6" ht="15.75" customHeight="1">
      <c r="C971" s="112"/>
      <c r="D971" s="168"/>
      <c r="E971" s="4"/>
      <c r="F971" s="15"/>
    </row>
    <row r="972" spans="3:6" ht="15.75" customHeight="1">
      <c r="C972" s="112"/>
      <c r="D972" s="168"/>
      <c r="E972" s="4"/>
      <c r="F972" s="15"/>
    </row>
    <row r="973" spans="3:6" ht="15.75" customHeight="1">
      <c r="C973" s="112"/>
      <c r="D973" s="168"/>
      <c r="E973" s="4"/>
      <c r="F973" s="15"/>
    </row>
    <row r="974" spans="3:6" ht="15.75" customHeight="1">
      <c r="C974" s="112"/>
      <c r="D974" s="168"/>
      <c r="E974" s="4"/>
      <c r="F974" s="15"/>
    </row>
    <row r="975" spans="3:6" ht="15.75" customHeight="1">
      <c r="C975" s="112"/>
      <c r="D975" s="168"/>
      <c r="E975" s="4"/>
      <c r="F975" s="15"/>
    </row>
    <row r="976" spans="3:6" ht="15.75" customHeight="1">
      <c r="C976" s="112"/>
      <c r="D976" s="168"/>
      <c r="E976" s="4"/>
      <c r="F976" s="15"/>
    </row>
    <row r="977" spans="3:6" ht="15.75" customHeight="1">
      <c r="C977" s="112"/>
      <c r="D977" s="168"/>
      <c r="E977" s="4"/>
      <c r="F977" s="15"/>
    </row>
    <row r="978" spans="3:6" ht="15.75" customHeight="1">
      <c r="C978" s="112"/>
      <c r="D978" s="168"/>
      <c r="E978" s="4"/>
      <c r="F978" s="15"/>
    </row>
    <row r="979" spans="3:6" ht="15.75" customHeight="1">
      <c r="C979" s="112"/>
      <c r="D979" s="168"/>
      <c r="E979" s="4"/>
      <c r="F979" s="15"/>
    </row>
    <row r="980" spans="3:6" ht="15.75" customHeight="1">
      <c r="C980" s="112"/>
      <c r="D980" s="168"/>
      <c r="E980" s="4"/>
      <c r="F980" s="15"/>
    </row>
    <row r="981" spans="3:6" ht="15.75" customHeight="1">
      <c r="C981" s="112"/>
      <c r="D981" s="168"/>
      <c r="E981" s="4"/>
      <c r="F981" s="15"/>
    </row>
    <row r="982" spans="3:6" ht="15.75" customHeight="1">
      <c r="C982" s="112"/>
      <c r="D982" s="168"/>
      <c r="E982" s="4"/>
      <c r="F982" s="15"/>
    </row>
    <row r="983" spans="3:6" ht="15.75" customHeight="1">
      <c r="C983" s="112"/>
      <c r="D983" s="168"/>
      <c r="E983" s="4"/>
      <c r="F983" s="15"/>
    </row>
    <row r="984" spans="3:6" ht="15.75" customHeight="1">
      <c r="C984" s="112"/>
      <c r="D984" s="168"/>
      <c r="E984" s="4"/>
      <c r="F984" s="15"/>
    </row>
    <row r="985" spans="3:6" ht="15.75" customHeight="1">
      <c r="C985" s="112"/>
      <c r="D985" s="168"/>
      <c r="E985" s="4"/>
      <c r="F985" s="15"/>
    </row>
    <row r="986" spans="3:6" ht="15.75" customHeight="1">
      <c r="C986" s="112"/>
      <c r="D986" s="168"/>
      <c r="E986" s="4"/>
      <c r="F986" s="15"/>
    </row>
    <row r="987" spans="3:6" ht="15.75" customHeight="1">
      <c r="C987" s="112"/>
      <c r="D987" s="168"/>
      <c r="E987" s="4"/>
      <c r="F987" s="15"/>
    </row>
    <row r="988" spans="3:6" ht="15.75" customHeight="1">
      <c r="C988" s="112"/>
      <c r="D988" s="168"/>
      <c r="E988" s="4"/>
      <c r="F988" s="15"/>
    </row>
    <row r="989" spans="3:6" ht="15.75" customHeight="1">
      <c r="C989" s="112"/>
      <c r="D989" s="168"/>
      <c r="E989" s="4"/>
      <c r="F989" s="15"/>
    </row>
    <row r="990" spans="3:6" ht="15.75" customHeight="1">
      <c r="C990" s="112"/>
      <c r="D990" s="168"/>
      <c r="E990" s="4"/>
      <c r="F990" s="15"/>
    </row>
    <row r="991" spans="3:6" ht="15.75" customHeight="1">
      <c r="C991" s="112"/>
      <c r="D991" s="168"/>
      <c r="E991" s="4"/>
      <c r="F991" s="15"/>
    </row>
    <row r="992" spans="3:6" ht="15.75" customHeight="1">
      <c r="C992" s="112"/>
      <c r="D992" s="168"/>
      <c r="E992" s="4"/>
      <c r="F992" s="15"/>
    </row>
    <row r="993" spans="3:6" ht="15.75" customHeight="1">
      <c r="C993" s="112"/>
      <c r="D993" s="168"/>
      <c r="E993" s="4"/>
      <c r="F993" s="15"/>
    </row>
    <row r="994" spans="3:6" ht="15.75" customHeight="1">
      <c r="C994" s="112"/>
      <c r="D994" s="168"/>
      <c r="E994" s="4"/>
      <c r="F994" s="15"/>
    </row>
    <row r="995" spans="3:6" ht="15.75" customHeight="1">
      <c r="C995" s="112"/>
      <c r="D995" s="168"/>
      <c r="E995" s="4"/>
      <c r="F995" s="15"/>
    </row>
    <row r="996" spans="3:6" ht="15.75" customHeight="1">
      <c r="C996" s="112"/>
      <c r="D996" s="168"/>
      <c r="E996" s="4"/>
      <c r="F996" s="15"/>
    </row>
    <row r="997" spans="3:6" ht="15.75" customHeight="1">
      <c r="C997" s="112"/>
      <c r="D997" s="168"/>
      <c r="E997" s="4"/>
      <c r="F997" s="15"/>
    </row>
    <row r="998" spans="3:6" ht="15.75" customHeight="1">
      <c r="C998" s="112"/>
      <c r="D998" s="168"/>
      <c r="E998" s="4"/>
      <c r="F998" s="15"/>
    </row>
    <row r="999" spans="3:6" ht="15.75" customHeight="1">
      <c r="C999" s="112"/>
      <c r="D999" s="168"/>
      <c r="E999" s="4"/>
      <c r="F999" s="15"/>
    </row>
    <row r="1000" spans="3:6" ht="15.75" customHeight="1">
      <c r="C1000" s="112"/>
      <c r="D1000" s="168"/>
      <c r="E1000" s="4"/>
      <c r="F1000" s="15"/>
    </row>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000"/>
  <sheetViews>
    <sheetView workbookViewId="0">
      <selection activeCell="E7" sqref="E7"/>
    </sheetView>
  </sheetViews>
  <sheetFormatPr defaultColWidth="14.453125" defaultRowHeight="15" customHeight="1"/>
  <cols>
    <col min="1" max="1" width="3.453125" customWidth="1"/>
    <col min="2" max="2" width="18.81640625" customWidth="1"/>
    <col min="3" max="3" width="13.453125" customWidth="1"/>
    <col min="4" max="4" width="12.453125" customWidth="1"/>
    <col min="5" max="5" width="25" customWidth="1"/>
    <col min="6" max="6" width="20.453125" customWidth="1"/>
    <col min="7" max="7" width="35.453125" customWidth="1"/>
  </cols>
  <sheetData>
    <row r="1" spans="1:7" ht="29">
      <c r="A1" s="169" t="s">
        <v>218</v>
      </c>
      <c r="B1" s="170" t="s">
        <v>28</v>
      </c>
      <c r="C1" s="171" t="s">
        <v>249</v>
      </c>
      <c r="D1" s="172" t="s">
        <v>250</v>
      </c>
      <c r="E1" s="173" t="s">
        <v>251</v>
      </c>
      <c r="F1" s="173" t="s">
        <v>252</v>
      </c>
      <c r="G1" s="174" t="s">
        <v>9</v>
      </c>
    </row>
    <row r="2" spans="1:7" ht="15.75" customHeight="1">
      <c r="A2" s="127">
        <v>1</v>
      </c>
      <c r="B2" s="175" t="s">
        <v>76</v>
      </c>
      <c r="C2" s="13">
        <f>VLOOKUP(B2,Population!$B$1:$O$48,3,FALSE)</f>
        <v>7289191.0349999992</v>
      </c>
      <c r="D2" s="4">
        <v>2016</v>
      </c>
      <c r="E2" s="176">
        <v>379.45</v>
      </c>
      <c r="F2" s="176">
        <f>IF(D2=2019,E2,E2*(1+Variables!$C$9)^(2019-D2))</f>
        <v>418.2688494446499</v>
      </c>
      <c r="G2" s="177" t="s">
        <v>253</v>
      </c>
    </row>
    <row r="3" spans="1:7" ht="15.75" customHeight="1">
      <c r="A3" s="127">
        <v>2</v>
      </c>
      <c r="B3" s="175" t="s">
        <v>87</v>
      </c>
      <c r="C3" s="13">
        <f>VLOOKUP(B3,Population!$B$1:$O$48,3,FALSE)</f>
        <v>2407914.9499999997</v>
      </c>
      <c r="D3" s="4">
        <v>2015</v>
      </c>
      <c r="E3" s="178">
        <v>105.02</v>
      </c>
      <c r="F3" s="176">
        <f>IF(D3=2019,E3,E3*(1+Variables!$C$9)^(2019-D3))</f>
        <v>119.58406164038337</v>
      </c>
      <c r="G3" s="179" t="s">
        <v>254</v>
      </c>
    </row>
    <row r="4" spans="1:7" ht="15" customHeight="1">
      <c r="A4" s="127">
        <v>3</v>
      </c>
      <c r="B4" s="175" t="s">
        <v>103</v>
      </c>
      <c r="C4" s="13">
        <f>VLOOKUP(B4,Population!$B$1:$O$48,3,FALSE)</f>
        <v>1850212.0349999999</v>
      </c>
      <c r="D4" s="4">
        <v>2018</v>
      </c>
      <c r="E4" s="176">
        <v>217.52799999999999</v>
      </c>
      <c r="F4" s="176">
        <f>IF(D4=2019,E4,E4*(1+Variables!$C$9)^(2019-D4))</f>
        <v>224.70642399999997</v>
      </c>
      <c r="G4" s="177" t="s">
        <v>255</v>
      </c>
    </row>
    <row r="5" spans="1:7" ht="15" customHeight="1">
      <c r="A5" s="127">
        <v>4</v>
      </c>
      <c r="B5" s="175" t="s">
        <v>104</v>
      </c>
      <c r="C5" s="13">
        <f>VLOOKUP(B5,Population!$B$1:$O$48,3,FALSE)</f>
        <v>1136904.5449999999</v>
      </c>
      <c r="D5" s="4">
        <v>2019</v>
      </c>
      <c r="E5" s="176">
        <v>154</v>
      </c>
      <c r="F5" s="176">
        <f>IF(D5=2019,E5,E5*(1+Variables!$C$9)^(2019-D5))</f>
        <v>154</v>
      </c>
      <c r="G5" s="180" t="s">
        <v>256</v>
      </c>
    </row>
    <row r="6" spans="1:7" ht="15" customHeight="1">
      <c r="A6" s="127">
        <v>5</v>
      </c>
      <c r="B6" s="175" t="s">
        <v>105</v>
      </c>
      <c r="C6" s="13">
        <f>VLOOKUP(B6,Population!$B$1:$O$48,3,FALSE)</f>
        <v>536787.82499999995</v>
      </c>
      <c r="D6" s="4">
        <v>2018</v>
      </c>
      <c r="E6" s="176">
        <v>74.352999999999994</v>
      </c>
      <c r="F6" s="176">
        <f>IF(D6=2019,E6,E6*(1+Variables!$C$9)^(2019-D6))</f>
        <v>76.806648999999993</v>
      </c>
      <c r="G6" s="177" t="s">
        <v>255</v>
      </c>
    </row>
    <row r="7" spans="1:7" ht="15" customHeight="1">
      <c r="A7" s="127">
        <v>6</v>
      </c>
      <c r="B7" s="175" t="s">
        <v>106</v>
      </c>
      <c r="C7" s="13">
        <f>VLOOKUP(B7,Population!$B$1:$O$48,3,FALSE)</f>
        <v>901265.19</v>
      </c>
      <c r="D7" s="4">
        <v>2018</v>
      </c>
      <c r="E7" s="176">
        <v>113.18300000000001</v>
      </c>
      <c r="F7" s="176">
        <f>IF(D7=2019,E7,E7*(1+Variables!$C$9)^(2019-D7))</f>
        <v>116.91803899999999</v>
      </c>
      <c r="G7" s="177" t="s">
        <v>255</v>
      </c>
    </row>
    <row r="8" spans="1:7" ht="15" customHeight="1">
      <c r="A8" s="127">
        <v>7</v>
      </c>
      <c r="B8" s="175" t="s">
        <v>107</v>
      </c>
      <c r="C8" s="13">
        <f>VLOOKUP(B8,Population!$B$1:$O$48,3,FALSE)</f>
        <v>638855.21</v>
      </c>
      <c r="D8" s="4">
        <v>2018</v>
      </c>
      <c r="E8" s="181">
        <v>89.802999999999997</v>
      </c>
      <c r="F8" s="176">
        <f>IF(D8=2019,E8,E8*(1+Variables!$C$9)^(2019-D8))</f>
        <v>92.766498999999996</v>
      </c>
      <c r="G8" s="177" t="s">
        <v>255</v>
      </c>
    </row>
    <row r="9" spans="1:7" ht="15" customHeight="1">
      <c r="A9" s="127">
        <v>8</v>
      </c>
      <c r="B9" s="175" t="s">
        <v>108</v>
      </c>
      <c r="C9" s="13">
        <f>VLOOKUP(B9,Population!$B$1:$O$48,3,FALSE)</f>
        <v>415815.05</v>
      </c>
      <c r="D9" s="4">
        <v>2018</v>
      </c>
      <c r="E9" s="176">
        <v>37.947000000000003</v>
      </c>
      <c r="F9" s="176">
        <f>IF(D9=2019,E9,E9*(1+Variables!$C$9)^(2019-D9))</f>
        <v>39.199250999999997</v>
      </c>
      <c r="G9" s="177" t="s">
        <v>255</v>
      </c>
    </row>
    <row r="10" spans="1:7" ht="15" customHeight="1">
      <c r="A10" s="127">
        <v>9</v>
      </c>
      <c r="B10" s="175" t="s">
        <v>109</v>
      </c>
      <c r="C10" s="13">
        <f>VLOOKUP(B10,Population!$B$1:$O$48,3,FALSE)</f>
        <v>487050.79499999993</v>
      </c>
      <c r="D10" s="4">
        <v>2018</v>
      </c>
      <c r="E10" s="176">
        <v>45.725999999999999</v>
      </c>
      <c r="F10" s="176">
        <f>IF(D10=2019,E10,E10*(1+Variables!$C$9)^(2019-D10))</f>
        <v>47.234957999999992</v>
      </c>
      <c r="G10" s="177" t="s">
        <v>255</v>
      </c>
    </row>
    <row r="11" spans="1:7" ht="15" customHeight="1">
      <c r="A11" s="127">
        <v>10</v>
      </c>
      <c r="B11" s="175" t="s">
        <v>110</v>
      </c>
      <c r="C11" s="13">
        <f>VLOOKUP(B11,Population!$B$1:$O$48,3,FALSE)</f>
        <v>508196.29</v>
      </c>
      <c r="D11" s="4">
        <v>2018</v>
      </c>
      <c r="E11" s="181">
        <v>26.446999999999999</v>
      </c>
      <c r="F11" s="176">
        <f>IF(D11=2019,E11,E11*(1+Variables!$C$9)^(2019-D11))</f>
        <v>27.319750999999997</v>
      </c>
      <c r="G11" s="177" t="s">
        <v>255</v>
      </c>
    </row>
    <row r="12" spans="1:7" ht="15" customHeight="1">
      <c r="A12" s="127">
        <v>11</v>
      </c>
      <c r="B12" s="175" t="s">
        <v>125</v>
      </c>
      <c r="C12" s="13">
        <f>VLOOKUP(B12,Population!$B$1:$O$48,3,FALSE)</f>
        <v>357610.88999999996</v>
      </c>
      <c r="D12" s="4">
        <v>2016</v>
      </c>
      <c r="E12" s="176">
        <f>0.023*1131</f>
        <v>26.012999999999998</v>
      </c>
      <c r="F12" s="176">
        <f>IF(D12=2019,E12,E12*(1+Variables!$C$9)^(2019-D12))</f>
        <v>28.674206300180991</v>
      </c>
      <c r="G12" s="177" t="s">
        <v>253</v>
      </c>
    </row>
    <row r="13" spans="1:7" ht="15" customHeight="1">
      <c r="A13" s="127">
        <v>12</v>
      </c>
      <c r="B13" s="175" t="s">
        <v>152</v>
      </c>
      <c r="C13" s="13">
        <f>VLOOKUP(B13,Population!$B$1:$O$48,3,FALSE)</f>
        <v>406442.54</v>
      </c>
      <c r="D13" s="4">
        <v>2018</v>
      </c>
      <c r="E13" s="181">
        <v>16.818999999999999</v>
      </c>
      <c r="F13" s="176">
        <f>IF(D13=2019,E13,E13*(1+Variables!$C$9)^(2019-D13))</f>
        <v>17.374026999999998</v>
      </c>
      <c r="G13" s="177" t="s">
        <v>255</v>
      </c>
    </row>
    <row r="14" spans="1:7" ht="15" customHeight="1">
      <c r="A14" s="127">
        <v>13</v>
      </c>
      <c r="B14" s="175" t="s">
        <v>181</v>
      </c>
      <c r="C14" s="13">
        <f>VLOOKUP(B14,Population!$B$1:$O$48,3,FALSE)</f>
        <v>457980.17999999993</v>
      </c>
      <c r="D14" s="99">
        <v>2019</v>
      </c>
      <c r="E14" s="182">
        <v>82.9</v>
      </c>
      <c r="F14" s="176">
        <f>IF(D14=2019,E14,E14*(1+Variables!$C$9)^(2019-D14))</f>
        <v>82.9</v>
      </c>
      <c r="G14" s="183" t="s">
        <v>257</v>
      </c>
    </row>
    <row r="15" spans="1:7" ht="15" customHeight="1">
      <c r="A15" s="127">
        <v>14</v>
      </c>
      <c r="B15" s="175" t="s">
        <v>206</v>
      </c>
      <c r="C15" s="13">
        <f>VLOOKUP(B15,Population!$B$1:$O$48,3,FALSE)</f>
        <v>319243.88999999996</v>
      </c>
      <c r="D15" s="4">
        <v>2018</v>
      </c>
      <c r="E15" s="176">
        <v>24.681999999999999</v>
      </c>
      <c r="F15" s="176">
        <f>IF(D15=2019,E15,E15*(1+Variables!$C$9)^(2019-D15))</f>
        <v>25.496505999999997</v>
      </c>
      <c r="G15" s="177" t="s">
        <v>255</v>
      </c>
    </row>
    <row r="16" spans="1:7" ht="15" customHeight="1">
      <c r="A16" s="127">
        <v>15</v>
      </c>
      <c r="B16" s="175" t="s">
        <v>207</v>
      </c>
      <c r="C16" s="13">
        <f>VLOOKUP(B16,Population!$B$1:$O$48,3,FALSE)</f>
        <v>279775.61499999999</v>
      </c>
      <c r="D16" s="4">
        <v>2019</v>
      </c>
      <c r="E16" s="176">
        <v>19.38</v>
      </c>
      <c r="F16" s="176">
        <f>IF(D16=2019,E16,E16*(1+Variables!$C$9)^(2019-D16))</f>
        <v>19.38</v>
      </c>
      <c r="G16" s="183" t="s">
        <v>257</v>
      </c>
    </row>
    <row r="17" spans="1:7" ht="15" customHeight="1">
      <c r="A17" s="127">
        <v>16</v>
      </c>
      <c r="B17" s="175" t="s">
        <v>208</v>
      </c>
      <c r="C17" s="13">
        <f>VLOOKUP(B17,Population!$B$1:$O$48,3,FALSE)</f>
        <v>466239.23499999993</v>
      </c>
      <c r="D17" s="4">
        <v>2018</v>
      </c>
      <c r="E17" s="176">
        <v>30.645</v>
      </c>
      <c r="F17" s="176">
        <f>IF(D17=2019,E17,E17*(1+Variables!$C$9)^(2019-D17))</f>
        <v>31.656284999999997</v>
      </c>
      <c r="G17" s="4" t="s">
        <v>255</v>
      </c>
    </row>
    <row r="18" spans="1:7" ht="15" customHeight="1">
      <c r="A18" s="127">
        <v>17</v>
      </c>
      <c r="B18" s="175" t="s">
        <v>209</v>
      </c>
      <c r="C18" s="13">
        <f>VLOOKUP(B18,Population!$B$1:$O$48,3,FALSE)</f>
        <v>440228.84499999997</v>
      </c>
      <c r="D18" s="4">
        <v>2019</v>
      </c>
      <c r="E18" s="182">
        <v>25.896000000000001</v>
      </c>
      <c r="F18" s="176">
        <f>IF(D18=2019,E18,E18*(1+Variables!$C$9)^(2019-D18))</f>
        <v>25.896000000000001</v>
      </c>
      <c r="G18" s="183" t="s">
        <v>257</v>
      </c>
    </row>
    <row r="19" spans="1:7" ht="15" customHeight="1">
      <c r="A19" s="127">
        <v>18</v>
      </c>
      <c r="B19" s="175" t="s">
        <v>210</v>
      </c>
      <c r="C19" s="13">
        <f>VLOOKUP(B19,Population!$B$1:$O$48,3,FALSE)</f>
        <v>278741.32999999996</v>
      </c>
      <c r="D19" s="4">
        <v>2018</v>
      </c>
      <c r="E19" s="176">
        <v>15.742000000000001</v>
      </c>
      <c r="F19" s="176">
        <f>IF(D19=2019,E19,E19*(1+Variables!$C$9)^(2019-D19))</f>
        <v>16.261485999999998</v>
      </c>
      <c r="G19" s="183" t="s">
        <v>255</v>
      </c>
    </row>
    <row r="20" spans="1:7" ht="15" customHeight="1">
      <c r="A20" s="127">
        <v>19</v>
      </c>
      <c r="B20" s="175" t="s">
        <v>211</v>
      </c>
      <c r="C20" s="13">
        <f>VLOOKUP(B20,Population!$B$1:$O$48,3,FALSE)</f>
        <v>281429.05</v>
      </c>
      <c r="D20" s="4">
        <v>2013</v>
      </c>
      <c r="E20" s="176">
        <v>27.25</v>
      </c>
      <c r="F20" s="176">
        <f>IF(D20=2019,E20,E20*(1+Variables!$C$9)^(2019-D20))</f>
        <v>33.110705594037988</v>
      </c>
      <c r="G20" s="183" t="s">
        <v>258</v>
      </c>
    </row>
    <row r="21" spans="1:7" ht="15" customHeight="1">
      <c r="A21" s="127">
        <v>20</v>
      </c>
      <c r="B21" s="175" t="s">
        <v>212</v>
      </c>
      <c r="C21" s="13">
        <f>VLOOKUP(B21,Population!$B$1:$O$48,3,FALSE)</f>
        <v>170510.86499999999</v>
      </c>
      <c r="D21" s="4">
        <v>2019</v>
      </c>
      <c r="E21" s="176">
        <v>15</v>
      </c>
      <c r="F21" s="176">
        <f>IF(D21=2019,E21,E21*(1+Variables!$C$9)^(2019-D21))</f>
        <v>15</v>
      </c>
      <c r="G21" s="183" t="s">
        <v>257</v>
      </c>
    </row>
    <row r="22" spans="1:7" ht="15" customHeight="1">
      <c r="A22" s="127">
        <v>21</v>
      </c>
      <c r="B22" s="175" t="s">
        <v>213</v>
      </c>
      <c r="C22" s="13">
        <f>VLOOKUP(B22,Population!$B$1:$O$48,3,FALSE)</f>
        <v>180236.59499999997</v>
      </c>
      <c r="D22" s="4">
        <v>2018</v>
      </c>
      <c r="E22" s="176">
        <v>33.963999999999999</v>
      </c>
      <c r="F22" s="176">
        <f>IF(D22=2019,E22,E22*(1+Variables!$C$9)^(2019-D22))</f>
        <v>35.084811999999992</v>
      </c>
      <c r="G22" s="177" t="s">
        <v>255</v>
      </c>
    </row>
    <row r="23" spans="1:7" ht="15" customHeight="1">
      <c r="A23" s="127">
        <v>22</v>
      </c>
      <c r="B23" s="175" t="s">
        <v>214</v>
      </c>
      <c r="C23" s="13">
        <f>VLOOKUP(B23,Population!$B$1:$O$48,3,FALSE)</f>
        <v>159140.83499999999</v>
      </c>
      <c r="D23" s="99">
        <v>2019</v>
      </c>
      <c r="E23" s="182">
        <v>31.3</v>
      </c>
      <c r="F23" s="176">
        <f>IF(D23=2019,E23,E23*(1+Variables!$C$9)^(2019-D23))</f>
        <v>31.3</v>
      </c>
      <c r="G23" s="183" t="s">
        <v>257</v>
      </c>
    </row>
    <row r="24" spans="1:7" ht="15" customHeight="1">
      <c r="A24" s="127">
        <v>23</v>
      </c>
      <c r="B24" s="175" t="s">
        <v>215</v>
      </c>
      <c r="C24" s="13">
        <f>VLOOKUP(B24,Population!$B$1:$O$48,3,FALSE)</f>
        <v>122489.18499999998</v>
      </c>
      <c r="D24" s="4">
        <v>2016</v>
      </c>
      <c r="E24" s="181">
        <v>13.5</v>
      </c>
      <c r="F24" s="176">
        <f>IF(D24=2019,E24,E24*(1+Variables!$C$9)^(2019-D24))</f>
        <v>14.881089649499996</v>
      </c>
      <c r="G24" s="177" t="s">
        <v>253</v>
      </c>
    </row>
    <row r="25" spans="1:7" ht="15" customHeight="1">
      <c r="A25" s="127">
        <v>24</v>
      </c>
      <c r="B25" s="175" t="s">
        <v>216</v>
      </c>
      <c r="C25" s="13">
        <f>VLOOKUP(B25,Population!$B$1:$O$48,3,FALSE)</f>
        <v>76871.024999999994</v>
      </c>
      <c r="D25" s="99">
        <v>2016</v>
      </c>
      <c r="E25" s="176">
        <v>7.71</v>
      </c>
      <c r="F25" s="176">
        <f>IF(D25=2019,E25,E25*(1+Variables!$C$9)^(2019-D25))</f>
        <v>8.4987556442699983</v>
      </c>
      <c r="G25" s="177" t="s">
        <v>253</v>
      </c>
    </row>
    <row r="26" spans="1:7" ht="15" customHeight="1">
      <c r="A26" s="127">
        <v>25</v>
      </c>
      <c r="B26" s="175" t="s">
        <v>217</v>
      </c>
      <c r="C26" s="13">
        <f>VLOOKUP(B26,Population!$B$1:$O$48,3,FALSE)</f>
        <v>159296.12999999998</v>
      </c>
      <c r="D26" s="99">
        <v>2016</v>
      </c>
      <c r="E26" s="176">
        <v>20.41</v>
      </c>
      <c r="F26" s="176">
        <f>IF(D26=2019,E26,E26*(1+Variables!$C$9)^(2019-D26))</f>
        <v>22.498002944169993</v>
      </c>
      <c r="G26" s="177" t="s">
        <v>253</v>
      </c>
    </row>
    <row r="27" spans="1:7" ht="15" customHeight="1">
      <c r="A27" s="127">
        <v>26</v>
      </c>
      <c r="B27" s="175" t="s">
        <v>219</v>
      </c>
      <c r="C27" s="13">
        <f>VLOOKUP(B27,Population!$B$1:$O$48,3,FALSE)</f>
        <v>43486.659999999996</v>
      </c>
      <c r="D27" s="99">
        <v>2019</v>
      </c>
      <c r="E27" s="182">
        <v>3.7</v>
      </c>
      <c r="F27" s="176">
        <f>IF(D27=2019,E27,E27*(1+Variables!$C$9)^(2019-D27))</f>
        <v>3.7</v>
      </c>
      <c r="G27" s="177" t="s">
        <v>257</v>
      </c>
    </row>
    <row r="28" spans="1:7" ht="15" customHeight="1">
      <c r="A28" s="127">
        <v>27</v>
      </c>
      <c r="B28" s="175" t="s">
        <v>220</v>
      </c>
      <c r="C28" s="13">
        <f>VLOOKUP(B28,Population!$B$1:$O$48,3,FALSE)</f>
        <v>8155.5249999999996</v>
      </c>
      <c r="D28" s="99">
        <v>2016</v>
      </c>
      <c r="E28" s="176">
        <f>0.367+0.18</f>
        <v>0.54699999999999993</v>
      </c>
      <c r="F28" s="176">
        <f>IF(D28=2019,E28,E28*(1+Variables!$C$9)^(2019-D28))</f>
        <v>0.60295970653899977</v>
      </c>
      <c r="G28" s="177" t="s">
        <v>253</v>
      </c>
    </row>
    <row r="29" spans="1:7" ht="15" customHeight="1">
      <c r="A29" s="127">
        <v>28</v>
      </c>
      <c r="B29" s="175" t="s">
        <v>221</v>
      </c>
      <c r="C29" s="13">
        <f>VLOOKUP(B29,Population!$B$1:$O$48,3,FALSE)</f>
        <v>48807.289999999994</v>
      </c>
      <c r="D29" s="99">
        <v>2019</v>
      </c>
      <c r="E29" s="182">
        <v>5.2</v>
      </c>
      <c r="F29" s="176">
        <f>IF(D29=2019,E29,E29*(1+Variables!$C$9)^(2019-D29))</f>
        <v>5.2</v>
      </c>
      <c r="G29" s="177" t="s">
        <v>257</v>
      </c>
    </row>
    <row r="30" spans="1:7" ht="15" customHeight="1">
      <c r="A30" s="127">
        <v>29</v>
      </c>
      <c r="B30" s="175" t="s">
        <v>222</v>
      </c>
      <c r="C30" s="13">
        <f>VLOOKUP(B30,Population!$B$1:$O$48,3,FALSE)</f>
        <v>49148.329999999994</v>
      </c>
      <c r="D30" s="99">
        <v>2019</v>
      </c>
      <c r="E30" s="182">
        <v>3.28</v>
      </c>
      <c r="F30" s="176">
        <f>IF(D30=2019,E30,E30*(1+Variables!$C$9)^(2019-D30))</f>
        <v>3.28</v>
      </c>
      <c r="G30" s="177" t="s">
        <v>257</v>
      </c>
    </row>
    <row r="31" spans="1:7" ht="15" customHeight="1">
      <c r="A31" s="127">
        <v>30</v>
      </c>
      <c r="B31" s="175" t="s">
        <v>223</v>
      </c>
      <c r="C31" s="13">
        <f>VLOOKUP(B31,Population!$B$1:$O$48,3,FALSE)</f>
        <v>20084.82</v>
      </c>
      <c r="D31" s="99">
        <v>2019</v>
      </c>
      <c r="E31" s="182">
        <v>3.4</v>
      </c>
      <c r="F31" s="176">
        <f>IF(D31=2019,E31,E31*(1+Variables!$C$9)^(2019-D31))</f>
        <v>3.4</v>
      </c>
      <c r="G31" s="177" t="s">
        <v>257</v>
      </c>
    </row>
    <row r="32" spans="1:7" ht="15" customHeight="1">
      <c r="A32" s="127">
        <v>31</v>
      </c>
      <c r="B32" s="175" t="s">
        <v>224</v>
      </c>
      <c r="C32" s="13">
        <f>VLOOKUP(B32,Population!$B$1:$O$48,3,FALSE)</f>
        <v>30555.559999999998</v>
      </c>
      <c r="D32" s="99">
        <v>2019</v>
      </c>
      <c r="E32" s="182">
        <v>3.63</v>
      </c>
      <c r="F32" s="176">
        <f>IF(D32=2019,E32,E32*(1+Variables!$C$9)^(2019-D32))</f>
        <v>3.63</v>
      </c>
      <c r="G32" s="177" t="s">
        <v>257</v>
      </c>
    </row>
    <row r="33" spans="1:7" ht="15" customHeight="1">
      <c r="A33" s="127">
        <v>32</v>
      </c>
      <c r="B33" s="175" t="s">
        <v>225</v>
      </c>
      <c r="C33" s="13">
        <f>VLOOKUP(B33,Population!$B$1:$O$48,3,FALSE)</f>
        <v>28124.634999999998</v>
      </c>
      <c r="D33" s="99">
        <v>2019</v>
      </c>
      <c r="E33" s="182">
        <v>3.1</v>
      </c>
      <c r="F33" s="176">
        <f>IF(D33=2019,E33,E33*(1+Variables!$C$9)^(2019-D33))</f>
        <v>3.1</v>
      </c>
      <c r="G33" s="177" t="s">
        <v>257</v>
      </c>
    </row>
    <row r="34" spans="1:7" ht="15" customHeight="1">
      <c r="A34" s="127">
        <v>33</v>
      </c>
      <c r="B34" s="175" t="s">
        <v>226</v>
      </c>
      <c r="C34" s="13">
        <f>VLOOKUP(B34,Population!$B$1:$O$48,3,FALSE)</f>
        <v>120585.04499999998</v>
      </c>
      <c r="D34" s="99">
        <v>2016</v>
      </c>
      <c r="E34" s="182">
        <v>10.9</v>
      </c>
      <c r="F34" s="176">
        <f>IF(D34=2019,E34,E34*(1+Variables!$C$9)^(2019-D34))</f>
        <v>12.015102013299996</v>
      </c>
      <c r="G34" s="183" t="s">
        <v>257</v>
      </c>
    </row>
    <row r="35" spans="1:7" ht="15" customHeight="1">
      <c r="A35" s="127">
        <v>34</v>
      </c>
      <c r="B35" s="175" t="s">
        <v>227</v>
      </c>
      <c r="C35" s="13">
        <f>VLOOKUP(B35,Population!$B$1:$O$48,3,FALSE)</f>
        <v>107099.75499999999</v>
      </c>
      <c r="D35" s="99">
        <v>2016</v>
      </c>
      <c r="E35" s="182">
        <v>7.47</v>
      </c>
      <c r="F35" s="176">
        <f>IF(D35=2019,E35,E35*(1+Variables!$C$9)^(2019-D35))</f>
        <v>8.2342029393899967</v>
      </c>
      <c r="G35" s="183" t="s">
        <v>257</v>
      </c>
    </row>
    <row r="36" spans="1:7" ht="15" customHeight="1">
      <c r="A36" s="127">
        <v>35</v>
      </c>
      <c r="B36" s="175" t="s">
        <v>228</v>
      </c>
      <c r="C36" s="13">
        <f>VLOOKUP(B36,Population!$B$1:$O$48,3,FALSE)</f>
        <v>489129.51499999996</v>
      </c>
      <c r="D36" s="99">
        <v>2012</v>
      </c>
      <c r="E36" s="176">
        <v>19.7</v>
      </c>
      <c r="F36" s="176">
        <f>IF(D36=2019,E36,E36*(1+Variables!$C$9)^(2019-D36))</f>
        <v>24.726831923274581</v>
      </c>
      <c r="G36" s="177" t="s">
        <v>253</v>
      </c>
    </row>
    <row r="37" spans="1:7" ht="15" customHeight="1">
      <c r="A37" s="127">
        <v>36</v>
      </c>
      <c r="B37" s="175" t="s">
        <v>229</v>
      </c>
      <c r="C37" s="13">
        <f>VLOOKUP(B37,Population!$B$1:$O$48,3,FALSE)</f>
        <v>262321.67499999999</v>
      </c>
      <c r="D37" s="99">
        <v>2014</v>
      </c>
      <c r="E37" s="176">
        <v>21.6</v>
      </c>
      <c r="F37" s="176">
        <f>IF(D37=2019,E37,E37*(1+Variables!$C$9)^(2019-D37))</f>
        <v>25.407115316792478</v>
      </c>
      <c r="G37" s="177" t="s">
        <v>253</v>
      </c>
    </row>
    <row r="38" spans="1:7" ht="15" customHeight="1">
      <c r="A38" s="127">
        <v>37</v>
      </c>
      <c r="B38" s="175" t="s">
        <v>230</v>
      </c>
      <c r="C38" s="13">
        <f>VLOOKUP(B38,Population!$B$1:$O$48,3,FALSE)</f>
        <v>122268.93</v>
      </c>
      <c r="D38" s="99">
        <v>2016</v>
      </c>
      <c r="E38" s="176">
        <v>30.54</v>
      </c>
      <c r="F38" s="176">
        <f>IF(D38=2019,E38,E38*(1+Variables!$C$9)^(2019-D38))</f>
        <v>33.664331695979989</v>
      </c>
      <c r="G38" s="177" t="s">
        <v>253</v>
      </c>
    </row>
    <row r="39" spans="1:7" ht="15" customHeight="1">
      <c r="A39" s="127">
        <v>38</v>
      </c>
      <c r="B39" s="175" t="s">
        <v>231</v>
      </c>
      <c r="C39" s="13">
        <f>VLOOKUP(B39,Population!$B$1:$O$48,3,FALSE)</f>
        <v>37180.140301499989</v>
      </c>
      <c r="D39" s="99">
        <v>2019</v>
      </c>
      <c r="E39" s="182">
        <v>3.6</v>
      </c>
      <c r="F39" s="176">
        <f>IF(D39=2019,E39,E39*(1+Variables!$C$9)^(2019-D39))</f>
        <v>3.6</v>
      </c>
      <c r="G39" s="183" t="s">
        <v>257</v>
      </c>
    </row>
    <row r="40" spans="1:7" ht="15" customHeight="1">
      <c r="A40" s="127">
        <v>39</v>
      </c>
      <c r="B40" s="175" t="s">
        <v>232</v>
      </c>
      <c r="C40" s="13">
        <f>VLOOKUP(B40,Population!$B$1:$O$48,3,FALSE)</f>
        <v>68124.76999999999</v>
      </c>
      <c r="D40" s="99">
        <v>2019</v>
      </c>
      <c r="E40" s="182">
        <v>5.87</v>
      </c>
      <c r="F40" s="176">
        <f>IF(D40=2019,E40,E40*(1+Variables!$C$9)^(2019-D40))</f>
        <v>5.87</v>
      </c>
      <c r="G40" s="183" t="s">
        <v>257</v>
      </c>
    </row>
    <row r="41" spans="1:7" ht="15" customHeight="1">
      <c r="A41" s="127">
        <v>40</v>
      </c>
      <c r="B41" s="175" t="s">
        <v>233</v>
      </c>
      <c r="C41" s="13">
        <f>VLOOKUP(B41,Population!$B$1:$O$48,3,FALSE)</f>
        <v>3174.6795464999987</v>
      </c>
      <c r="D41" s="99">
        <v>2019</v>
      </c>
      <c r="E41" s="182">
        <v>0.2</v>
      </c>
      <c r="F41" s="176">
        <f>IF(D41=2019,E41,E41*(1+Variables!$C$9)^(2019-D41))</f>
        <v>0.2</v>
      </c>
      <c r="G41" s="183" t="s">
        <v>257</v>
      </c>
    </row>
    <row r="42" spans="1:7" ht="15" customHeight="1">
      <c r="A42" s="127">
        <v>41</v>
      </c>
      <c r="B42" s="175" t="s">
        <v>234</v>
      </c>
      <c r="C42" s="13">
        <f>VLOOKUP(B42,Population!$B$1:$O$48,3,FALSE)</f>
        <v>53105.814999999995</v>
      </c>
      <c r="D42" s="99">
        <v>2019</v>
      </c>
      <c r="E42" s="182">
        <v>4</v>
      </c>
      <c r="F42" s="176">
        <f>IF(D42=2019,E42,E42*(1+Variables!$C$9)^(2019-D42))</f>
        <v>4</v>
      </c>
      <c r="G42" s="183" t="s">
        <v>257</v>
      </c>
    </row>
    <row r="43" spans="1:7" ht="15" customHeight="1">
      <c r="A43" s="127">
        <v>42</v>
      </c>
      <c r="B43" s="175" t="s">
        <v>235</v>
      </c>
      <c r="C43" s="13">
        <f>VLOOKUP(B43,Population!$B$1:$O$48,3,FALSE)</f>
        <v>46203.814999999995</v>
      </c>
      <c r="D43" s="99">
        <v>2019</v>
      </c>
      <c r="E43" s="182">
        <v>5.0999999999999996</v>
      </c>
      <c r="F43" s="176">
        <f>IF(D43=2019,E43,E43*(1+Variables!$C$9)^(2019-D43))</f>
        <v>5.0999999999999996</v>
      </c>
      <c r="G43" s="183" t="s">
        <v>257</v>
      </c>
    </row>
    <row r="44" spans="1:7" ht="15" customHeight="1">
      <c r="A44" s="127">
        <v>43</v>
      </c>
      <c r="B44" s="175" t="s">
        <v>236</v>
      </c>
      <c r="C44" s="13">
        <f>VLOOKUP(B44,Population!$B$1:$O$48,3,FALSE)</f>
        <v>24397.554999999997</v>
      </c>
      <c r="D44" s="99">
        <v>2004</v>
      </c>
      <c r="E44" s="176">
        <v>2.68</v>
      </c>
      <c r="F44" s="176">
        <f>IF(D44=2019,E44,E44*(1+Variables!$C$9)^(2019-D44))</f>
        <v>4.3615375600657629</v>
      </c>
      <c r="G44" s="177" t="s">
        <v>253</v>
      </c>
    </row>
    <row r="45" spans="1:7" ht="15" customHeight="1">
      <c r="A45" s="127">
        <v>44</v>
      </c>
      <c r="B45" s="175" t="s">
        <v>241</v>
      </c>
      <c r="C45" s="13">
        <f>VLOOKUP(B45,Population!$B$1:$O$48,3,FALSE)</f>
        <v>92969.172964499958</v>
      </c>
      <c r="D45" s="99">
        <v>2015</v>
      </c>
      <c r="E45" s="176">
        <v>9.34</v>
      </c>
      <c r="F45" s="176">
        <f>IF(D45=2019,E45,E45*(1+Variables!$C$9)^(2019-D45))</f>
        <v>10.635261242822136</v>
      </c>
      <c r="G45" s="177" t="s">
        <v>253</v>
      </c>
    </row>
    <row r="46" spans="1:7" ht="15" customHeight="1">
      <c r="A46" s="127">
        <v>45</v>
      </c>
      <c r="B46" s="175" t="s">
        <v>242</v>
      </c>
      <c r="C46" s="13">
        <f>VLOOKUP(B46,Population!$B$1:$O$48,3,FALSE)</f>
        <v>23970.239999999998</v>
      </c>
      <c r="D46" s="99">
        <v>2019</v>
      </c>
      <c r="E46" s="182">
        <v>3.8</v>
      </c>
      <c r="F46" s="176">
        <f>IF(D46=2019,E46,E46*(1+Variables!$C$9)^(2019-D46))</f>
        <v>3.8</v>
      </c>
      <c r="G46" s="183" t="s">
        <v>257</v>
      </c>
    </row>
    <row r="47" spans="1:7" ht="15" customHeight="1">
      <c r="A47" s="127">
        <v>46</v>
      </c>
      <c r="B47" s="175" t="s">
        <v>243</v>
      </c>
      <c r="C47" s="13">
        <f>VLOOKUP(B47,Population!$B$1:$O$48,3,FALSE)</f>
        <v>30635.744999999995</v>
      </c>
      <c r="D47" s="99">
        <v>2016</v>
      </c>
      <c r="E47" s="176">
        <v>3.36</v>
      </c>
      <c r="F47" s="176">
        <f>IF(D47=2019,E47,E47*(1+Variables!$C$9)^(2019-D47))</f>
        <v>3.7037378683199988</v>
      </c>
      <c r="G47" s="177" t="s">
        <v>253</v>
      </c>
    </row>
    <row r="48" spans="1:7" ht="15" customHeight="1">
      <c r="A48" s="184">
        <v>47</v>
      </c>
      <c r="B48" s="185" t="s">
        <v>244</v>
      </c>
      <c r="C48" s="186">
        <f>VLOOKUP(B48,Population!$B$1:$O$48,3,FALSE)</f>
        <v>63964</v>
      </c>
      <c r="D48" s="187">
        <v>2019</v>
      </c>
      <c r="E48" s="188">
        <v>4.2</v>
      </c>
      <c r="F48" s="189">
        <f>IF(D48=2019,E48,E48*(1+Variables!$C$9)^(2019-D48))</f>
        <v>4.2</v>
      </c>
      <c r="G48" s="183" t="s">
        <v>257</v>
      </c>
    </row>
    <row r="49" spans="2:7" ht="15.75" customHeight="1">
      <c r="C49" s="99"/>
      <c r="D49" s="99"/>
      <c r="E49" s="176"/>
      <c r="F49" s="176"/>
      <c r="G49" s="190"/>
    </row>
    <row r="50" spans="2:7" ht="15.75" customHeight="1">
      <c r="C50" s="99"/>
      <c r="D50" s="99"/>
      <c r="E50" s="176"/>
      <c r="F50" s="176"/>
      <c r="G50" s="190"/>
    </row>
    <row r="51" spans="2:7" ht="15.75" customHeight="1">
      <c r="C51" s="99"/>
      <c r="D51" s="99"/>
      <c r="E51" s="176"/>
      <c r="F51" s="176"/>
      <c r="G51" s="190"/>
    </row>
    <row r="52" spans="2:7" ht="15.75" customHeight="1">
      <c r="B52" s="4"/>
      <c r="C52" s="99"/>
      <c r="D52" s="99"/>
      <c r="E52" s="176"/>
      <c r="F52" s="176"/>
      <c r="G52" s="190"/>
    </row>
    <row r="53" spans="2:7" ht="15.75" customHeight="1">
      <c r="B53" s="4"/>
      <c r="C53" s="99"/>
      <c r="D53" s="99"/>
      <c r="E53" s="176"/>
      <c r="F53" s="176"/>
      <c r="G53" s="190"/>
    </row>
    <row r="54" spans="2:7" ht="15.75" customHeight="1">
      <c r="B54" s="4"/>
      <c r="C54" s="99"/>
      <c r="D54" s="99"/>
      <c r="E54" s="176"/>
      <c r="F54" s="176"/>
      <c r="G54" s="190"/>
    </row>
    <row r="55" spans="2:7" ht="15.75" customHeight="1">
      <c r="B55" s="4"/>
      <c r="C55" s="99"/>
      <c r="D55" s="99"/>
      <c r="E55" s="176"/>
      <c r="F55" s="176"/>
      <c r="G55" s="190"/>
    </row>
    <row r="56" spans="2:7" ht="15.75" customHeight="1">
      <c r="B56" s="4"/>
      <c r="C56" s="99"/>
      <c r="D56" s="99"/>
      <c r="E56" s="176"/>
      <c r="F56" s="176"/>
      <c r="G56" s="190"/>
    </row>
    <row r="57" spans="2:7" ht="15.75" customHeight="1">
      <c r="B57" s="4"/>
      <c r="C57" s="99"/>
      <c r="D57" s="99"/>
      <c r="E57" s="176"/>
      <c r="F57" s="176"/>
      <c r="G57" s="190"/>
    </row>
    <row r="58" spans="2:7" ht="15.75" customHeight="1">
      <c r="B58" s="4"/>
      <c r="C58" s="99"/>
      <c r="D58" s="99"/>
      <c r="E58" s="176"/>
      <c r="F58" s="176"/>
      <c r="G58" s="190"/>
    </row>
    <row r="59" spans="2:7" ht="15.75" customHeight="1">
      <c r="B59" s="4"/>
      <c r="C59" s="99"/>
      <c r="D59" s="99"/>
      <c r="E59" s="176"/>
      <c r="F59" s="176"/>
      <c r="G59" s="190"/>
    </row>
    <row r="60" spans="2:7" ht="15.75" customHeight="1">
      <c r="B60" s="4"/>
      <c r="C60" s="99"/>
      <c r="D60" s="99"/>
      <c r="E60" s="176"/>
      <c r="F60" s="176"/>
      <c r="G60" s="190"/>
    </row>
    <row r="61" spans="2:7" ht="15.75" customHeight="1">
      <c r="B61" s="4"/>
      <c r="C61" s="99"/>
      <c r="D61" s="99"/>
      <c r="E61" s="176"/>
      <c r="F61" s="176"/>
      <c r="G61" s="190"/>
    </row>
    <row r="62" spans="2:7" ht="15.75" customHeight="1">
      <c r="B62" s="4"/>
      <c r="C62" s="99"/>
      <c r="D62" s="99"/>
      <c r="E62" s="176"/>
      <c r="F62" s="176"/>
      <c r="G62" s="190"/>
    </row>
    <row r="63" spans="2:7" ht="15.75" customHeight="1">
      <c r="B63" s="4"/>
      <c r="C63" s="99"/>
      <c r="D63" s="99"/>
      <c r="E63" s="176"/>
      <c r="F63" s="176"/>
      <c r="G63" s="190"/>
    </row>
    <row r="64" spans="2:7" ht="15.75" customHeight="1">
      <c r="B64" s="4"/>
      <c r="C64" s="99"/>
      <c r="D64" s="99"/>
      <c r="E64" s="176"/>
      <c r="F64" s="176"/>
      <c r="G64" s="190"/>
    </row>
    <row r="65" spans="2:7" ht="15.75" customHeight="1">
      <c r="B65" s="4"/>
      <c r="C65" s="99"/>
      <c r="D65" s="99"/>
      <c r="E65" s="176"/>
      <c r="F65" s="176"/>
      <c r="G65" s="190"/>
    </row>
    <row r="66" spans="2:7" ht="15.75" customHeight="1">
      <c r="B66" s="4"/>
      <c r="C66" s="99"/>
      <c r="D66" s="99"/>
      <c r="E66" s="176"/>
      <c r="F66" s="176"/>
      <c r="G66" s="190"/>
    </row>
    <row r="67" spans="2:7" ht="15.75" customHeight="1">
      <c r="B67" s="4"/>
      <c r="C67" s="99"/>
      <c r="D67" s="99"/>
      <c r="E67" s="176"/>
      <c r="F67" s="176"/>
      <c r="G67" s="190"/>
    </row>
    <row r="68" spans="2:7" ht="15.75" customHeight="1">
      <c r="B68" s="4"/>
      <c r="C68" s="99"/>
      <c r="D68" s="99"/>
      <c r="E68" s="176"/>
      <c r="F68" s="176"/>
      <c r="G68" s="190"/>
    </row>
    <row r="69" spans="2:7" ht="15.75" customHeight="1">
      <c r="B69" s="4"/>
      <c r="C69" s="99"/>
      <c r="D69" s="99"/>
      <c r="E69" s="176"/>
      <c r="F69" s="176"/>
      <c r="G69" s="190"/>
    </row>
    <row r="70" spans="2:7" ht="15.75" customHeight="1">
      <c r="B70" s="4"/>
      <c r="C70" s="99"/>
      <c r="D70" s="99"/>
      <c r="E70" s="176"/>
      <c r="F70" s="176"/>
      <c r="G70" s="190"/>
    </row>
    <row r="71" spans="2:7" ht="15.75" customHeight="1">
      <c r="B71" s="4"/>
      <c r="C71" s="99"/>
      <c r="D71" s="99"/>
      <c r="E71" s="176"/>
      <c r="F71" s="176"/>
      <c r="G71" s="190"/>
    </row>
    <row r="72" spans="2:7" ht="15.75" customHeight="1">
      <c r="B72" s="4"/>
      <c r="C72" s="99"/>
      <c r="D72" s="99"/>
      <c r="E72" s="176"/>
      <c r="F72" s="176"/>
      <c r="G72" s="190"/>
    </row>
    <row r="73" spans="2:7" ht="15.75" customHeight="1">
      <c r="B73" s="4"/>
      <c r="C73" s="99"/>
      <c r="D73" s="99"/>
      <c r="E73" s="176"/>
      <c r="F73" s="176"/>
      <c r="G73" s="190"/>
    </row>
    <row r="74" spans="2:7" ht="15.75" customHeight="1">
      <c r="B74" s="4"/>
      <c r="C74" s="99"/>
      <c r="D74" s="99"/>
      <c r="E74" s="176"/>
      <c r="F74" s="176"/>
      <c r="G74" s="190"/>
    </row>
    <row r="75" spans="2:7" ht="15.75" customHeight="1">
      <c r="B75" s="4"/>
      <c r="C75" s="99"/>
      <c r="D75" s="99"/>
      <c r="E75" s="176"/>
      <c r="F75" s="176"/>
      <c r="G75" s="190"/>
    </row>
    <row r="76" spans="2:7" ht="15.75" customHeight="1">
      <c r="B76" s="4"/>
      <c r="C76" s="99"/>
      <c r="D76" s="99"/>
      <c r="E76" s="176"/>
      <c r="F76" s="176"/>
      <c r="G76" s="190"/>
    </row>
    <row r="77" spans="2:7" ht="15.75" customHeight="1">
      <c r="B77" s="4"/>
      <c r="C77" s="99"/>
      <c r="D77" s="99"/>
      <c r="E77" s="176"/>
      <c r="F77" s="176"/>
      <c r="G77" s="190"/>
    </row>
    <row r="78" spans="2:7" ht="15.75" customHeight="1">
      <c r="B78" s="4"/>
      <c r="C78" s="99"/>
      <c r="D78" s="99"/>
      <c r="E78" s="176"/>
      <c r="F78" s="176"/>
      <c r="G78" s="190"/>
    </row>
    <row r="79" spans="2:7" ht="15.75" customHeight="1">
      <c r="B79" s="4"/>
      <c r="C79" s="99"/>
      <c r="D79" s="99"/>
      <c r="E79" s="176"/>
      <c r="F79" s="176"/>
      <c r="G79" s="190"/>
    </row>
    <row r="80" spans="2:7" ht="15.75" customHeight="1">
      <c r="B80" s="4"/>
      <c r="C80" s="99"/>
      <c r="D80" s="99"/>
      <c r="E80" s="176"/>
      <c r="F80" s="176"/>
      <c r="G80" s="190"/>
    </row>
    <row r="81" spans="2:7" ht="15.75" customHeight="1">
      <c r="B81" s="4"/>
      <c r="C81" s="99"/>
      <c r="D81" s="99"/>
      <c r="E81" s="176"/>
      <c r="F81" s="176"/>
      <c r="G81" s="190"/>
    </row>
    <row r="82" spans="2:7" ht="15.75" customHeight="1">
      <c r="B82" s="4"/>
      <c r="C82" s="99"/>
      <c r="D82" s="99"/>
      <c r="E82" s="176"/>
      <c r="F82" s="176"/>
      <c r="G82" s="190"/>
    </row>
    <row r="83" spans="2:7" ht="15.75" customHeight="1">
      <c r="B83" s="4"/>
      <c r="C83" s="99"/>
      <c r="D83" s="99"/>
      <c r="E83" s="176"/>
      <c r="F83" s="176"/>
      <c r="G83" s="190"/>
    </row>
    <row r="84" spans="2:7" ht="15.75" customHeight="1">
      <c r="B84" s="2"/>
      <c r="C84" s="99"/>
      <c r="D84" s="99"/>
      <c r="E84" s="176"/>
      <c r="F84" s="176"/>
      <c r="G84" s="190"/>
    </row>
    <row r="85" spans="2:7" ht="15.75" customHeight="1">
      <c r="B85" s="2"/>
      <c r="C85" s="99"/>
      <c r="D85" s="99"/>
      <c r="E85" s="176"/>
      <c r="F85" s="176"/>
      <c r="G85" s="190"/>
    </row>
    <row r="86" spans="2:7" ht="15.75" customHeight="1">
      <c r="B86" s="2"/>
      <c r="C86" s="99"/>
      <c r="D86" s="99"/>
      <c r="E86" s="176"/>
      <c r="F86" s="176"/>
      <c r="G86" s="190"/>
    </row>
    <row r="87" spans="2:7" ht="15.75" customHeight="1">
      <c r="B87" s="2"/>
      <c r="C87" s="99"/>
      <c r="D87" s="99"/>
      <c r="E87" s="176"/>
      <c r="F87" s="176"/>
      <c r="G87" s="190"/>
    </row>
    <row r="88" spans="2:7" ht="15.75" customHeight="1">
      <c r="B88" s="2"/>
      <c r="C88" s="99"/>
      <c r="D88" s="99"/>
      <c r="E88" s="176"/>
      <c r="F88" s="176"/>
      <c r="G88" s="190"/>
    </row>
    <row r="89" spans="2:7" ht="15.75" customHeight="1">
      <c r="B89" s="191"/>
      <c r="C89" s="99"/>
      <c r="D89" s="99"/>
      <c r="E89" s="176"/>
      <c r="F89" s="176"/>
      <c r="G89" s="190"/>
    </row>
    <row r="90" spans="2:7" ht="15.75" customHeight="1">
      <c r="B90" s="191"/>
      <c r="C90" s="99"/>
      <c r="D90" s="99"/>
      <c r="E90" s="176"/>
      <c r="F90" s="176"/>
      <c r="G90" s="190"/>
    </row>
    <row r="91" spans="2:7" ht="15.75" customHeight="1">
      <c r="B91" s="191"/>
      <c r="C91" s="99"/>
      <c r="D91" s="99"/>
      <c r="E91" s="176"/>
      <c r="F91" s="176"/>
      <c r="G91" s="190"/>
    </row>
    <row r="92" spans="2:7" ht="15.75" customHeight="1">
      <c r="B92" s="191"/>
      <c r="C92" s="99"/>
      <c r="D92" s="99"/>
      <c r="E92" s="176"/>
      <c r="F92" s="176"/>
      <c r="G92" s="190"/>
    </row>
    <row r="93" spans="2:7" ht="15.75" customHeight="1">
      <c r="B93" s="191"/>
      <c r="C93" s="99"/>
      <c r="D93" s="99"/>
      <c r="E93" s="176"/>
      <c r="F93" s="176"/>
      <c r="G93" s="190"/>
    </row>
    <row r="94" spans="2:7" ht="15.75" customHeight="1">
      <c r="B94" s="27"/>
      <c r="C94" s="99"/>
      <c r="D94" s="99"/>
      <c r="E94" s="176"/>
      <c r="F94" s="176"/>
      <c r="G94" s="190"/>
    </row>
    <row r="95" spans="2:7" ht="15.75" customHeight="1">
      <c r="B95" s="27"/>
      <c r="C95" s="99"/>
      <c r="D95" s="99"/>
      <c r="E95" s="176"/>
      <c r="F95" s="176"/>
      <c r="G95" s="190"/>
    </row>
    <row r="96" spans="2:7" ht="15.75" customHeight="1">
      <c r="B96" s="27"/>
      <c r="C96" s="99"/>
      <c r="D96" s="99"/>
      <c r="E96" s="176"/>
      <c r="F96" s="176"/>
      <c r="G96" s="190"/>
    </row>
    <row r="97" spans="2:7" ht="15.75" customHeight="1">
      <c r="B97" s="27"/>
      <c r="C97" s="99"/>
      <c r="D97" s="99"/>
      <c r="E97" s="176"/>
      <c r="F97" s="176"/>
      <c r="G97" s="190"/>
    </row>
    <row r="98" spans="2:7" ht="15.75" customHeight="1">
      <c r="B98" s="27"/>
      <c r="C98" s="99"/>
      <c r="D98" s="99"/>
      <c r="E98" s="176"/>
      <c r="F98" s="176"/>
      <c r="G98" s="190"/>
    </row>
    <row r="99" spans="2:7" ht="15.75" customHeight="1">
      <c r="C99" s="99"/>
      <c r="D99" s="99"/>
      <c r="E99" s="176"/>
      <c r="F99" s="176"/>
      <c r="G99" s="190"/>
    </row>
    <row r="100" spans="2:7" ht="15.75" customHeight="1">
      <c r="C100" s="99"/>
      <c r="D100" s="99"/>
      <c r="E100" s="176"/>
      <c r="F100" s="176"/>
      <c r="G100" s="190"/>
    </row>
    <row r="101" spans="2:7" ht="15.75" customHeight="1">
      <c r="C101" s="99"/>
      <c r="D101" s="99"/>
      <c r="E101" s="176"/>
      <c r="F101" s="176"/>
      <c r="G101" s="190"/>
    </row>
    <row r="102" spans="2:7" ht="15.75" customHeight="1">
      <c r="C102" s="99"/>
      <c r="D102" s="99"/>
      <c r="E102" s="176"/>
      <c r="F102" s="176"/>
      <c r="G102" s="190"/>
    </row>
    <row r="103" spans="2:7" ht="15.75" customHeight="1">
      <c r="C103" s="99"/>
      <c r="D103" s="99"/>
      <c r="E103" s="176"/>
      <c r="F103" s="176"/>
      <c r="G103" s="190"/>
    </row>
    <row r="104" spans="2:7" ht="15.75" customHeight="1">
      <c r="C104" s="99"/>
      <c r="D104" s="99"/>
      <c r="E104" s="176"/>
      <c r="F104" s="176"/>
      <c r="G104" s="190"/>
    </row>
    <row r="105" spans="2:7" ht="15.75" customHeight="1">
      <c r="C105" s="99"/>
      <c r="D105" s="99"/>
      <c r="E105" s="176"/>
      <c r="F105" s="176"/>
      <c r="G105" s="190"/>
    </row>
    <row r="106" spans="2:7" ht="15.75" customHeight="1">
      <c r="C106" s="99"/>
      <c r="D106" s="99"/>
      <c r="E106" s="176"/>
      <c r="F106" s="176"/>
      <c r="G106" s="190"/>
    </row>
    <row r="107" spans="2:7" ht="15.75" customHeight="1">
      <c r="C107" s="99"/>
      <c r="D107" s="99"/>
      <c r="E107" s="176"/>
      <c r="F107" s="176"/>
      <c r="G107" s="190"/>
    </row>
    <row r="108" spans="2:7" ht="15.75" customHeight="1">
      <c r="C108" s="99"/>
      <c r="D108" s="99"/>
      <c r="E108" s="176"/>
      <c r="F108" s="176"/>
      <c r="G108" s="190"/>
    </row>
    <row r="109" spans="2:7" ht="15.75" customHeight="1">
      <c r="C109" s="99"/>
      <c r="D109" s="99"/>
      <c r="E109" s="176"/>
      <c r="F109" s="176"/>
      <c r="G109" s="190"/>
    </row>
    <row r="110" spans="2:7" ht="15.75" customHeight="1">
      <c r="C110" s="99"/>
      <c r="D110" s="99"/>
      <c r="E110" s="176"/>
      <c r="F110" s="176"/>
      <c r="G110" s="190"/>
    </row>
    <row r="111" spans="2:7" ht="15.75" customHeight="1">
      <c r="C111" s="99"/>
      <c r="D111" s="99"/>
      <c r="E111" s="176"/>
      <c r="F111" s="176"/>
      <c r="G111" s="190"/>
    </row>
    <row r="112" spans="2:7" ht="15.75" customHeight="1">
      <c r="C112" s="99"/>
      <c r="D112" s="99"/>
      <c r="E112" s="176"/>
      <c r="F112" s="176"/>
      <c r="G112" s="190"/>
    </row>
    <row r="113" spans="3:7" ht="15.75" customHeight="1">
      <c r="C113" s="99"/>
      <c r="D113" s="99"/>
      <c r="E113" s="176"/>
      <c r="F113" s="176"/>
      <c r="G113" s="190"/>
    </row>
    <row r="114" spans="3:7" ht="15.75" customHeight="1">
      <c r="C114" s="99"/>
      <c r="D114" s="99"/>
      <c r="E114" s="176"/>
      <c r="F114" s="176"/>
      <c r="G114" s="190"/>
    </row>
    <row r="115" spans="3:7" ht="15.75" customHeight="1">
      <c r="C115" s="99"/>
      <c r="D115" s="99"/>
      <c r="E115" s="176"/>
      <c r="F115" s="176"/>
      <c r="G115" s="190"/>
    </row>
    <row r="116" spans="3:7" ht="15.75" customHeight="1">
      <c r="C116" s="99"/>
      <c r="D116" s="99"/>
      <c r="E116" s="176"/>
      <c r="F116" s="176"/>
      <c r="G116" s="190"/>
    </row>
    <row r="117" spans="3:7" ht="15.75" customHeight="1">
      <c r="C117" s="99"/>
      <c r="D117" s="99"/>
      <c r="E117" s="176"/>
      <c r="F117" s="176"/>
      <c r="G117" s="190"/>
    </row>
    <row r="118" spans="3:7" ht="15.75" customHeight="1">
      <c r="C118" s="99"/>
      <c r="D118" s="99"/>
      <c r="E118" s="176"/>
      <c r="F118" s="176"/>
      <c r="G118" s="190"/>
    </row>
    <row r="119" spans="3:7" ht="15.75" customHeight="1">
      <c r="C119" s="99"/>
      <c r="D119" s="99"/>
      <c r="E119" s="176"/>
      <c r="F119" s="176"/>
      <c r="G119" s="190"/>
    </row>
    <row r="120" spans="3:7" ht="15.75" customHeight="1">
      <c r="C120" s="99"/>
      <c r="D120" s="99"/>
      <c r="E120" s="176"/>
      <c r="F120" s="176"/>
      <c r="G120" s="190"/>
    </row>
    <row r="121" spans="3:7" ht="15.75" customHeight="1">
      <c r="C121" s="99"/>
      <c r="D121" s="99"/>
      <c r="E121" s="176"/>
      <c r="F121" s="176"/>
      <c r="G121" s="190"/>
    </row>
    <row r="122" spans="3:7" ht="15.75" customHeight="1">
      <c r="C122" s="99"/>
      <c r="D122" s="99"/>
      <c r="E122" s="176"/>
      <c r="F122" s="176"/>
      <c r="G122" s="190"/>
    </row>
    <row r="123" spans="3:7" ht="15.75" customHeight="1">
      <c r="C123" s="99"/>
      <c r="D123" s="99"/>
      <c r="E123" s="176"/>
      <c r="F123" s="176"/>
      <c r="G123" s="190"/>
    </row>
    <row r="124" spans="3:7" ht="15.75" customHeight="1">
      <c r="C124" s="99"/>
      <c r="D124" s="99"/>
      <c r="E124" s="176"/>
      <c r="F124" s="176"/>
      <c r="G124" s="190"/>
    </row>
    <row r="125" spans="3:7" ht="15.75" customHeight="1">
      <c r="C125" s="99"/>
      <c r="D125" s="99"/>
      <c r="E125" s="176"/>
      <c r="F125" s="176"/>
      <c r="G125" s="190"/>
    </row>
    <row r="126" spans="3:7" ht="15.75" customHeight="1">
      <c r="C126" s="99"/>
      <c r="D126" s="99"/>
      <c r="E126" s="176"/>
      <c r="F126" s="176"/>
      <c r="G126" s="190"/>
    </row>
    <row r="127" spans="3:7" ht="15.75" customHeight="1">
      <c r="C127" s="99"/>
      <c r="D127" s="99"/>
      <c r="E127" s="176"/>
      <c r="F127" s="176"/>
      <c r="G127" s="190"/>
    </row>
    <row r="128" spans="3:7" ht="15.75" customHeight="1">
      <c r="C128" s="99"/>
      <c r="D128" s="99"/>
      <c r="E128" s="176"/>
      <c r="F128" s="176"/>
      <c r="G128" s="190"/>
    </row>
    <row r="129" spans="3:7" ht="15.75" customHeight="1">
      <c r="C129" s="99"/>
      <c r="D129" s="99"/>
      <c r="E129" s="176"/>
      <c r="F129" s="176"/>
      <c r="G129" s="190"/>
    </row>
    <row r="130" spans="3:7" ht="15.75" customHeight="1">
      <c r="C130" s="99"/>
      <c r="D130" s="99"/>
      <c r="E130" s="176"/>
      <c r="F130" s="176"/>
      <c r="G130" s="190"/>
    </row>
    <row r="131" spans="3:7" ht="15.75" customHeight="1">
      <c r="C131" s="99"/>
      <c r="D131" s="99"/>
      <c r="E131" s="176"/>
      <c r="F131" s="176"/>
      <c r="G131" s="190"/>
    </row>
    <row r="132" spans="3:7" ht="15.75" customHeight="1">
      <c r="C132" s="99"/>
      <c r="D132" s="99"/>
      <c r="E132" s="176"/>
      <c r="F132" s="176"/>
      <c r="G132" s="190"/>
    </row>
    <row r="133" spans="3:7" ht="15.75" customHeight="1">
      <c r="C133" s="99"/>
      <c r="D133" s="99"/>
      <c r="E133" s="176"/>
      <c r="F133" s="176"/>
      <c r="G133" s="190"/>
    </row>
    <row r="134" spans="3:7" ht="15.75" customHeight="1">
      <c r="C134" s="99"/>
      <c r="D134" s="99"/>
      <c r="E134" s="176"/>
      <c r="F134" s="176"/>
      <c r="G134" s="190"/>
    </row>
    <row r="135" spans="3:7" ht="15.75" customHeight="1">
      <c r="C135" s="99"/>
      <c r="D135" s="99"/>
      <c r="E135" s="176"/>
      <c r="F135" s="176"/>
      <c r="G135" s="190"/>
    </row>
    <row r="136" spans="3:7" ht="15.75" customHeight="1">
      <c r="C136" s="99"/>
      <c r="D136" s="99"/>
      <c r="E136" s="176"/>
      <c r="F136" s="176"/>
      <c r="G136" s="190"/>
    </row>
    <row r="137" spans="3:7" ht="15.75" customHeight="1">
      <c r="C137" s="99"/>
      <c r="D137" s="99"/>
      <c r="E137" s="176"/>
      <c r="F137" s="176"/>
      <c r="G137" s="190"/>
    </row>
    <row r="138" spans="3:7" ht="15.75" customHeight="1">
      <c r="C138" s="99"/>
      <c r="D138" s="99"/>
      <c r="E138" s="176"/>
      <c r="F138" s="176"/>
      <c r="G138" s="190"/>
    </row>
    <row r="139" spans="3:7" ht="15.75" customHeight="1">
      <c r="C139" s="99"/>
      <c r="D139" s="99"/>
      <c r="E139" s="176"/>
      <c r="F139" s="176"/>
      <c r="G139" s="190"/>
    </row>
    <row r="140" spans="3:7" ht="15.75" customHeight="1">
      <c r="C140" s="99"/>
      <c r="D140" s="99"/>
      <c r="E140" s="176"/>
      <c r="F140" s="176"/>
      <c r="G140" s="190"/>
    </row>
    <row r="141" spans="3:7" ht="15.75" customHeight="1">
      <c r="C141" s="99"/>
      <c r="D141" s="99"/>
      <c r="E141" s="176"/>
      <c r="F141" s="176"/>
      <c r="G141" s="190"/>
    </row>
    <row r="142" spans="3:7" ht="15.75" customHeight="1">
      <c r="C142" s="99"/>
      <c r="D142" s="99"/>
      <c r="E142" s="176"/>
      <c r="F142" s="176"/>
      <c r="G142" s="190"/>
    </row>
    <row r="143" spans="3:7" ht="15.75" customHeight="1">
      <c r="C143" s="99"/>
      <c r="D143" s="99"/>
      <c r="E143" s="176"/>
      <c r="F143" s="176"/>
      <c r="G143" s="190"/>
    </row>
    <row r="144" spans="3:7" ht="15.75" customHeight="1">
      <c r="C144" s="99"/>
      <c r="D144" s="99"/>
      <c r="E144" s="176"/>
      <c r="F144" s="176"/>
      <c r="G144" s="190"/>
    </row>
    <row r="145" spans="3:7" ht="15.75" customHeight="1">
      <c r="C145" s="99"/>
      <c r="D145" s="99"/>
      <c r="E145" s="176"/>
      <c r="F145" s="176"/>
      <c r="G145" s="190"/>
    </row>
    <row r="146" spans="3:7" ht="15.75" customHeight="1">
      <c r="C146" s="99"/>
      <c r="D146" s="99"/>
      <c r="E146" s="176"/>
      <c r="F146" s="176"/>
      <c r="G146" s="190"/>
    </row>
    <row r="147" spans="3:7" ht="15.75" customHeight="1">
      <c r="C147" s="99"/>
      <c r="D147" s="99"/>
      <c r="E147" s="176"/>
      <c r="F147" s="176"/>
      <c r="G147" s="190"/>
    </row>
    <row r="148" spans="3:7" ht="15.75" customHeight="1">
      <c r="C148" s="99"/>
      <c r="D148" s="99"/>
      <c r="E148" s="176"/>
      <c r="F148" s="176"/>
      <c r="G148" s="190"/>
    </row>
    <row r="149" spans="3:7" ht="15.75" customHeight="1">
      <c r="C149" s="99"/>
      <c r="D149" s="99"/>
      <c r="E149" s="176"/>
      <c r="F149" s="176"/>
      <c r="G149" s="190"/>
    </row>
    <row r="150" spans="3:7" ht="15.75" customHeight="1">
      <c r="C150" s="99"/>
      <c r="D150" s="99"/>
      <c r="E150" s="176"/>
      <c r="F150" s="176"/>
      <c r="G150" s="190"/>
    </row>
    <row r="151" spans="3:7" ht="15.75" customHeight="1">
      <c r="C151" s="99"/>
      <c r="D151" s="99"/>
      <c r="E151" s="176"/>
      <c r="F151" s="176"/>
      <c r="G151" s="190"/>
    </row>
    <row r="152" spans="3:7" ht="15.75" customHeight="1">
      <c r="C152" s="99"/>
      <c r="D152" s="99"/>
      <c r="E152" s="176"/>
      <c r="F152" s="176"/>
      <c r="G152" s="190"/>
    </row>
    <row r="153" spans="3:7" ht="15.75" customHeight="1">
      <c r="C153" s="99"/>
      <c r="D153" s="99"/>
      <c r="E153" s="176"/>
      <c r="F153" s="176"/>
      <c r="G153" s="190"/>
    </row>
    <row r="154" spans="3:7" ht="15.75" customHeight="1">
      <c r="C154" s="99"/>
      <c r="D154" s="99"/>
      <c r="E154" s="176"/>
      <c r="F154" s="176"/>
      <c r="G154" s="190"/>
    </row>
    <row r="155" spans="3:7" ht="15.75" customHeight="1">
      <c r="C155" s="99"/>
      <c r="D155" s="99"/>
      <c r="E155" s="176"/>
      <c r="F155" s="176"/>
      <c r="G155" s="190"/>
    </row>
    <row r="156" spans="3:7" ht="15.75" customHeight="1">
      <c r="C156" s="99"/>
      <c r="D156" s="99"/>
      <c r="E156" s="176"/>
      <c r="F156" s="176"/>
      <c r="G156" s="190"/>
    </row>
    <row r="157" spans="3:7" ht="15.75" customHeight="1">
      <c r="C157" s="99"/>
      <c r="D157" s="99"/>
      <c r="E157" s="176"/>
      <c r="F157" s="176"/>
      <c r="G157" s="190"/>
    </row>
    <row r="158" spans="3:7" ht="15.75" customHeight="1">
      <c r="C158" s="99"/>
      <c r="D158" s="99"/>
      <c r="E158" s="176"/>
      <c r="F158" s="176"/>
      <c r="G158" s="190"/>
    </row>
    <row r="159" spans="3:7" ht="15.75" customHeight="1">
      <c r="C159" s="99"/>
      <c r="D159" s="99"/>
      <c r="E159" s="176"/>
      <c r="F159" s="176"/>
      <c r="G159" s="190"/>
    </row>
    <row r="160" spans="3:7" ht="15.75" customHeight="1">
      <c r="C160" s="99"/>
      <c r="D160" s="99"/>
      <c r="E160" s="176"/>
      <c r="F160" s="176"/>
      <c r="G160" s="190"/>
    </row>
    <row r="161" spans="3:7" ht="15.75" customHeight="1">
      <c r="C161" s="99"/>
      <c r="D161" s="99"/>
      <c r="E161" s="176"/>
      <c r="F161" s="176"/>
      <c r="G161" s="190"/>
    </row>
    <row r="162" spans="3:7" ht="15.75" customHeight="1">
      <c r="C162" s="99"/>
      <c r="D162" s="99"/>
      <c r="E162" s="176"/>
      <c r="F162" s="176"/>
      <c r="G162" s="190"/>
    </row>
    <row r="163" spans="3:7" ht="15.75" customHeight="1">
      <c r="C163" s="99"/>
      <c r="D163" s="99"/>
      <c r="E163" s="176"/>
      <c r="F163" s="176"/>
      <c r="G163" s="190"/>
    </row>
    <row r="164" spans="3:7" ht="15.75" customHeight="1">
      <c r="C164" s="99"/>
      <c r="D164" s="99"/>
      <c r="E164" s="176"/>
      <c r="F164" s="176"/>
      <c r="G164" s="190"/>
    </row>
    <row r="165" spans="3:7" ht="15.75" customHeight="1">
      <c r="C165" s="99"/>
      <c r="D165" s="99"/>
      <c r="E165" s="176"/>
      <c r="F165" s="176"/>
      <c r="G165" s="190"/>
    </row>
    <row r="166" spans="3:7" ht="15.75" customHeight="1">
      <c r="C166" s="99"/>
      <c r="D166" s="99"/>
      <c r="E166" s="176"/>
      <c r="F166" s="176"/>
      <c r="G166" s="190"/>
    </row>
    <row r="167" spans="3:7" ht="15.75" customHeight="1">
      <c r="C167" s="99"/>
      <c r="D167" s="99"/>
      <c r="E167" s="176"/>
      <c r="F167" s="176"/>
      <c r="G167" s="190"/>
    </row>
    <row r="168" spans="3:7" ht="15.75" customHeight="1">
      <c r="C168" s="99"/>
      <c r="D168" s="99"/>
      <c r="E168" s="176"/>
      <c r="F168" s="176"/>
      <c r="G168" s="190"/>
    </row>
    <row r="169" spans="3:7" ht="15.75" customHeight="1">
      <c r="C169" s="99"/>
      <c r="D169" s="99"/>
      <c r="E169" s="176"/>
      <c r="F169" s="176"/>
      <c r="G169" s="190"/>
    </row>
    <row r="170" spans="3:7" ht="15.75" customHeight="1">
      <c r="C170" s="99"/>
      <c r="D170" s="99"/>
      <c r="E170" s="176"/>
      <c r="F170" s="176"/>
      <c r="G170" s="190"/>
    </row>
    <row r="171" spans="3:7" ht="15.75" customHeight="1">
      <c r="C171" s="99"/>
      <c r="D171" s="99"/>
      <c r="E171" s="176"/>
      <c r="F171" s="176"/>
      <c r="G171" s="190"/>
    </row>
    <row r="172" spans="3:7" ht="15.75" customHeight="1">
      <c r="C172" s="99"/>
      <c r="D172" s="99"/>
      <c r="E172" s="176"/>
      <c r="F172" s="176"/>
      <c r="G172" s="190"/>
    </row>
    <row r="173" spans="3:7" ht="15.75" customHeight="1">
      <c r="C173" s="99"/>
      <c r="D173" s="99"/>
      <c r="E173" s="176"/>
      <c r="F173" s="176"/>
      <c r="G173" s="190"/>
    </row>
    <row r="174" spans="3:7" ht="15.75" customHeight="1">
      <c r="C174" s="99"/>
      <c r="D174" s="99"/>
      <c r="E174" s="176"/>
      <c r="F174" s="176"/>
      <c r="G174" s="190"/>
    </row>
    <row r="175" spans="3:7" ht="15.75" customHeight="1">
      <c r="C175" s="99"/>
      <c r="D175" s="99"/>
      <c r="E175" s="176"/>
      <c r="F175" s="176"/>
      <c r="G175" s="190"/>
    </row>
    <row r="176" spans="3:7" ht="15.75" customHeight="1">
      <c r="C176" s="99"/>
      <c r="D176" s="99"/>
      <c r="E176" s="176"/>
      <c r="F176" s="176"/>
      <c r="G176" s="190"/>
    </row>
    <row r="177" spans="3:7" ht="15.75" customHeight="1">
      <c r="C177" s="99"/>
      <c r="D177" s="99"/>
      <c r="E177" s="176"/>
      <c r="F177" s="176"/>
      <c r="G177" s="190"/>
    </row>
    <row r="178" spans="3:7" ht="15.75" customHeight="1">
      <c r="C178" s="99"/>
      <c r="D178" s="99"/>
      <c r="E178" s="176"/>
      <c r="F178" s="176"/>
      <c r="G178" s="190"/>
    </row>
    <row r="179" spans="3:7" ht="15.75" customHeight="1">
      <c r="C179" s="99"/>
      <c r="D179" s="99"/>
      <c r="E179" s="176"/>
      <c r="F179" s="176"/>
      <c r="G179" s="190"/>
    </row>
    <row r="180" spans="3:7" ht="15.75" customHeight="1">
      <c r="C180" s="99"/>
      <c r="D180" s="99"/>
      <c r="E180" s="176"/>
      <c r="F180" s="176"/>
      <c r="G180" s="190"/>
    </row>
    <row r="181" spans="3:7" ht="15.75" customHeight="1">
      <c r="C181" s="99"/>
      <c r="D181" s="99"/>
      <c r="E181" s="176"/>
      <c r="F181" s="176"/>
      <c r="G181" s="190"/>
    </row>
    <row r="182" spans="3:7" ht="15.75" customHeight="1">
      <c r="C182" s="99"/>
      <c r="D182" s="99"/>
      <c r="E182" s="176"/>
      <c r="F182" s="176"/>
      <c r="G182" s="190"/>
    </row>
    <row r="183" spans="3:7" ht="15.75" customHeight="1">
      <c r="C183" s="99"/>
      <c r="D183" s="99"/>
      <c r="E183" s="176"/>
      <c r="F183" s="176"/>
      <c r="G183" s="190"/>
    </row>
    <row r="184" spans="3:7" ht="15.75" customHeight="1">
      <c r="C184" s="99"/>
      <c r="D184" s="99"/>
      <c r="E184" s="176"/>
      <c r="F184" s="176"/>
      <c r="G184" s="190"/>
    </row>
    <row r="185" spans="3:7" ht="15.75" customHeight="1">
      <c r="C185" s="99"/>
      <c r="D185" s="99"/>
      <c r="E185" s="176"/>
      <c r="F185" s="176"/>
      <c r="G185" s="190"/>
    </row>
    <row r="186" spans="3:7" ht="15.75" customHeight="1">
      <c r="C186" s="99"/>
      <c r="D186" s="99"/>
      <c r="E186" s="176"/>
      <c r="F186" s="176"/>
      <c r="G186" s="190"/>
    </row>
    <row r="187" spans="3:7" ht="15.75" customHeight="1">
      <c r="C187" s="99"/>
      <c r="D187" s="99"/>
      <c r="E187" s="176"/>
      <c r="F187" s="176"/>
      <c r="G187" s="190"/>
    </row>
    <row r="188" spans="3:7" ht="15.75" customHeight="1">
      <c r="C188" s="99"/>
      <c r="D188" s="99"/>
      <c r="E188" s="176"/>
      <c r="F188" s="176"/>
      <c r="G188" s="190"/>
    </row>
    <row r="189" spans="3:7" ht="15.75" customHeight="1">
      <c r="C189" s="99"/>
      <c r="D189" s="99"/>
      <c r="E189" s="176"/>
      <c r="F189" s="176"/>
      <c r="G189" s="190"/>
    </row>
    <row r="190" spans="3:7" ht="15.75" customHeight="1">
      <c r="C190" s="99"/>
      <c r="D190" s="99"/>
      <c r="E190" s="176"/>
      <c r="F190" s="176"/>
      <c r="G190" s="190"/>
    </row>
    <row r="191" spans="3:7" ht="15.75" customHeight="1">
      <c r="C191" s="99"/>
      <c r="D191" s="99"/>
      <c r="E191" s="176"/>
      <c r="F191" s="176"/>
      <c r="G191" s="190"/>
    </row>
    <row r="192" spans="3:7" ht="15.75" customHeight="1">
      <c r="C192" s="99"/>
      <c r="D192" s="99"/>
      <c r="E192" s="176"/>
      <c r="F192" s="176"/>
      <c r="G192" s="190"/>
    </row>
    <row r="193" spans="3:7" ht="15.75" customHeight="1">
      <c r="C193" s="99"/>
      <c r="D193" s="99"/>
      <c r="E193" s="176"/>
      <c r="F193" s="176"/>
      <c r="G193" s="190"/>
    </row>
    <row r="194" spans="3:7" ht="15.75" customHeight="1">
      <c r="C194" s="99"/>
      <c r="D194" s="99"/>
      <c r="E194" s="176"/>
      <c r="F194" s="176"/>
      <c r="G194" s="190"/>
    </row>
    <row r="195" spans="3:7" ht="15.75" customHeight="1">
      <c r="C195" s="99"/>
      <c r="D195" s="99"/>
      <c r="E195" s="176"/>
      <c r="F195" s="176"/>
      <c r="G195" s="190"/>
    </row>
    <row r="196" spans="3:7" ht="15.75" customHeight="1">
      <c r="C196" s="99"/>
      <c r="D196" s="99"/>
      <c r="E196" s="176"/>
      <c r="F196" s="176"/>
      <c r="G196" s="190"/>
    </row>
    <row r="197" spans="3:7" ht="15.75" customHeight="1">
      <c r="C197" s="99"/>
      <c r="D197" s="99"/>
      <c r="E197" s="176"/>
      <c r="F197" s="176"/>
      <c r="G197" s="190"/>
    </row>
    <row r="198" spans="3:7" ht="15.75" customHeight="1">
      <c r="C198" s="99"/>
      <c r="D198" s="99"/>
      <c r="E198" s="176"/>
      <c r="F198" s="176"/>
      <c r="G198" s="190"/>
    </row>
    <row r="199" spans="3:7" ht="15.75" customHeight="1">
      <c r="C199" s="99"/>
      <c r="D199" s="99"/>
      <c r="E199" s="176"/>
      <c r="F199" s="176"/>
      <c r="G199" s="190"/>
    </row>
    <row r="200" spans="3:7" ht="15.75" customHeight="1">
      <c r="C200" s="99"/>
      <c r="D200" s="99"/>
      <c r="E200" s="176"/>
      <c r="F200" s="176"/>
      <c r="G200" s="190"/>
    </row>
    <row r="201" spans="3:7" ht="15.75" customHeight="1">
      <c r="C201" s="99"/>
      <c r="D201" s="99"/>
      <c r="E201" s="176"/>
      <c r="F201" s="176"/>
      <c r="G201" s="190"/>
    </row>
    <row r="202" spans="3:7" ht="15.75" customHeight="1">
      <c r="C202" s="99"/>
      <c r="D202" s="99"/>
      <c r="E202" s="176"/>
      <c r="F202" s="176"/>
      <c r="G202" s="190"/>
    </row>
    <row r="203" spans="3:7" ht="15.75" customHeight="1">
      <c r="C203" s="99"/>
      <c r="D203" s="99"/>
      <c r="E203" s="176"/>
      <c r="F203" s="176"/>
      <c r="G203" s="190"/>
    </row>
    <row r="204" spans="3:7" ht="15.75" customHeight="1">
      <c r="C204" s="99"/>
      <c r="D204" s="99"/>
      <c r="E204" s="176"/>
      <c r="F204" s="176"/>
      <c r="G204" s="190"/>
    </row>
    <row r="205" spans="3:7" ht="15.75" customHeight="1">
      <c r="C205" s="99"/>
      <c r="D205" s="99"/>
      <c r="E205" s="176"/>
      <c r="F205" s="176"/>
      <c r="G205" s="190"/>
    </row>
    <row r="206" spans="3:7" ht="15.75" customHeight="1">
      <c r="C206" s="99"/>
      <c r="D206" s="99"/>
      <c r="E206" s="176"/>
      <c r="F206" s="176"/>
      <c r="G206" s="190"/>
    </row>
    <row r="207" spans="3:7" ht="15.75" customHeight="1">
      <c r="C207" s="99"/>
      <c r="D207" s="99"/>
      <c r="E207" s="176"/>
      <c r="F207" s="176"/>
      <c r="G207" s="190"/>
    </row>
    <row r="208" spans="3:7" ht="15.75" customHeight="1">
      <c r="C208" s="99"/>
      <c r="D208" s="99"/>
      <c r="E208" s="176"/>
      <c r="F208" s="176"/>
      <c r="G208" s="190"/>
    </row>
    <row r="209" spans="3:7" ht="15.75" customHeight="1">
      <c r="C209" s="99"/>
      <c r="D209" s="99"/>
      <c r="E209" s="176"/>
      <c r="F209" s="176"/>
      <c r="G209" s="190"/>
    </row>
    <row r="210" spans="3:7" ht="15.75" customHeight="1">
      <c r="C210" s="99"/>
      <c r="D210" s="99"/>
      <c r="E210" s="176"/>
      <c r="F210" s="176"/>
      <c r="G210" s="190"/>
    </row>
    <row r="211" spans="3:7" ht="15.75" customHeight="1">
      <c r="C211" s="99"/>
      <c r="D211" s="99"/>
      <c r="E211" s="176"/>
      <c r="F211" s="176"/>
      <c r="G211" s="190"/>
    </row>
    <row r="212" spans="3:7" ht="15.75" customHeight="1">
      <c r="C212" s="99"/>
      <c r="D212" s="99"/>
      <c r="E212" s="176"/>
      <c r="F212" s="176"/>
      <c r="G212" s="190"/>
    </row>
    <row r="213" spans="3:7" ht="15.75" customHeight="1">
      <c r="C213" s="99"/>
      <c r="D213" s="99"/>
      <c r="E213" s="176"/>
      <c r="F213" s="176"/>
      <c r="G213" s="190"/>
    </row>
    <row r="214" spans="3:7" ht="15.75" customHeight="1">
      <c r="C214" s="99"/>
      <c r="D214" s="99"/>
      <c r="E214" s="176"/>
      <c r="F214" s="176"/>
      <c r="G214" s="190"/>
    </row>
    <row r="215" spans="3:7" ht="15.75" customHeight="1">
      <c r="C215" s="99"/>
      <c r="D215" s="99"/>
      <c r="E215" s="176"/>
      <c r="F215" s="176"/>
      <c r="G215" s="190"/>
    </row>
    <row r="216" spans="3:7" ht="15.75" customHeight="1">
      <c r="C216" s="99"/>
      <c r="D216" s="99"/>
      <c r="E216" s="176"/>
      <c r="F216" s="176"/>
      <c r="G216" s="190"/>
    </row>
    <row r="217" spans="3:7" ht="15.75" customHeight="1">
      <c r="C217" s="99"/>
      <c r="D217" s="99"/>
      <c r="E217" s="176"/>
      <c r="F217" s="176"/>
      <c r="G217" s="190"/>
    </row>
    <row r="218" spans="3:7" ht="15.75" customHeight="1">
      <c r="C218" s="99"/>
      <c r="D218" s="99"/>
      <c r="E218" s="176"/>
      <c r="F218" s="176"/>
      <c r="G218" s="190"/>
    </row>
    <row r="219" spans="3:7" ht="15.75" customHeight="1">
      <c r="C219" s="99"/>
      <c r="D219" s="99"/>
      <c r="E219" s="176"/>
      <c r="F219" s="176"/>
      <c r="G219" s="190"/>
    </row>
    <row r="220" spans="3:7" ht="15.75" customHeight="1">
      <c r="C220" s="99"/>
      <c r="D220" s="99"/>
      <c r="E220" s="176"/>
      <c r="F220" s="176"/>
      <c r="G220" s="190"/>
    </row>
    <row r="221" spans="3:7" ht="15.75" customHeight="1">
      <c r="C221" s="99"/>
      <c r="D221" s="99"/>
      <c r="E221" s="176"/>
      <c r="F221" s="176"/>
      <c r="G221" s="190"/>
    </row>
    <row r="222" spans="3:7" ht="15.75" customHeight="1">
      <c r="C222" s="99"/>
      <c r="D222" s="99"/>
      <c r="E222" s="176"/>
      <c r="F222" s="176"/>
      <c r="G222" s="190"/>
    </row>
    <row r="223" spans="3:7" ht="15.75" customHeight="1">
      <c r="C223" s="99"/>
      <c r="D223" s="99"/>
      <c r="E223" s="176"/>
      <c r="F223" s="176"/>
      <c r="G223" s="190"/>
    </row>
    <row r="224" spans="3:7" ht="15.75" customHeight="1">
      <c r="C224" s="99"/>
      <c r="D224" s="99"/>
      <c r="E224" s="176"/>
      <c r="F224" s="176"/>
      <c r="G224" s="190"/>
    </row>
    <row r="225" spans="3:7" ht="15.75" customHeight="1">
      <c r="C225" s="99"/>
      <c r="D225" s="99"/>
      <c r="E225" s="176"/>
      <c r="F225" s="176"/>
      <c r="G225" s="190"/>
    </row>
    <row r="226" spans="3:7" ht="15.75" customHeight="1">
      <c r="C226" s="99"/>
      <c r="D226" s="99"/>
      <c r="E226" s="176"/>
      <c r="F226" s="176"/>
      <c r="G226" s="190"/>
    </row>
    <row r="227" spans="3:7" ht="15.75" customHeight="1">
      <c r="C227" s="99"/>
      <c r="D227" s="99"/>
      <c r="E227" s="176"/>
      <c r="F227" s="176"/>
      <c r="G227" s="190"/>
    </row>
    <row r="228" spans="3:7" ht="15.75" customHeight="1">
      <c r="C228" s="99"/>
      <c r="D228" s="99"/>
      <c r="E228" s="176"/>
      <c r="F228" s="176"/>
      <c r="G228" s="190"/>
    </row>
    <row r="229" spans="3:7" ht="15.75" customHeight="1">
      <c r="C229" s="99"/>
      <c r="D229" s="99"/>
      <c r="E229" s="176"/>
      <c r="F229" s="176"/>
      <c r="G229" s="190"/>
    </row>
    <row r="230" spans="3:7" ht="15.75" customHeight="1">
      <c r="C230" s="99"/>
      <c r="D230" s="99"/>
      <c r="E230" s="176"/>
      <c r="F230" s="176"/>
      <c r="G230" s="190"/>
    </row>
    <row r="231" spans="3:7" ht="15.75" customHeight="1">
      <c r="C231" s="99"/>
      <c r="D231" s="99"/>
      <c r="E231" s="176"/>
      <c r="F231" s="176"/>
      <c r="G231" s="190"/>
    </row>
    <row r="232" spans="3:7" ht="15.75" customHeight="1">
      <c r="C232" s="99"/>
      <c r="D232" s="99"/>
      <c r="E232" s="176"/>
      <c r="F232" s="176"/>
      <c r="G232" s="190"/>
    </row>
    <row r="233" spans="3:7" ht="15.75" customHeight="1">
      <c r="C233" s="99"/>
      <c r="D233" s="99"/>
      <c r="E233" s="176"/>
      <c r="F233" s="176"/>
      <c r="G233" s="190"/>
    </row>
    <row r="234" spans="3:7" ht="15.75" customHeight="1">
      <c r="C234" s="99"/>
      <c r="D234" s="99"/>
      <c r="E234" s="176"/>
      <c r="F234" s="176"/>
      <c r="G234" s="190"/>
    </row>
    <row r="235" spans="3:7" ht="15.75" customHeight="1">
      <c r="C235" s="99"/>
      <c r="D235" s="99"/>
      <c r="E235" s="176"/>
      <c r="F235" s="176"/>
      <c r="G235" s="190"/>
    </row>
    <row r="236" spans="3:7" ht="15.75" customHeight="1">
      <c r="C236" s="99"/>
      <c r="D236" s="99"/>
      <c r="E236" s="176"/>
      <c r="F236" s="176"/>
      <c r="G236" s="190"/>
    </row>
    <row r="237" spans="3:7" ht="15.75" customHeight="1">
      <c r="C237" s="99"/>
      <c r="D237" s="99"/>
      <c r="E237" s="176"/>
      <c r="F237" s="176"/>
      <c r="G237" s="190"/>
    </row>
    <row r="238" spans="3:7" ht="15.75" customHeight="1">
      <c r="C238" s="99"/>
      <c r="D238" s="99"/>
      <c r="E238" s="176"/>
      <c r="F238" s="176"/>
      <c r="G238" s="190"/>
    </row>
    <row r="239" spans="3:7" ht="15.75" customHeight="1">
      <c r="C239" s="99"/>
      <c r="D239" s="99"/>
      <c r="E239" s="176"/>
      <c r="F239" s="176"/>
      <c r="G239" s="190"/>
    </row>
    <row r="240" spans="3:7" ht="15.75" customHeight="1">
      <c r="C240" s="99"/>
      <c r="D240" s="99"/>
      <c r="E240" s="176"/>
      <c r="F240" s="176"/>
      <c r="G240" s="190"/>
    </row>
    <row r="241" spans="3:7" ht="15.75" customHeight="1">
      <c r="C241" s="99"/>
      <c r="D241" s="99"/>
      <c r="E241" s="176"/>
      <c r="F241" s="176"/>
      <c r="G241" s="190"/>
    </row>
    <row r="242" spans="3:7" ht="15.75" customHeight="1">
      <c r="C242" s="99"/>
      <c r="D242" s="99"/>
      <c r="E242" s="176"/>
      <c r="F242" s="176"/>
      <c r="G242" s="190"/>
    </row>
    <row r="243" spans="3:7" ht="15.75" customHeight="1">
      <c r="C243" s="99"/>
      <c r="D243" s="99"/>
      <c r="E243" s="176"/>
      <c r="F243" s="176"/>
      <c r="G243" s="190"/>
    </row>
    <row r="244" spans="3:7" ht="15.75" customHeight="1">
      <c r="C244" s="99"/>
      <c r="D244" s="99"/>
      <c r="E244" s="176"/>
      <c r="F244" s="176"/>
      <c r="G244" s="190"/>
    </row>
    <row r="245" spans="3:7" ht="15.75" customHeight="1">
      <c r="C245" s="99"/>
      <c r="D245" s="99"/>
      <c r="E245" s="176"/>
      <c r="F245" s="176"/>
      <c r="G245" s="190"/>
    </row>
    <row r="246" spans="3:7" ht="15.75" customHeight="1">
      <c r="C246" s="99"/>
      <c r="D246" s="99"/>
      <c r="E246" s="176"/>
      <c r="F246" s="176"/>
      <c r="G246" s="190"/>
    </row>
    <row r="247" spans="3:7" ht="15.75" customHeight="1">
      <c r="C247" s="99"/>
      <c r="D247" s="99"/>
      <c r="E247" s="176"/>
      <c r="F247" s="176"/>
      <c r="G247" s="190"/>
    </row>
    <row r="248" spans="3:7" ht="15.75" customHeight="1">
      <c r="C248" s="99"/>
      <c r="D248" s="99"/>
      <c r="E248" s="176"/>
      <c r="F248" s="176"/>
      <c r="G248" s="190"/>
    </row>
    <row r="249" spans="3:7" ht="15.75" customHeight="1">
      <c r="C249" s="4"/>
      <c r="E249" s="176"/>
      <c r="F249" s="176"/>
      <c r="G249" s="190"/>
    </row>
    <row r="250" spans="3:7" ht="15.75" customHeight="1">
      <c r="C250" s="4"/>
      <c r="E250" s="176"/>
      <c r="F250" s="176"/>
      <c r="G250" s="190"/>
    </row>
    <row r="251" spans="3:7" ht="15.75" customHeight="1">
      <c r="C251" s="4"/>
      <c r="E251" s="176"/>
      <c r="F251" s="176"/>
      <c r="G251" s="190"/>
    </row>
    <row r="252" spans="3:7" ht="15.75" customHeight="1">
      <c r="C252" s="4"/>
      <c r="E252" s="176"/>
      <c r="F252" s="176"/>
      <c r="G252" s="190"/>
    </row>
    <row r="253" spans="3:7" ht="15.75" customHeight="1">
      <c r="C253" s="4"/>
      <c r="E253" s="176"/>
      <c r="F253" s="176"/>
      <c r="G253" s="190"/>
    </row>
    <row r="254" spans="3:7" ht="15.75" customHeight="1">
      <c r="C254" s="4"/>
      <c r="E254" s="176"/>
      <c r="F254" s="176"/>
      <c r="G254" s="190"/>
    </row>
    <row r="255" spans="3:7" ht="15.75" customHeight="1">
      <c r="C255" s="4"/>
      <c r="E255" s="176"/>
      <c r="F255" s="176"/>
      <c r="G255" s="190"/>
    </row>
    <row r="256" spans="3:7" ht="15.75" customHeight="1">
      <c r="C256" s="4"/>
      <c r="E256" s="176"/>
      <c r="F256" s="176"/>
      <c r="G256" s="190"/>
    </row>
    <row r="257" spans="3:7" ht="15.75" customHeight="1">
      <c r="C257" s="4"/>
      <c r="E257" s="176"/>
      <c r="F257" s="176"/>
      <c r="G257" s="190"/>
    </row>
    <row r="258" spans="3:7" ht="15.75" customHeight="1">
      <c r="C258" s="4"/>
      <c r="E258" s="176"/>
      <c r="F258" s="176"/>
      <c r="G258" s="190"/>
    </row>
    <row r="259" spans="3:7" ht="15.75" customHeight="1">
      <c r="C259" s="4"/>
      <c r="E259" s="176"/>
      <c r="F259" s="176"/>
      <c r="G259" s="190"/>
    </row>
    <row r="260" spans="3:7" ht="15.75" customHeight="1">
      <c r="C260" s="4"/>
      <c r="E260" s="176"/>
      <c r="F260" s="176"/>
      <c r="G260" s="190"/>
    </row>
    <row r="261" spans="3:7" ht="15.75" customHeight="1">
      <c r="C261" s="4"/>
      <c r="E261" s="176"/>
      <c r="F261" s="176"/>
      <c r="G261" s="190"/>
    </row>
    <row r="262" spans="3:7" ht="15.75" customHeight="1">
      <c r="C262" s="4"/>
      <c r="E262" s="176"/>
      <c r="F262" s="176"/>
      <c r="G262" s="190"/>
    </row>
    <row r="263" spans="3:7" ht="15.75" customHeight="1">
      <c r="C263" s="4"/>
      <c r="E263" s="176"/>
      <c r="F263" s="176"/>
      <c r="G263" s="190"/>
    </row>
    <row r="264" spans="3:7" ht="15.75" customHeight="1">
      <c r="C264" s="4"/>
      <c r="E264" s="176"/>
      <c r="F264" s="176"/>
      <c r="G264" s="190"/>
    </row>
    <row r="265" spans="3:7" ht="15.75" customHeight="1">
      <c r="C265" s="4"/>
      <c r="E265" s="176"/>
      <c r="F265" s="176"/>
      <c r="G265" s="190"/>
    </row>
    <row r="266" spans="3:7" ht="15.75" customHeight="1">
      <c r="C266" s="4"/>
      <c r="E266" s="176"/>
      <c r="F266" s="176"/>
      <c r="G266" s="190"/>
    </row>
    <row r="267" spans="3:7" ht="15.75" customHeight="1">
      <c r="C267" s="4"/>
      <c r="E267" s="176"/>
      <c r="F267" s="176"/>
      <c r="G267" s="190"/>
    </row>
    <row r="268" spans="3:7" ht="15.75" customHeight="1">
      <c r="C268" s="4"/>
      <c r="E268" s="176"/>
      <c r="F268" s="176"/>
      <c r="G268" s="190"/>
    </row>
    <row r="269" spans="3:7" ht="15.75" customHeight="1">
      <c r="C269" s="4"/>
      <c r="E269" s="176"/>
      <c r="F269" s="176"/>
      <c r="G269" s="190"/>
    </row>
    <row r="270" spans="3:7" ht="15.75" customHeight="1">
      <c r="C270" s="4"/>
      <c r="E270" s="176"/>
      <c r="F270" s="176"/>
      <c r="G270" s="190"/>
    </row>
    <row r="271" spans="3:7" ht="15.75" customHeight="1">
      <c r="C271" s="4"/>
      <c r="E271" s="176"/>
      <c r="F271" s="176"/>
      <c r="G271" s="190"/>
    </row>
    <row r="272" spans="3:7" ht="15.75" customHeight="1">
      <c r="C272" s="4"/>
      <c r="E272" s="176"/>
      <c r="F272" s="176"/>
      <c r="G272" s="190"/>
    </row>
    <row r="273" spans="3:7" ht="15.75" customHeight="1">
      <c r="C273" s="4"/>
      <c r="E273" s="176"/>
      <c r="F273" s="176"/>
      <c r="G273" s="190"/>
    </row>
    <row r="274" spans="3:7" ht="15.75" customHeight="1">
      <c r="C274" s="4"/>
      <c r="E274" s="176"/>
      <c r="F274" s="176"/>
      <c r="G274" s="190"/>
    </row>
    <row r="275" spans="3:7" ht="15.75" customHeight="1">
      <c r="C275" s="4"/>
      <c r="E275" s="176"/>
      <c r="F275" s="176"/>
      <c r="G275" s="190"/>
    </row>
    <row r="276" spans="3:7" ht="15.75" customHeight="1">
      <c r="C276" s="4"/>
      <c r="E276" s="176"/>
      <c r="F276" s="176"/>
      <c r="G276" s="190"/>
    </row>
    <row r="277" spans="3:7" ht="15.75" customHeight="1">
      <c r="C277" s="4"/>
      <c r="E277" s="176"/>
      <c r="F277" s="176"/>
      <c r="G277" s="190"/>
    </row>
    <row r="278" spans="3:7" ht="15.75" customHeight="1">
      <c r="C278" s="4"/>
      <c r="E278" s="176"/>
      <c r="F278" s="176"/>
      <c r="G278" s="190"/>
    </row>
    <row r="279" spans="3:7" ht="15.75" customHeight="1">
      <c r="C279" s="4"/>
      <c r="E279" s="176"/>
      <c r="F279" s="176"/>
      <c r="G279" s="190"/>
    </row>
    <row r="280" spans="3:7" ht="15.75" customHeight="1">
      <c r="C280" s="4"/>
      <c r="E280" s="176"/>
      <c r="F280" s="176"/>
      <c r="G280" s="190"/>
    </row>
    <row r="281" spans="3:7" ht="15.75" customHeight="1">
      <c r="C281" s="4"/>
      <c r="E281" s="176"/>
      <c r="F281" s="176"/>
      <c r="G281" s="190"/>
    </row>
    <row r="282" spans="3:7" ht="15.75" customHeight="1">
      <c r="C282" s="4"/>
      <c r="E282" s="176"/>
      <c r="F282" s="176"/>
      <c r="G282" s="190"/>
    </row>
    <row r="283" spans="3:7" ht="15.75" customHeight="1">
      <c r="C283" s="4"/>
      <c r="E283" s="176"/>
      <c r="F283" s="176"/>
      <c r="G283" s="190"/>
    </row>
    <row r="284" spans="3:7" ht="15.75" customHeight="1">
      <c r="C284" s="4"/>
      <c r="E284" s="176"/>
      <c r="F284" s="176"/>
      <c r="G284" s="190"/>
    </row>
    <row r="285" spans="3:7" ht="15.75" customHeight="1">
      <c r="C285" s="4"/>
      <c r="E285" s="176"/>
      <c r="F285" s="176"/>
      <c r="G285" s="190"/>
    </row>
    <row r="286" spans="3:7" ht="15.75" customHeight="1">
      <c r="C286" s="4"/>
      <c r="E286" s="176"/>
      <c r="F286" s="176"/>
      <c r="G286" s="190"/>
    </row>
    <row r="287" spans="3:7" ht="15.75" customHeight="1">
      <c r="C287" s="4"/>
      <c r="E287" s="176"/>
      <c r="F287" s="176"/>
      <c r="G287" s="190"/>
    </row>
    <row r="288" spans="3:7" ht="15.75" customHeight="1">
      <c r="C288" s="4"/>
      <c r="E288" s="176"/>
      <c r="F288" s="176"/>
      <c r="G288" s="190"/>
    </row>
    <row r="289" spans="3:7" ht="15.75" customHeight="1">
      <c r="C289" s="4"/>
      <c r="E289" s="176"/>
      <c r="F289" s="176"/>
      <c r="G289" s="190"/>
    </row>
    <row r="290" spans="3:7" ht="15.75" customHeight="1">
      <c r="C290" s="4"/>
      <c r="E290" s="176"/>
      <c r="F290" s="176"/>
      <c r="G290" s="190"/>
    </row>
    <row r="291" spans="3:7" ht="15.75" customHeight="1">
      <c r="C291" s="4"/>
      <c r="E291" s="176"/>
      <c r="F291" s="176"/>
      <c r="G291" s="190"/>
    </row>
    <row r="292" spans="3:7" ht="15.75" customHeight="1">
      <c r="C292" s="4"/>
      <c r="E292" s="176"/>
      <c r="F292" s="176"/>
      <c r="G292" s="190"/>
    </row>
    <row r="293" spans="3:7" ht="15.75" customHeight="1">
      <c r="C293" s="4"/>
      <c r="E293" s="176"/>
      <c r="F293" s="176"/>
      <c r="G293" s="190"/>
    </row>
    <row r="294" spans="3:7" ht="15.75" customHeight="1">
      <c r="C294" s="4"/>
      <c r="E294" s="176"/>
      <c r="F294" s="176"/>
      <c r="G294" s="190"/>
    </row>
    <row r="295" spans="3:7" ht="15.75" customHeight="1">
      <c r="C295" s="4"/>
      <c r="E295" s="176"/>
      <c r="F295" s="176"/>
      <c r="G295" s="190"/>
    </row>
    <row r="296" spans="3:7" ht="15.75" customHeight="1">
      <c r="C296" s="4"/>
      <c r="E296" s="176"/>
      <c r="F296" s="176"/>
      <c r="G296" s="190"/>
    </row>
    <row r="297" spans="3:7" ht="15.75" customHeight="1">
      <c r="C297" s="4"/>
      <c r="E297" s="176"/>
      <c r="F297" s="176"/>
      <c r="G297" s="190"/>
    </row>
    <row r="298" spans="3:7" ht="15.75" customHeight="1">
      <c r="C298" s="4"/>
      <c r="E298" s="176"/>
      <c r="F298" s="176"/>
      <c r="G298" s="190"/>
    </row>
    <row r="299" spans="3:7" ht="15.75" customHeight="1">
      <c r="C299" s="4"/>
      <c r="E299" s="176"/>
      <c r="F299" s="176"/>
      <c r="G299" s="190"/>
    </row>
    <row r="300" spans="3:7" ht="15.75" customHeight="1">
      <c r="C300" s="4"/>
      <c r="E300" s="176"/>
      <c r="F300" s="176"/>
      <c r="G300" s="190"/>
    </row>
    <row r="301" spans="3:7" ht="15.75" customHeight="1">
      <c r="C301" s="4"/>
      <c r="E301" s="176"/>
      <c r="F301" s="176"/>
      <c r="G301" s="190"/>
    </row>
    <row r="302" spans="3:7" ht="15.75" customHeight="1">
      <c r="C302" s="4"/>
      <c r="E302" s="176"/>
      <c r="F302" s="176"/>
      <c r="G302" s="190"/>
    </row>
    <row r="303" spans="3:7" ht="15.75" customHeight="1">
      <c r="C303" s="4"/>
      <c r="E303" s="176"/>
      <c r="F303" s="176"/>
      <c r="G303" s="190"/>
    </row>
    <row r="304" spans="3:7" ht="15.75" customHeight="1">
      <c r="C304" s="4"/>
      <c r="E304" s="176"/>
      <c r="F304" s="176"/>
      <c r="G304" s="190"/>
    </row>
    <row r="305" spans="3:7" ht="15.75" customHeight="1">
      <c r="C305" s="4"/>
      <c r="E305" s="176"/>
      <c r="F305" s="176"/>
      <c r="G305" s="190"/>
    </row>
    <row r="306" spans="3:7" ht="15.75" customHeight="1">
      <c r="C306" s="4"/>
      <c r="E306" s="176"/>
      <c r="F306" s="176"/>
      <c r="G306" s="190"/>
    </row>
    <row r="307" spans="3:7" ht="15.75" customHeight="1">
      <c r="C307" s="4"/>
      <c r="E307" s="176"/>
      <c r="F307" s="176"/>
      <c r="G307" s="190"/>
    </row>
    <row r="308" spans="3:7" ht="15.75" customHeight="1">
      <c r="C308" s="4"/>
      <c r="E308" s="176"/>
      <c r="F308" s="176"/>
      <c r="G308" s="190"/>
    </row>
    <row r="309" spans="3:7" ht="15.75" customHeight="1">
      <c r="C309" s="4"/>
      <c r="E309" s="176"/>
      <c r="F309" s="176"/>
      <c r="G309" s="190"/>
    </row>
    <row r="310" spans="3:7" ht="15.75" customHeight="1">
      <c r="C310" s="4"/>
      <c r="E310" s="176"/>
      <c r="F310" s="176"/>
      <c r="G310" s="190"/>
    </row>
    <row r="311" spans="3:7" ht="15.75" customHeight="1">
      <c r="C311" s="4"/>
      <c r="E311" s="176"/>
      <c r="F311" s="176"/>
      <c r="G311" s="190"/>
    </row>
    <row r="312" spans="3:7" ht="15.75" customHeight="1">
      <c r="C312" s="4"/>
      <c r="E312" s="176"/>
      <c r="F312" s="176"/>
      <c r="G312" s="190"/>
    </row>
    <row r="313" spans="3:7" ht="15.75" customHeight="1">
      <c r="C313" s="4"/>
      <c r="E313" s="176"/>
      <c r="F313" s="176"/>
      <c r="G313" s="190"/>
    </row>
    <row r="314" spans="3:7" ht="15.75" customHeight="1">
      <c r="C314" s="4"/>
      <c r="E314" s="176"/>
      <c r="F314" s="176"/>
      <c r="G314" s="190"/>
    </row>
    <row r="315" spans="3:7" ht="15.75" customHeight="1">
      <c r="C315" s="4"/>
      <c r="E315" s="176"/>
      <c r="F315" s="176"/>
      <c r="G315" s="190"/>
    </row>
    <row r="316" spans="3:7" ht="15.75" customHeight="1">
      <c r="C316" s="4"/>
      <c r="E316" s="176"/>
      <c r="F316" s="176"/>
      <c r="G316" s="190"/>
    </row>
    <row r="317" spans="3:7" ht="15.75" customHeight="1">
      <c r="C317" s="4"/>
      <c r="E317" s="176"/>
      <c r="F317" s="176"/>
      <c r="G317" s="190"/>
    </row>
    <row r="318" spans="3:7" ht="15.75" customHeight="1">
      <c r="C318" s="4"/>
      <c r="E318" s="176"/>
      <c r="F318" s="176"/>
      <c r="G318" s="190"/>
    </row>
    <row r="319" spans="3:7" ht="15.75" customHeight="1">
      <c r="C319" s="4"/>
      <c r="E319" s="176"/>
      <c r="F319" s="176"/>
      <c r="G319" s="190"/>
    </row>
    <row r="320" spans="3:7" ht="15.75" customHeight="1">
      <c r="C320" s="4"/>
      <c r="E320" s="176"/>
      <c r="F320" s="176"/>
      <c r="G320" s="190"/>
    </row>
    <row r="321" spans="3:7" ht="15.75" customHeight="1">
      <c r="C321" s="4"/>
      <c r="E321" s="176"/>
      <c r="F321" s="176"/>
      <c r="G321" s="190"/>
    </row>
    <row r="322" spans="3:7" ht="15.75" customHeight="1">
      <c r="C322" s="4"/>
      <c r="E322" s="176"/>
      <c r="F322" s="176"/>
      <c r="G322" s="190"/>
    </row>
    <row r="323" spans="3:7" ht="15.75" customHeight="1">
      <c r="C323" s="4"/>
      <c r="E323" s="176"/>
      <c r="F323" s="176"/>
      <c r="G323" s="190"/>
    </row>
    <row r="324" spans="3:7" ht="15.75" customHeight="1">
      <c r="C324" s="4"/>
      <c r="E324" s="176"/>
      <c r="F324" s="176"/>
      <c r="G324" s="190"/>
    </row>
    <row r="325" spans="3:7" ht="15.75" customHeight="1">
      <c r="C325" s="4"/>
      <c r="E325" s="176"/>
      <c r="F325" s="176"/>
      <c r="G325" s="190"/>
    </row>
    <row r="326" spans="3:7" ht="15.75" customHeight="1">
      <c r="C326" s="4"/>
      <c r="E326" s="176"/>
      <c r="F326" s="176"/>
      <c r="G326" s="190"/>
    </row>
    <row r="327" spans="3:7" ht="15.75" customHeight="1">
      <c r="C327" s="4"/>
      <c r="E327" s="176"/>
      <c r="F327" s="176"/>
      <c r="G327" s="190"/>
    </row>
    <row r="328" spans="3:7" ht="15.75" customHeight="1">
      <c r="C328" s="4"/>
      <c r="E328" s="176"/>
      <c r="F328" s="176"/>
      <c r="G328" s="190"/>
    </row>
    <row r="329" spans="3:7" ht="15.75" customHeight="1">
      <c r="C329" s="4"/>
      <c r="E329" s="176"/>
      <c r="F329" s="176"/>
      <c r="G329" s="190"/>
    </row>
    <row r="330" spans="3:7" ht="15.75" customHeight="1">
      <c r="C330" s="4"/>
      <c r="E330" s="176"/>
      <c r="F330" s="176"/>
      <c r="G330" s="190"/>
    </row>
    <row r="331" spans="3:7" ht="15.75" customHeight="1">
      <c r="C331" s="4"/>
      <c r="E331" s="176"/>
      <c r="F331" s="176"/>
      <c r="G331" s="190"/>
    </row>
    <row r="332" spans="3:7" ht="15.75" customHeight="1">
      <c r="C332" s="4"/>
      <c r="E332" s="176"/>
      <c r="F332" s="176"/>
      <c r="G332" s="190"/>
    </row>
    <row r="333" spans="3:7" ht="15.75" customHeight="1">
      <c r="C333" s="4"/>
      <c r="E333" s="176"/>
      <c r="F333" s="176"/>
      <c r="G333" s="190"/>
    </row>
    <row r="334" spans="3:7" ht="15.75" customHeight="1">
      <c r="C334" s="4"/>
      <c r="E334" s="176"/>
      <c r="F334" s="176"/>
      <c r="G334" s="190"/>
    </row>
    <row r="335" spans="3:7" ht="15.75" customHeight="1">
      <c r="C335" s="4"/>
      <c r="E335" s="176"/>
      <c r="F335" s="176"/>
      <c r="G335" s="190"/>
    </row>
    <row r="336" spans="3:7" ht="15.75" customHeight="1">
      <c r="C336" s="4"/>
      <c r="E336" s="176"/>
      <c r="F336" s="176"/>
      <c r="G336" s="190"/>
    </row>
    <row r="337" spans="3:7" ht="15.75" customHeight="1">
      <c r="C337" s="4"/>
      <c r="E337" s="176"/>
      <c r="F337" s="176"/>
      <c r="G337" s="190"/>
    </row>
    <row r="338" spans="3:7" ht="15.75" customHeight="1">
      <c r="C338" s="4"/>
      <c r="E338" s="176"/>
      <c r="F338" s="176"/>
      <c r="G338" s="190"/>
    </row>
    <row r="339" spans="3:7" ht="15.75" customHeight="1">
      <c r="C339" s="4"/>
      <c r="E339" s="176"/>
      <c r="F339" s="176"/>
      <c r="G339" s="190"/>
    </row>
    <row r="340" spans="3:7" ht="15.75" customHeight="1">
      <c r="C340" s="4"/>
      <c r="E340" s="176"/>
      <c r="F340" s="176"/>
      <c r="G340" s="190"/>
    </row>
    <row r="341" spans="3:7" ht="15.75" customHeight="1">
      <c r="C341" s="4"/>
      <c r="E341" s="176"/>
      <c r="F341" s="176"/>
      <c r="G341" s="190"/>
    </row>
    <row r="342" spans="3:7" ht="15.75" customHeight="1">
      <c r="C342" s="4"/>
      <c r="E342" s="176"/>
      <c r="F342" s="176"/>
      <c r="G342" s="190"/>
    </row>
    <row r="343" spans="3:7" ht="15.75" customHeight="1">
      <c r="C343" s="4"/>
      <c r="E343" s="176"/>
      <c r="F343" s="176"/>
      <c r="G343" s="190"/>
    </row>
    <row r="344" spans="3:7" ht="15.75" customHeight="1">
      <c r="C344" s="4"/>
      <c r="E344" s="176"/>
      <c r="F344" s="176"/>
      <c r="G344" s="190"/>
    </row>
    <row r="345" spans="3:7" ht="15.75" customHeight="1">
      <c r="C345" s="4"/>
      <c r="E345" s="176"/>
      <c r="F345" s="176"/>
      <c r="G345" s="190"/>
    </row>
    <row r="346" spans="3:7" ht="15.75" customHeight="1">
      <c r="C346" s="4"/>
      <c r="E346" s="176"/>
      <c r="F346" s="176"/>
      <c r="G346" s="190"/>
    </row>
    <row r="347" spans="3:7" ht="15.75" customHeight="1">
      <c r="C347" s="4"/>
      <c r="E347" s="176"/>
      <c r="F347" s="176"/>
      <c r="G347" s="190"/>
    </row>
    <row r="348" spans="3:7" ht="15.75" customHeight="1">
      <c r="C348" s="4"/>
      <c r="E348" s="176"/>
      <c r="F348" s="176"/>
      <c r="G348" s="190"/>
    </row>
    <row r="349" spans="3:7" ht="15.75" customHeight="1">
      <c r="C349" s="4"/>
      <c r="E349" s="176"/>
      <c r="F349" s="176"/>
      <c r="G349" s="190"/>
    </row>
    <row r="350" spans="3:7" ht="15.75" customHeight="1">
      <c r="C350" s="4"/>
      <c r="E350" s="176"/>
      <c r="F350" s="176"/>
      <c r="G350" s="190"/>
    </row>
    <row r="351" spans="3:7" ht="15.75" customHeight="1">
      <c r="C351" s="4"/>
      <c r="E351" s="176"/>
      <c r="F351" s="176"/>
      <c r="G351" s="190"/>
    </row>
    <row r="352" spans="3:7" ht="15.75" customHeight="1">
      <c r="C352" s="4"/>
      <c r="E352" s="176"/>
      <c r="F352" s="176"/>
      <c r="G352" s="190"/>
    </row>
    <row r="353" spans="3:7" ht="15.75" customHeight="1">
      <c r="C353" s="4"/>
      <c r="E353" s="176"/>
      <c r="F353" s="176"/>
      <c r="G353" s="190"/>
    </row>
    <row r="354" spans="3:7" ht="15.75" customHeight="1">
      <c r="C354" s="4"/>
      <c r="E354" s="176"/>
      <c r="F354" s="176"/>
      <c r="G354" s="190"/>
    </row>
    <row r="355" spans="3:7" ht="15.75" customHeight="1">
      <c r="C355" s="4"/>
      <c r="E355" s="176"/>
      <c r="F355" s="176"/>
      <c r="G355" s="190"/>
    </row>
    <row r="356" spans="3:7" ht="15.75" customHeight="1">
      <c r="C356" s="4"/>
      <c r="E356" s="176"/>
      <c r="F356" s="176"/>
      <c r="G356" s="190"/>
    </row>
    <row r="357" spans="3:7" ht="15.75" customHeight="1">
      <c r="C357" s="4"/>
      <c r="E357" s="176"/>
      <c r="F357" s="176"/>
      <c r="G357" s="190"/>
    </row>
    <row r="358" spans="3:7" ht="15.75" customHeight="1">
      <c r="C358" s="4"/>
      <c r="E358" s="176"/>
      <c r="F358" s="176"/>
      <c r="G358" s="190"/>
    </row>
    <row r="359" spans="3:7" ht="15.75" customHeight="1">
      <c r="C359" s="4"/>
      <c r="E359" s="176"/>
      <c r="F359" s="176"/>
      <c r="G359" s="190"/>
    </row>
    <row r="360" spans="3:7" ht="15.75" customHeight="1">
      <c r="C360" s="4"/>
      <c r="E360" s="176"/>
      <c r="F360" s="176"/>
      <c r="G360" s="190"/>
    </row>
    <row r="361" spans="3:7" ht="15.75" customHeight="1">
      <c r="C361" s="4"/>
      <c r="E361" s="176"/>
      <c r="F361" s="176"/>
      <c r="G361" s="190"/>
    </row>
    <row r="362" spans="3:7" ht="15.75" customHeight="1">
      <c r="C362" s="4"/>
      <c r="E362" s="176"/>
      <c r="F362" s="176"/>
      <c r="G362" s="190"/>
    </row>
    <row r="363" spans="3:7" ht="15.75" customHeight="1">
      <c r="C363" s="4"/>
      <c r="E363" s="176"/>
      <c r="F363" s="176"/>
      <c r="G363" s="190"/>
    </row>
    <row r="364" spans="3:7" ht="15.75" customHeight="1">
      <c r="C364" s="4"/>
      <c r="E364" s="176"/>
      <c r="F364" s="176"/>
      <c r="G364" s="190"/>
    </row>
    <row r="365" spans="3:7" ht="15.75" customHeight="1">
      <c r="C365" s="4"/>
      <c r="E365" s="176"/>
      <c r="F365" s="176"/>
      <c r="G365" s="190"/>
    </row>
    <row r="366" spans="3:7" ht="15.75" customHeight="1">
      <c r="C366" s="4"/>
      <c r="E366" s="176"/>
      <c r="F366" s="176"/>
      <c r="G366" s="190"/>
    </row>
    <row r="367" spans="3:7" ht="15.75" customHeight="1">
      <c r="C367" s="4"/>
      <c r="E367" s="176"/>
      <c r="F367" s="176"/>
      <c r="G367" s="190"/>
    </row>
    <row r="368" spans="3:7" ht="15.75" customHeight="1">
      <c r="C368" s="4"/>
      <c r="E368" s="176"/>
      <c r="F368" s="176"/>
      <c r="G368" s="190"/>
    </row>
    <row r="369" spans="3:7" ht="15.75" customHeight="1">
      <c r="C369" s="4"/>
      <c r="E369" s="176"/>
      <c r="F369" s="176"/>
      <c r="G369" s="190"/>
    </row>
    <row r="370" spans="3:7" ht="15.75" customHeight="1">
      <c r="C370" s="4"/>
      <c r="E370" s="176"/>
      <c r="F370" s="176"/>
      <c r="G370" s="190"/>
    </row>
    <row r="371" spans="3:7" ht="15.75" customHeight="1">
      <c r="C371" s="4"/>
      <c r="E371" s="176"/>
      <c r="F371" s="176"/>
      <c r="G371" s="190"/>
    </row>
    <row r="372" spans="3:7" ht="15.75" customHeight="1">
      <c r="C372" s="4"/>
      <c r="E372" s="176"/>
      <c r="F372" s="176"/>
      <c r="G372" s="190"/>
    </row>
    <row r="373" spans="3:7" ht="15.75" customHeight="1">
      <c r="C373" s="4"/>
      <c r="E373" s="176"/>
      <c r="F373" s="176"/>
      <c r="G373" s="190"/>
    </row>
    <row r="374" spans="3:7" ht="15.75" customHeight="1">
      <c r="C374" s="4"/>
      <c r="E374" s="176"/>
      <c r="F374" s="176"/>
      <c r="G374" s="190"/>
    </row>
    <row r="375" spans="3:7" ht="15.75" customHeight="1">
      <c r="C375" s="4"/>
      <c r="E375" s="176"/>
      <c r="F375" s="176"/>
      <c r="G375" s="190"/>
    </row>
    <row r="376" spans="3:7" ht="15.75" customHeight="1">
      <c r="C376" s="4"/>
      <c r="E376" s="176"/>
      <c r="F376" s="176"/>
      <c r="G376" s="190"/>
    </row>
    <row r="377" spans="3:7" ht="15.75" customHeight="1">
      <c r="C377" s="4"/>
      <c r="E377" s="176"/>
      <c r="F377" s="176"/>
      <c r="G377" s="190"/>
    </row>
    <row r="378" spans="3:7" ht="15.75" customHeight="1">
      <c r="C378" s="4"/>
      <c r="E378" s="176"/>
      <c r="F378" s="176"/>
      <c r="G378" s="190"/>
    </row>
    <row r="379" spans="3:7" ht="15.75" customHeight="1">
      <c r="C379" s="4"/>
      <c r="E379" s="176"/>
      <c r="F379" s="176"/>
      <c r="G379" s="190"/>
    </row>
    <row r="380" spans="3:7" ht="15.75" customHeight="1">
      <c r="C380" s="4"/>
      <c r="E380" s="176"/>
      <c r="F380" s="176"/>
      <c r="G380" s="190"/>
    </row>
    <row r="381" spans="3:7" ht="15.75" customHeight="1">
      <c r="C381" s="4"/>
      <c r="E381" s="176"/>
      <c r="F381" s="176"/>
      <c r="G381" s="190"/>
    </row>
    <row r="382" spans="3:7" ht="15.75" customHeight="1">
      <c r="C382" s="4"/>
      <c r="E382" s="176"/>
      <c r="F382" s="176"/>
      <c r="G382" s="190"/>
    </row>
    <row r="383" spans="3:7" ht="15.75" customHeight="1">
      <c r="C383" s="4"/>
      <c r="E383" s="176"/>
      <c r="F383" s="176"/>
      <c r="G383" s="190"/>
    </row>
    <row r="384" spans="3:7" ht="15.75" customHeight="1">
      <c r="C384" s="4"/>
      <c r="E384" s="176"/>
      <c r="F384" s="176"/>
      <c r="G384" s="190"/>
    </row>
    <row r="385" spans="3:7" ht="15.75" customHeight="1">
      <c r="C385" s="4"/>
      <c r="E385" s="176"/>
      <c r="F385" s="176"/>
      <c r="G385" s="190"/>
    </row>
    <row r="386" spans="3:7" ht="15.75" customHeight="1">
      <c r="C386" s="4"/>
      <c r="E386" s="176"/>
      <c r="F386" s="176"/>
      <c r="G386" s="190"/>
    </row>
    <row r="387" spans="3:7" ht="15.75" customHeight="1">
      <c r="C387" s="4"/>
      <c r="E387" s="176"/>
      <c r="F387" s="176"/>
      <c r="G387" s="190"/>
    </row>
    <row r="388" spans="3:7" ht="15.75" customHeight="1">
      <c r="C388" s="4"/>
      <c r="E388" s="176"/>
      <c r="F388" s="176"/>
      <c r="G388" s="190"/>
    </row>
    <row r="389" spans="3:7" ht="15.75" customHeight="1">
      <c r="C389" s="4"/>
      <c r="E389" s="176"/>
      <c r="F389" s="176"/>
      <c r="G389" s="190"/>
    </row>
    <row r="390" spans="3:7" ht="15.75" customHeight="1">
      <c r="C390" s="4"/>
      <c r="E390" s="176"/>
      <c r="F390" s="176"/>
      <c r="G390" s="190"/>
    </row>
    <row r="391" spans="3:7" ht="15.75" customHeight="1">
      <c r="C391" s="4"/>
      <c r="E391" s="176"/>
      <c r="F391" s="176"/>
      <c r="G391" s="190"/>
    </row>
    <row r="392" spans="3:7" ht="15.75" customHeight="1">
      <c r="C392" s="4"/>
      <c r="E392" s="176"/>
      <c r="F392" s="176"/>
      <c r="G392" s="190"/>
    </row>
    <row r="393" spans="3:7" ht="15.75" customHeight="1">
      <c r="C393" s="4"/>
      <c r="E393" s="176"/>
      <c r="F393" s="176"/>
      <c r="G393" s="190"/>
    </row>
    <row r="394" spans="3:7" ht="15.75" customHeight="1">
      <c r="C394" s="4"/>
      <c r="E394" s="176"/>
      <c r="F394" s="176"/>
      <c r="G394" s="190"/>
    </row>
    <row r="395" spans="3:7" ht="15.75" customHeight="1">
      <c r="C395" s="4"/>
      <c r="E395" s="176"/>
      <c r="F395" s="176"/>
      <c r="G395" s="190"/>
    </row>
    <row r="396" spans="3:7" ht="15.75" customHeight="1">
      <c r="C396" s="4"/>
      <c r="E396" s="176"/>
      <c r="F396" s="176"/>
      <c r="G396" s="190"/>
    </row>
    <row r="397" spans="3:7" ht="15.75" customHeight="1">
      <c r="C397" s="4"/>
      <c r="E397" s="176"/>
      <c r="F397" s="176"/>
      <c r="G397" s="190"/>
    </row>
    <row r="398" spans="3:7" ht="15.75" customHeight="1">
      <c r="C398" s="4"/>
      <c r="E398" s="176"/>
      <c r="F398" s="176"/>
      <c r="G398" s="190"/>
    </row>
    <row r="399" spans="3:7" ht="15.75" customHeight="1">
      <c r="C399" s="4"/>
      <c r="E399" s="176"/>
      <c r="F399" s="176"/>
      <c r="G399" s="190"/>
    </row>
    <row r="400" spans="3:7" ht="15.75" customHeight="1">
      <c r="C400" s="4"/>
      <c r="E400" s="176"/>
      <c r="F400" s="176"/>
      <c r="G400" s="190"/>
    </row>
    <row r="401" spans="3:7" ht="15.75" customHeight="1">
      <c r="C401" s="4"/>
      <c r="E401" s="176"/>
      <c r="F401" s="176"/>
      <c r="G401" s="190"/>
    </row>
    <row r="402" spans="3:7" ht="15.75" customHeight="1">
      <c r="C402" s="4"/>
      <c r="E402" s="176"/>
      <c r="F402" s="176"/>
      <c r="G402" s="190"/>
    </row>
    <row r="403" spans="3:7" ht="15.75" customHeight="1">
      <c r="C403" s="4"/>
      <c r="E403" s="176"/>
      <c r="F403" s="176"/>
      <c r="G403" s="190"/>
    </row>
    <row r="404" spans="3:7" ht="15.75" customHeight="1">
      <c r="C404" s="4"/>
      <c r="E404" s="176"/>
      <c r="F404" s="176"/>
      <c r="G404" s="190"/>
    </row>
    <row r="405" spans="3:7" ht="15.75" customHeight="1">
      <c r="C405" s="4"/>
      <c r="E405" s="176"/>
      <c r="F405" s="176"/>
      <c r="G405" s="190"/>
    </row>
    <row r="406" spans="3:7" ht="15.75" customHeight="1">
      <c r="C406" s="4"/>
      <c r="E406" s="176"/>
      <c r="F406" s="176"/>
      <c r="G406" s="190"/>
    </row>
    <row r="407" spans="3:7" ht="15.75" customHeight="1">
      <c r="C407" s="4"/>
      <c r="E407" s="176"/>
      <c r="F407" s="176"/>
      <c r="G407" s="190"/>
    </row>
    <row r="408" spans="3:7" ht="15.75" customHeight="1">
      <c r="C408" s="4"/>
      <c r="E408" s="176"/>
      <c r="F408" s="176"/>
      <c r="G408" s="190"/>
    </row>
    <row r="409" spans="3:7" ht="15.75" customHeight="1">
      <c r="C409" s="4"/>
      <c r="E409" s="176"/>
      <c r="F409" s="176"/>
      <c r="G409" s="190"/>
    </row>
    <row r="410" spans="3:7" ht="15.75" customHeight="1">
      <c r="C410" s="4"/>
      <c r="E410" s="176"/>
      <c r="F410" s="176"/>
      <c r="G410" s="190"/>
    </row>
    <row r="411" spans="3:7" ht="15.75" customHeight="1">
      <c r="C411" s="4"/>
      <c r="E411" s="176"/>
      <c r="F411" s="176"/>
      <c r="G411" s="190"/>
    </row>
    <row r="412" spans="3:7" ht="15.75" customHeight="1">
      <c r="C412" s="4"/>
      <c r="E412" s="176"/>
      <c r="F412" s="176"/>
      <c r="G412" s="190"/>
    </row>
    <row r="413" spans="3:7" ht="15.75" customHeight="1">
      <c r="C413" s="4"/>
      <c r="E413" s="176"/>
      <c r="F413" s="176"/>
      <c r="G413" s="190"/>
    </row>
    <row r="414" spans="3:7" ht="15.75" customHeight="1">
      <c r="C414" s="4"/>
      <c r="E414" s="176"/>
      <c r="F414" s="176"/>
      <c r="G414" s="190"/>
    </row>
    <row r="415" spans="3:7" ht="15.75" customHeight="1">
      <c r="C415" s="4"/>
      <c r="E415" s="176"/>
      <c r="F415" s="176"/>
      <c r="G415" s="190"/>
    </row>
    <row r="416" spans="3:7" ht="15.75" customHeight="1">
      <c r="C416" s="4"/>
      <c r="E416" s="176"/>
      <c r="F416" s="176"/>
      <c r="G416" s="190"/>
    </row>
    <row r="417" spans="3:7" ht="15.75" customHeight="1">
      <c r="C417" s="4"/>
      <c r="E417" s="176"/>
      <c r="F417" s="176"/>
      <c r="G417" s="190"/>
    </row>
    <row r="418" spans="3:7" ht="15.75" customHeight="1">
      <c r="C418" s="4"/>
      <c r="E418" s="176"/>
      <c r="F418" s="176"/>
      <c r="G418" s="190"/>
    </row>
    <row r="419" spans="3:7" ht="15.75" customHeight="1">
      <c r="C419" s="4"/>
      <c r="E419" s="176"/>
      <c r="F419" s="176"/>
      <c r="G419" s="190"/>
    </row>
    <row r="420" spans="3:7" ht="15.75" customHeight="1">
      <c r="C420" s="4"/>
      <c r="E420" s="176"/>
      <c r="F420" s="176"/>
      <c r="G420" s="190"/>
    </row>
    <row r="421" spans="3:7" ht="15.75" customHeight="1">
      <c r="C421" s="4"/>
      <c r="E421" s="176"/>
      <c r="F421" s="176"/>
      <c r="G421" s="190"/>
    </row>
    <row r="422" spans="3:7" ht="15.75" customHeight="1">
      <c r="C422" s="4"/>
      <c r="E422" s="176"/>
      <c r="F422" s="176"/>
      <c r="G422" s="190"/>
    </row>
    <row r="423" spans="3:7" ht="15.75" customHeight="1">
      <c r="C423" s="4"/>
      <c r="E423" s="176"/>
      <c r="F423" s="176"/>
      <c r="G423" s="190"/>
    </row>
    <row r="424" spans="3:7" ht="15.75" customHeight="1">
      <c r="C424" s="4"/>
      <c r="E424" s="176"/>
      <c r="F424" s="176"/>
      <c r="G424" s="190"/>
    </row>
    <row r="425" spans="3:7" ht="15.75" customHeight="1">
      <c r="C425" s="4"/>
      <c r="E425" s="176"/>
      <c r="F425" s="176"/>
      <c r="G425" s="190"/>
    </row>
    <row r="426" spans="3:7" ht="15.75" customHeight="1">
      <c r="C426" s="4"/>
      <c r="E426" s="176"/>
      <c r="F426" s="176"/>
      <c r="G426" s="190"/>
    </row>
    <row r="427" spans="3:7" ht="15.75" customHeight="1">
      <c r="C427" s="4"/>
      <c r="E427" s="176"/>
      <c r="F427" s="176"/>
      <c r="G427" s="190"/>
    </row>
    <row r="428" spans="3:7" ht="15.75" customHeight="1">
      <c r="C428" s="4"/>
      <c r="E428" s="176"/>
      <c r="F428" s="176"/>
      <c r="G428" s="190"/>
    </row>
    <row r="429" spans="3:7" ht="15.75" customHeight="1">
      <c r="C429" s="4"/>
      <c r="E429" s="176"/>
      <c r="F429" s="176"/>
      <c r="G429" s="190"/>
    </row>
    <row r="430" spans="3:7" ht="15.75" customHeight="1">
      <c r="C430" s="4"/>
      <c r="E430" s="176"/>
      <c r="F430" s="176"/>
      <c r="G430" s="190"/>
    </row>
    <row r="431" spans="3:7" ht="15.75" customHeight="1">
      <c r="C431" s="4"/>
      <c r="E431" s="176"/>
      <c r="F431" s="176"/>
      <c r="G431" s="190"/>
    </row>
    <row r="432" spans="3:7" ht="15.75" customHeight="1">
      <c r="C432" s="4"/>
      <c r="E432" s="176"/>
      <c r="F432" s="176"/>
      <c r="G432" s="190"/>
    </row>
    <row r="433" spans="3:7" ht="15.75" customHeight="1">
      <c r="C433" s="4"/>
      <c r="E433" s="176"/>
      <c r="F433" s="176"/>
      <c r="G433" s="190"/>
    </row>
    <row r="434" spans="3:7" ht="15.75" customHeight="1">
      <c r="C434" s="4"/>
      <c r="E434" s="176"/>
      <c r="F434" s="176"/>
      <c r="G434" s="190"/>
    </row>
    <row r="435" spans="3:7" ht="15.75" customHeight="1">
      <c r="C435" s="4"/>
      <c r="E435" s="176"/>
      <c r="F435" s="176"/>
      <c r="G435" s="190"/>
    </row>
    <row r="436" spans="3:7" ht="15.75" customHeight="1">
      <c r="C436" s="4"/>
      <c r="E436" s="176"/>
      <c r="F436" s="176"/>
      <c r="G436" s="190"/>
    </row>
    <row r="437" spans="3:7" ht="15.75" customHeight="1">
      <c r="C437" s="4"/>
      <c r="E437" s="176"/>
      <c r="F437" s="176"/>
      <c r="G437" s="190"/>
    </row>
    <row r="438" spans="3:7" ht="15.75" customHeight="1">
      <c r="C438" s="4"/>
      <c r="E438" s="176"/>
      <c r="F438" s="176"/>
      <c r="G438" s="190"/>
    </row>
    <row r="439" spans="3:7" ht="15.75" customHeight="1">
      <c r="C439" s="4"/>
      <c r="E439" s="176"/>
      <c r="F439" s="176"/>
      <c r="G439" s="190"/>
    </row>
    <row r="440" spans="3:7" ht="15.75" customHeight="1">
      <c r="C440" s="4"/>
      <c r="E440" s="176"/>
      <c r="F440" s="176"/>
      <c r="G440" s="190"/>
    </row>
    <row r="441" spans="3:7" ht="15.75" customHeight="1">
      <c r="C441" s="4"/>
      <c r="E441" s="176"/>
      <c r="F441" s="176"/>
      <c r="G441" s="190"/>
    </row>
    <row r="442" spans="3:7" ht="15.75" customHeight="1">
      <c r="C442" s="4"/>
      <c r="E442" s="176"/>
      <c r="F442" s="176"/>
      <c r="G442" s="190"/>
    </row>
    <row r="443" spans="3:7" ht="15.75" customHeight="1">
      <c r="C443" s="4"/>
      <c r="E443" s="176"/>
      <c r="F443" s="176"/>
      <c r="G443" s="190"/>
    </row>
    <row r="444" spans="3:7" ht="15.75" customHeight="1">
      <c r="C444" s="4"/>
      <c r="E444" s="176"/>
      <c r="F444" s="176"/>
      <c r="G444" s="190"/>
    </row>
    <row r="445" spans="3:7" ht="15.75" customHeight="1">
      <c r="C445" s="4"/>
      <c r="E445" s="176"/>
      <c r="F445" s="176"/>
      <c r="G445" s="190"/>
    </row>
    <row r="446" spans="3:7" ht="15.75" customHeight="1">
      <c r="C446" s="4"/>
      <c r="E446" s="176"/>
      <c r="F446" s="176"/>
      <c r="G446" s="190"/>
    </row>
    <row r="447" spans="3:7" ht="15.75" customHeight="1">
      <c r="C447" s="4"/>
      <c r="E447" s="176"/>
      <c r="F447" s="176"/>
      <c r="G447" s="190"/>
    </row>
    <row r="448" spans="3:7" ht="15.75" customHeight="1">
      <c r="C448" s="4"/>
      <c r="E448" s="176"/>
      <c r="F448" s="176"/>
      <c r="G448" s="190"/>
    </row>
    <row r="449" spans="3:7" ht="15.75" customHeight="1">
      <c r="C449" s="4"/>
      <c r="E449" s="176"/>
      <c r="F449" s="176"/>
      <c r="G449" s="190"/>
    </row>
    <row r="450" spans="3:7" ht="15.75" customHeight="1">
      <c r="C450" s="4"/>
      <c r="E450" s="176"/>
      <c r="F450" s="176"/>
      <c r="G450" s="190"/>
    </row>
    <row r="451" spans="3:7" ht="15.75" customHeight="1">
      <c r="C451" s="4"/>
      <c r="E451" s="176"/>
      <c r="F451" s="176"/>
      <c r="G451" s="190"/>
    </row>
    <row r="452" spans="3:7" ht="15.75" customHeight="1">
      <c r="C452" s="4"/>
      <c r="E452" s="176"/>
      <c r="F452" s="176"/>
      <c r="G452" s="190"/>
    </row>
    <row r="453" spans="3:7" ht="15.75" customHeight="1">
      <c r="C453" s="4"/>
      <c r="E453" s="176"/>
      <c r="F453" s="176"/>
      <c r="G453" s="190"/>
    </row>
    <row r="454" spans="3:7" ht="15.75" customHeight="1">
      <c r="C454" s="4"/>
      <c r="E454" s="176"/>
      <c r="F454" s="176"/>
      <c r="G454" s="190"/>
    </row>
    <row r="455" spans="3:7" ht="15.75" customHeight="1">
      <c r="C455" s="4"/>
      <c r="E455" s="176"/>
      <c r="F455" s="176"/>
      <c r="G455" s="190"/>
    </row>
    <row r="456" spans="3:7" ht="15.75" customHeight="1">
      <c r="C456" s="4"/>
      <c r="E456" s="176"/>
      <c r="F456" s="176"/>
      <c r="G456" s="190"/>
    </row>
    <row r="457" spans="3:7" ht="15.75" customHeight="1">
      <c r="C457" s="4"/>
      <c r="E457" s="176"/>
      <c r="F457" s="176"/>
      <c r="G457" s="190"/>
    </row>
    <row r="458" spans="3:7" ht="15.75" customHeight="1">
      <c r="C458" s="4"/>
      <c r="E458" s="176"/>
      <c r="F458" s="176"/>
      <c r="G458" s="190"/>
    </row>
    <row r="459" spans="3:7" ht="15.75" customHeight="1">
      <c r="C459" s="4"/>
      <c r="E459" s="176"/>
      <c r="F459" s="176"/>
      <c r="G459" s="190"/>
    </row>
    <row r="460" spans="3:7" ht="15.75" customHeight="1">
      <c r="C460" s="4"/>
      <c r="E460" s="176"/>
      <c r="F460" s="176"/>
      <c r="G460" s="190"/>
    </row>
    <row r="461" spans="3:7" ht="15.75" customHeight="1">
      <c r="C461" s="4"/>
      <c r="E461" s="176"/>
      <c r="F461" s="176"/>
      <c r="G461" s="190"/>
    </row>
    <row r="462" spans="3:7" ht="15.75" customHeight="1">
      <c r="C462" s="4"/>
      <c r="E462" s="176"/>
      <c r="F462" s="176"/>
      <c r="G462" s="190"/>
    </row>
    <row r="463" spans="3:7" ht="15.75" customHeight="1">
      <c r="C463" s="4"/>
      <c r="E463" s="176"/>
      <c r="F463" s="176"/>
      <c r="G463" s="190"/>
    </row>
    <row r="464" spans="3:7" ht="15.75" customHeight="1">
      <c r="C464" s="4"/>
      <c r="E464" s="176"/>
      <c r="F464" s="176"/>
      <c r="G464" s="190"/>
    </row>
    <row r="465" spans="3:7" ht="15.75" customHeight="1">
      <c r="C465" s="4"/>
      <c r="E465" s="176"/>
      <c r="F465" s="176"/>
      <c r="G465" s="190"/>
    </row>
    <row r="466" spans="3:7" ht="15.75" customHeight="1">
      <c r="C466" s="4"/>
      <c r="E466" s="176"/>
      <c r="F466" s="176"/>
      <c r="G466" s="190"/>
    </row>
    <row r="467" spans="3:7" ht="15.75" customHeight="1">
      <c r="C467" s="4"/>
      <c r="E467" s="176"/>
      <c r="F467" s="176"/>
      <c r="G467" s="190"/>
    </row>
    <row r="468" spans="3:7" ht="15.75" customHeight="1">
      <c r="C468" s="4"/>
      <c r="E468" s="176"/>
      <c r="F468" s="176"/>
      <c r="G468" s="190"/>
    </row>
    <row r="469" spans="3:7" ht="15.75" customHeight="1">
      <c r="C469" s="4"/>
      <c r="E469" s="176"/>
      <c r="F469" s="176"/>
      <c r="G469" s="190"/>
    </row>
    <row r="470" spans="3:7" ht="15.75" customHeight="1">
      <c r="C470" s="4"/>
      <c r="E470" s="176"/>
      <c r="F470" s="176"/>
      <c r="G470" s="190"/>
    </row>
    <row r="471" spans="3:7" ht="15.75" customHeight="1">
      <c r="C471" s="4"/>
      <c r="E471" s="176"/>
      <c r="F471" s="176"/>
      <c r="G471" s="190"/>
    </row>
    <row r="472" spans="3:7" ht="15.75" customHeight="1">
      <c r="C472" s="4"/>
      <c r="E472" s="176"/>
      <c r="F472" s="176"/>
      <c r="G472" s="190"/>
    </row>
    <row r="473" spans="3:7" ht="15.75" customHeight="1">
      <c r="C473" s="4"/>
      <c r="E473" s="176"/>
      <c r="F473" s="176"/>
      <c r="G473" s="190"/>
    </row>
    <row r="474" spans="3:7" ht="15.75" customHeight="1">
      <c r="C474" s="4"/>
      <c r="E474" s="176"/>
      <c r="F474" s="176"/>
      <c r="G474" s="190"/>
    </row>
    <row r="475" spans="3:7" ht="15.75" customHeight="1">
      <c r="C475" s="4"/>
      <c r="E475" s="176"/>
      <c r="F475" s="176"/>
      <c r="G475" s="190"/>
    </row>
    <row r="476" spans="3:7" ht="15.75" customHeight="1">
      <c r="C476" s="4"/>
      <c r="E476" s="176"/>
      <c r="F476" s="176"/>
      <c r="G476" s="190"/>
    </row>
    <row r="477" spans="3:7" ht="15.75" customHeight="1">
      <c r="C477" s="4"/>
      <c r="E477" s="176"/>
      <c r="F477" s="176"/>
      <c r="G477" s="190"/>
    </row>
    <row r="478" spans="3:7" ht="15.75" customHeight="1">
      <c r="C478" s="4"/>
      <c r="E478" s="176"/>
      <c r="F478" s="176"/>
      <c r="G478" s="190"/>
    </row>
    <row r="479" spans="3:7" ht="15.75" customHeight="1">
      <c r="C479" s="4"/>
      <c r="E479" s="176"/>
      <c r="F479" s="176"/>
      <c r="G479" s="190"/>
    </row>
    <row r="480" spans="3:7" ht="15.75" customHeight="1">
      <c r="C480" s="4"/>
      <c r="E480" s="176"/>
      <c r="F480" s="176"/>
      <c r="G480" s="190"/>
    </row>
    <row r="481" spans="3:7" ht="15.75" customHeight="1">
      <c r="C481" s="4"/>
      <c r="E481" s="176"/>
      <c r="F481" s="176"/>
      <c r="G481" s="190"/>
    </row>
    <row r="482" spans="3:7" ht="15.75" customHeight="1">
      <c r="C482" s="4"/>
      <c r="E482" s="176"/>
      <c r="F482" s="176"/>
      <c r="G482" s="190"/>
    </row>
    <row r="483" spans="3:7" ht="15.75" customHeight="1">
      <c r="C483" s="4"/>
      <c r="E483" s="176"/>
      <c r="F483" s="176"/>
      <c r="G483" s="190"/>
    </row>
    <row r="484" spans="3:7" ht="15.75" customHeight="1">
      <c r="C484" s="4"/>
      <c r="E484" s="176"/>
      <c r="F484" s="176"/>
      <c r="G484" s="190"/>
    </row>
    <row r="485" spans="3:7" ht="15.75" customHeight="1">
      <c r="C485" s="4"/>
      <c r="E485" s="176"/>
      <c r="F485" s="176"/>
      <c r="G485" s="190"/>
    </row>
    <row r="486" spans="3:7" ht="15.75" customHeight="1">
      <c r="C486" s="4"/>
      <c r="E486" s="176"/>
      <c r="F486" s="176"/>
      <c r="G486" s="190"/>
    </row>
    <row r="487" spans="3:7" ht="15.75" customHeight="1">
      <c r="C487" s="4"/>
      <c r="E487" s="176"/>
      <c r="F487" s="176"/>
      <c r="G487" s="190"/>
    </row>
    <row r="488" spans="3:7" ht="15.75" customHeight="1">
      <c r="C488" s="4"/>
      <c r="E488" s="176"/>
      <c r="F488" s="176"/>
      <c r="G488" s="190"/>
    </row>
    <row r="489" spans="3:7" ht="15.75" customHeight="1">
      <c r="C489" s="4"/>
      <c r="E489" s="176"/>
      <c r="F489" s="176"/>
      <c r="G489" s="190"/>
    </row>
    <row r="490" spans="3:7" ht="15.75" customHeight="1">
      <c r="C490" s="4"/>
      <c r="E490" s="176"/>
      <c r="F490" s="176"/>
      <c r="G490" s="190"/>
    </row>
    <row r="491" spans="3:7" ht="15.75" customHeight="1">
      <c r="C491" s="4"/>
      <c r="E491" s="176"/>
      <c r="F491" s="176"/>
      <c r="G491" s="190"/>
    </row>
    <row r="492" spans="3:7" ht="15.75" customHeight="1">
      <c r="C492" s="4"/>
      <c r="E492" s="176"/>
      <c r="F492" s="176"/>
      <c r="G492" s="190"/>
    </row>
    <row r="493" spans="3:7" ht="15.75" customHeight="1">
      <c r="C493" s="4"/>
      <c r="E493" s="176"/>
      <c r="F493" s="176"/>
      <c r="G493" s="190"/>
    </row>
    <row r="494" spans="3:7" ht="15.75" customHeight="1">
      <c r="C494" s="4"/>
      <c r="E494" s="176"/>
      <c r="F494" s="176"/>
      <c r="G494" s="190"/>
    </row>
    <row r="495" spans="3:7" ht="15.75" customHeight="1">
      <c r="C495" s="4"/>
      <c r="E495" s="176"/>
      <c r="F495" s="176"/>
      <c r="G495" s="190"/>
    </row>
    <row r="496" spans="3:7" ht="15.75" customHeight="1">
      <c r="C496" s="4"/>
      <c r="E496" s="176"/>
      <c r="F496" s="176"/>
      <c r="G496" s="190"/>
    </row>
    <row r="497" spans="3:7" ht="15.75" customHeight="1">
      <c r="C497" s="4"/>
      <c r="E497" s="176"/>
      <c r="F497" s="176"/>
      <c r="G497" s="190"/>
    </row>
    <row r="498" spans="3:7" ht="15.75" customHeight="1">
      <c r="C498" s="4"/>
      <c r="E498" s="176"/>
      <c r="F498" s="176"/>
      <c r="G498" s="190"/>
    </row>
    <row r="499" spans="3:7" ht="15.75" customHeight="1">
      <c r="C499" s="4"/>
      <c r="E499" s="176"/>
      <c r="F499" s="176"/>
      <c r="G499" s="190"/>
    </row>
    <row r="500" spans="3:7" ht="15.75" customHeight="1">
      <c r="C500" s="4"/>
      <c r="E500" s="176"/>
      <c r="F500" s="176"/>
      <c r="G500" s="190"/>
    </row>
    <row r="501" spans="3:7" ht="15.75" customHeight="1">
      <c r="C501" s="4"/>
      <c r="E501" s="176"/>
      <c r="F501" s="176"/>
      <c r="G501" s="190"/>
    </row>
    <row r="502" spans="3:7" ht="15.75" customHeight="1">
      <c r="C502" s="4"/>
      <c r="E502" s="176"/>
      <c r="F502" s="176"/>
      <c r="G502" s="190"/>
    </row>
    <row r="503" spans="3:7" ht="15.75" customHeight="1">
      <c r="C503" s="4"/>
      <c r="E503" s="176"/>
      <c r="F503" s="176"/>
      <c r="G503" s="190"/>
    </row>
    <row r="504" spans="3:7" ht="15.75" customHeight="1">
      <c r="C504" s="4"/>
      <c r="E504" s="176"/>
      <c r="F504" s="176"/>
      <c r="G504" s="190"/>
    </row>
    <row r="505" spans="3:7" ht="15.75" customHeight="1">
      <c r="C505" s="4"/>
      <c r="E505" s="176"/>
      <c r="F505" s="176"/>
      <c r="G505" s="190"/>
    </row>
    <row r="506" spans="3:7" ht="15.75" customHeight="1">
      <c r="C506" s="4"/>
      <c r="E506" s="176"/>
      <c r="F506" s="176"/>
      <c r="G506" s="190"/>
    </row>
    <row r="507" spans="3:7" ht="15.75" customHeight="1">
      <c r="C507" s="4"/>
      <c r="E507" s="176"/>
      <c r="F507" s="176"/>
      <c r="G507" s="190"/>
    </row>
    <row r="508" spans="3:7" ht="15.75" customHeight="1">
      <c r="C508" s="4"/>
      <c r="E508" s="176"/>
      <c r="F508" s="176"/>
      <c r="G508" s="190"/>
    </row>
    <row r="509" spans="3:7" ht="15.75" customHeight="1">
      <c r="C509" s="4"/>
      <c r="E509" s="176"/>
      <c r="F509" s="176"/>
      <c r="G509" s="190"/>
    </row>
    <row r="510" spans="3:7" ht="15.75" customHeight="1">
      <c r="C510" s="4"/>
      <c r="E510" s="176"/>
      <c r="F510" s="176"/>
      <c r="G510" s="190"/>
    </row>
    <row r="511" spans="3:7" ht="15.75" customHeight="1">
      <c r="C511" s="4"/>
      <c r="E511" s="176"/>
      <c r="F511" s="176"/>
      <c r="G511" s="190"/>
    </row>
    <row r="512" spans="3:7" ht="15.75" customHeight="1">
      <c r="C512" s="4"/>
      <c r="E512" s="176"/>
      <c r="F512" s="176"/>
      <c r="G512" s="190"/>
    </row>
    <row r="513" spans="3:7" ht="15.75" customHeight="1">
      <c r="C513" s="4"/>
      <c r="E513" s="176"/>
      <c r="F513" s="176"/>
      <c r="G513" s="190"/>
    </row>
    <row r="514" spans="3:7" ht="15.75" customHeight="1">
      <c r="C514" s="4"/>
      <c r="E514" s="176"/>
      <c r="F514" s="176"/>
      <c r="G514" s="190"/>
    </row>
    <row r="515" spans="3:7" ht="15.75" customHeight="1">
      <c r="C515" s="4"/>
      <c r="E515" s="176"/>
      <c r="F515" s="176"/>
      <c r="G515" s="190"/>
    </row>
    <row r="516" spans="3:7" ht="15.75" customHeight="1">
      <c r="C516" s="4"/>
      <c r="E516" s="176"/>
      <c r="F516" s="176"/>
      <c r="G516" s="190"/>
    </row>
    <row r="517" spans="3:7" ht="15.75" customHeight="1">
      <c r="C517" s="4"/>
      <c r="E517" s="176"/>
      <c r="F517" s="176"/>
      <c r="G517" s="190"/>
    </row>
    <row r="518" spans="3:7" ht="15.75" customHeight="1">
      <c r="C518" s="4"/>
      <c r="E518" s="176"/>
      <c r="F518" s="176"/>
      <c r="G518" s="190"/>
    </row>
    <row r="519" spans="3:7" ht="15.75" customHeight="1">
      <c r="C519" s="4"/>
      <c r="E519" s="176"/>
      <c r="F519" s="176"/>
      <c r="G519" s="190"/>
    </row>
    <row r="520" spans="3:7" ht="15.75" customHeight="1">
      <c r="C520" s="4"/>
      <c r="E520" s="176"/>
      <c r="F520" s="176"/>
      <c r="G520" s="190"/>
    </row>
    <row r="521" spans="3:7" ht="15.75" customHeight="1">
      <c r="C521" s="4"/>
      <c r="E521" s="176"/>
      <c r="F521" s="176"/>
      <c r="G521" s="190"/>
    </row>
    <row r="522" spans="3:7" ht="15.75" customHeight="1">
      <c r="C522" s="4"/>
      <c r="E522" s="176"/>
      <c r="F522" s="176"/>
      <c r="G522" s="190"/>
    </row>
    <row r="523" spans="3:7" ht="15.75" customHeight="1">
      <c r="C523" s="4"/>
      <c r="E523" s="176"/>
      <c r="F523" s="176"/>
      <c r="G523" s="190"/>
    </row>
    <row r="524" spans="3:7" ht="15.75" customHeight="1">
      <c r="C524" s="4"/>
      <c r="E524" s="176"/>
      <c r="F524" s="176"/>
      <c r="G524" s="190"/>
    </row>
    <row r="525" spans="3:7" ht="15.75" customHeight="1">
      <c r="C525" s="4"/>
      <c r="E525" s="176"/>
      <c r="F525" s="176"/>
      <c r="G525" s="190"/>
    </row>
    <row r="526" spans="3:7" ht="15.75" customHeight="1">
      <c r="C526" s="4"/>
      <c r="E526" s="176"/>
      <c r="F526" s="176"/>
      <c r="G526" s="190"/>
    </row>
    <row r="527" spans="3:7" ht="15.75" customHeight="1">
      <c r="C527" s="4"/>
      <c r="E527" s="176"/>
      <c r="F527" s="176"/>
      <c r="G527" s="190"/>
    </row>
    <row r="528" spans="3:7" ht="15.75" customHeight="1">
      <c r="C528" s="4"/>
      <c r="E528" s="176"/>
      <c r="F528" s="176"/>
      <c r="G528" s="190"/>
    </row>
    <row r="529" spans="3:7" ht="15.75" customHeight="1">
      <c r="C529" s="4"/>
      <c r="E529" s="176"/>
      <c r="F529" s="176"/>
      <c r="G529" s="190"/>
    </row>
    <row r="530" spans="3:7" ht="15.75" customHeight="1">
      <c r="C530" s="4"/>
      <c r="E530" s="176"/>
      <c r="F530" s="176"/>
      <c r="G530" s="190"/>
    </row>
    <row r="531" spans="3:7" ht="15.75" customHeight="1">
      <c r="C531" s="4"/>
      <c r="E531" s="176"/>
      <c r="F531" s="176"/>
      <c r="G531" s="190"/>
    </row>
    <row r="532" spans="3:7" ht="15.75" customHeight="1">
      <c r="C532" s="4"/>
      <c r="E532" s="176"/>
      <c r="F532" s="176"/>
      <c r="G532" s="190"/>
    </row>
    <row r="533" spans="3:7" ht="15.75" customHeight="1">
      <c r="C533" s="4"/>
      <c r="E533" s="176"/>
      <c r="F533" s="176"/>
      <c r="G533" s="190"/>
    </row>
    <row r="534" spans="3:7" ht="15.75" customHeight="1">
      <c r="C534" s="4"/>
      <c r="E534" s="176"/>
      <c r="F534" s="176"/>
      <c r="G534" s="190"/>
    </row>
    <row r="535" spans="3:7" ht="15.75" customHeight="1">
      <c r="C535" s="4"/>
      <c r="E535" s="176"/>
      <c r="F535" s="176"/>
      <c r="G535" s="190"/>
    </row>
    <row r="536" spans="3:7" ht="15.75" customHeight="1">
      <c r="C536" s="4"/>
      <c r="E536" s="176"/>
      <c r="F536" s="176"/>
      <c r="G536" s="190"/>
    </row>
    <row r="537" spans="3:7" ht="15.75" customHeight="1">
      <c r="C537" s="4"/>
      <c r="E537" s="176"/>
      <c r="F537" s="176"/>
      <c r="G537" s="190"/>
    </row>
    <row r="538" spans="3:7" ht="15.75" customHeight="1">
      <c r="C538" s="4"/>
      <c r="E538" s="176"/>
      <c r="F538" s="176"/>
      <c r="G538" s="190"/>
    </row>
    <row r="539" spans="3:7" ht="15.75" customHeight="1">
      <c r="C539" s="4"/>
      <c r="E539" s="176"/>
      <c r="F539" s="176"/>
      <c r="G539" s="190"/>
    </row>
    <row r="540" spans="3:7" ht="15.75" customHeight="1">
      <c r="C540" s="4"/>
      <c r="E540" s="176"/>
      <c r="F540" s="176"/>
      <c r="G540" s="190"/>
    </row>
    <row r="541" spans="3:7" ht="15.75" customHeight="1">
      <c r="C541" s="4"/>
      <c r="E541" s="176"/>
      <c r="F541" s="176"/>
      <c r="G541" s="190"/>
    </row>
    <row r="542" spans="3:7" ht="15.75" customHeight="1">
      <c r="C542" s="4"/>
      <c r="E542" s="176"/>
      <c r="F542" s="176"/>
      <c r="G542" s="190"/>
    </row>
    <row r="543" spans="3:7" ht="15.75" customHeight="1">
      <c r="C543" s="4"/>
      <c r="E543" s="176"/>
      <c r="F543" s="176"/>
      <c r="G543" s="190"/>
    </row>
    <row r="544" spans="3:7" ht="15.75" customHeight="1">
      <c r="C544" s="4"/>
      <c r="E544" s="176"/>
      <c r="F544" s="176"/>
      <c r="G544" s="190"/>
    </row>
    <row r="545" spans="3:7" ht="15.75" customHeight="1">
      <c r="C545" s="4"/>
      <c r="E545" s="176"/>
      <c r="F545" s="176"/>
      <c r="G545" s="190"/>
    </row>
    <row r="546" spans="3:7" ht="15.75" customHeight="1">
      <c r="C546" s="4"/>
      <c r="E546" s="176"/>
      <c r="F546" s="176"/>
      <c r="G546" s="190"/>
    </row>
    <row r="547" spans="3:7" ht="15.75" customHeight="1">
      <c r="C547" s="4"/>
      <c r="E547" s="176"/>
      <c r="F547" s="176"/>
      <c r="G547" s="190"/>
    </row>
    <row r="548" spans="3:7" ht="15.75" customHeight="1">
      <c r="C548" s="4"/>
      <c r="E548" s="176"/>
      <c r="F548" s="176"/>
      <c r="G548" s="190"/>
    </row>
    <row r="549" spans="3:7" ht="15.75" customHeight="1">
      <c r="C549" s="4"/>
      <c r="E549" s="176"/>
      <c r="F549" s="176"/>
      <c r="G549" s="190"/>
    </row>
    <row r="550" spans="3:7" ht="15.75" customHeight="1">
      <c r="C550" s="4"/>
      <c r="E550" s="176"/>
      <c r="F550" s="176"/>
      <c r="G550" s="190"/>
    </row>
    <row r="551" spans="3:7" ht="15.75" customHeight="1">
      <c r="C551" s="4"/>
      <c r="E551" s="176"/>
      <c r="F551" s="176"/>
      <c r="G551" s="190"/>
    </row>
    <row r="552" spans="3:7" ht="15.75" customHeight="1">
      <c r="C552" s="4"/>
      <c r="E552" s="176"/>
      <c r="F552" s="176"/>
      <c r="G552" s="190"/>
    </row>
    <row r="553" spans="3:7" ht="15.75" customHeight="1">
      <c r="C553" s="4"/>
      <c r="E553" s="176"/>
      <c r="F553" s="176"/>
      <c r="G553" s="190"/>
    </row>
    <row r="554" spans="3:7" ht="15.75" customHeight="1">
      <c r="C554" s="4"/>
      <c r="E554" s="176"/>
      <c r="F554" s="176"/>
      <c r="G554" s="190"/>
    </row>
    <row r="555" spans="3:7" ht="15.75" customHeight="1">
      <c r="C555" s="4"/>
      <c r="E555" s="176"/>
      <c r="F555" s="176"/>
      <c r="G555" s="190"/>
    </row>
    <row r="556" spans="3:7" ht="15.75" customHeight="1">
      <c r="C556" s="4"/>
      <c r="E556" s="176"/>
      <c r="F556" s="176"/>
      <c r="G556" s="190"/>
    </row>
    <row r="557" spans="3:7" ht="15.75" customHeight="1">
      <c r="C557" s="4"/>
      <c r="E557" s="176"/>
      <c r="F557" s="176"/>
      <c r="G557" s="190"/>
    </row>
    <row r="558" spans="3:7" ht="15.75" customHeight="1">
      <c r="C558" s="4"/>
      <c r="E558" s="176"/>
      <c r="F558" s="176"/>
      <c r="G558" s="190"/>
    </row>
    <row r="559" spans="3:7" ht="15.75" customHeight="1">
      <c r="C559" s="4"/>
      <c r="E559" s="176"/>
      <c r="F559" s="176"/>
      <c r="G559" s="190"/>
    </row>
    <row r="560" spans="3:7" ht="15.75" customHeight="1">
      <c r="C560" s="4"/>
      <c r="E560" s="176"/>
      <c r="F560" s="176"/>
      <c r="G560" s="190"/>
    </row>
    <row r="561" spans="3:7" ht="15.75" customHeight="1">
      <c r="C561" s="4"/>
      <c r="E561" s="176"/>
      <c r="F561" s="176"/>
      <c r="G561" s="190"/>
    </row>
    <row r="562" spans="3:7" ht="15.75" customHeight="1">
      <c r="C562" s="4"/>
      <c r="E562" s="176"/>
      <c r="F562" s="176"/>
      <c r="G562" s="190"/>
    </row>
    <row r="563" spans="3:7" ht="15.75" customHeight="1">
      <c r="C563" s="4"/>
      <c r="E563" s="176"/>
      <c r="F563" s="176"/>
      <c r="G563" s="190"/>
    </row>
    <row r="564" spans="3:7" ht="15.75" customHeight="1">
      <c r="C564" s="4"/>
      <c r="E564" s="176"/>
      <c r="F564" s="176"/>
      <c r="G564" s="190"/>
    </row>
    <row r="565" spans="3:7" ht="15.75" customHeight="1">
      <c r="C565" s="4"/>
      <c r="E565" s="176"/>
      <c r="F565" s="176"/>
      <c r="G565" s="190"/>
    </row>
    <row r="566" spans="3:7" ht="15.75" customHeight="1">
      <c r="C566" s="4"/>
      <c r="E566" s="176"/>
      <c r="F566" s="176"/>
      <c r="G566" s="190"/>
    </row>
    <row r="567" spans="3:7" ht="15.75" customHeight="1">
      <c r="C567" s="4"/>
      <c r="E567" s="176"/>
      <c r="F567" s="176"/>
      <c r="G567" s="190"/>
    </row>
    <row r="568" spans="3:7" ht="15.75" customHeight="1">
      <c r="C568" s="4"/>
      <c r="E568" s="176"/>
      <c r="F568" s="176"/>
      <c r="G568" s="190"/>
    </row>
    <row r="569" spans="3:7" ht="15.75" customHeight="1">
      <c r="C569" s="4"/>
      <c r="E569" s="176"/>
      <c r="F569" s="176"/>
      <c r="G569" s="190"/>
    </row>
    <row r="570" spans="3:7" ht="15.75" customHeight="1">
      <c r="C570" s="4"/>
      <c r="E570" s="176"/>
      <c r="F570" s="176"/>
      <c r="G570" s="190"/>
    </row>
    <row r="571" spans="3:7" ht="15.75" customHeight="1">
      <c r="C571" s="4"/>
      <c r="E571" s="176"/>
      <c r="F571" s="176"/>
      <c r="G571" s="190"/>
    </row>
    <row r="572" spans="3:7" ht="15.75" customHeight="1">
      <c r="C572" s="4"/>
      <c r="E572" s="176"/>
      <c r="F572" s="176"/>
      <c r="G572" s="190"/>
    </row>
    <row r="573" spans="3:7" ht="15.75" customHeight="1">
      <c r="C573" s="4"/>
      <c r="E573" s="176"/>
      <c r="F573" s="176"/>
      <c r="G573" s="190"/>
    </row>
    <row r="574" spans="3:7" ht="15.75" customHeight="1">
      <c r="C574" s="4"/>
      <c r="E574" s="176"/>
      <c r="F574" s="176"/>
      <c r="G574" s="190"/>
    </row>
    <row r="575" spans="3:7" ht="15.75" customHeight="1">
      <c r="C575" s="4"/>
      <c r="E575" s="176"/>
      <c r="F575" s="176"/>
      <c r="G575" s="190"/>
    </row>
    <row r="576" spans="3:7" ht="15.75" customHeight="1">
      <c r="C576" s="4"/>
      <c r="E576" s="176"/>
      <c r="F576" s="176"/>
      <c r="G576" s="190"/>
    </row>
    <row r="577" spans="3:7" ht="15.75" customHeight="1">
      <c r="C577" s="4"/>
      <c r="E577" s="176"/>
      <c r="F577" s="176"/>
      <c r="G577" s="190"/>
    </row>
    <row r="578" spans="3:7" ht="15.75" customHeight="1">
      <c r="C578" s="4"/>
      <c r="E578" s="176"/>
      <c r="F578" s="176"/>
      <c r="G578" s="190"/>
    </row>
    <row r="579" spans="3:7" ht="15.75" customHeight="1">
      <c r="C579" s="4"/>
      <c r="E579" s="176"/>
      <c r="F579" s="176"/>
      <c r="G579" s="190"/>
    </row>
    <row r="580" spans="3:7" ht="15.75" customHeight="1">
      <c r="C580" s="4"/>
      <c r="E580" s="176"/>
      <c r="F580" s="176"/>
      <c r="G580" s="190"/>
    </row>
    <row r="581" spans="3:7" ht="15.75" customHeight="1">
      <c r="C581" s="4"/>
      <c r="E581" s="176"/>
      <c r="F581" s="176"/>
      <c r="G581" s="190"/>
    </row>
    <row r="582" spans="3:7" ht="15.75" customHeight="1">
      <c r="C582" s="4"/>
      <c r="E582" s="176"/>
      <c r="F582" s="176"/>
      <c r="G582" s="190"/>
    </row>
    <row r="583" spans="3:7" ht="15.75" customHeight="1">
      <c r="C583" s="4"/>
      <c r="E583" s="176"/>
      <c r="F583" s="176"/>
      <c r="G583" s="190"/>
    </row>
    <row r="584" spans="3:7" ht="15.75" customHeight="1">
      <c r="C584" s="4"/>
      <c r="E584" s="176"/>
      <c r="F584" s="176"/>
      <c r="G584" s="190"/>
    </row>
    <row r="585" spans="3:7" ht="15.75" customHeight="1">
      <c r="C585" s="4"/>
      <c r="E585" s="176"/>
      <c r="F585" s="176"/>
      <c r="G585" s="190"/>
    </row>
    <row r="586" spans="3:7" ht="15.75" customHeight="1">
      <c r="C586" s="4"/>
      <c r="E586" s="176"/>
      <c r="F586" s="176"/>
      <c r="G586" s="190"/>
    </row>
    <row r="587" spans="3:7" ht="15.75" customHeight="1">
      <c r="C587" s="4"/>
      <c r="E587" s="176"/>
      <c r="F587" s="176"/>
      <c r="G587" s="190"/>
    </row>
    <row r="588" spans="3:7" ht="15.75" customHeight="1">
      <c r="C588" s="4"/>
      <c r="E588" s="176"/>
      <c r="F588" s="176"/>
      <c r="G588" s="190"/>
    </row>
    <row r="589" spans="3:7" ht="15.75" customHeight="1">
      <c r="C589" s="4"/>
      <c r="E589" s="176"/>
      <c r="F589" s="176"/>
      <c r="G589" s="190"/>
    </row>
    <row r="590" spans="3:7" ht="15.75" customHeight="1">
      <c r="C590" s="4"/>
      <c r="E590" s="176"/>
      <c r="F590" s="176"/>
      <c r="G590" s="190"/>
    </row>
    <row r="591" spans="3:7" ht="15.75" customHeight="1">
      <c r="C591" s="4"/>
      <c r="E591" s="176"/>
      <c r="F591" s="176"/>
      <c r="G591" s="190"/>
    </row>
    <row r="592" spans="3:7" ht="15.75" customHeight="1">
      <c r="C592" s="4"/>
      <c r="E592" s="176"/>
      <c r="F592" s="176"/>
      <c r="G592" s="190"/>
    </row>
    <row r="593" spans="3:7" ht="15.75" customHeight="1">
      <c r="C593" s="4"/>
      <c r="E593" s="176"/>
      <c r="F593" s="176"/>
      <c r="G593" s="190"/>
    </row>
    <row r="594" spans="3:7" ht="15.75" customHeight="1">
      <c r="C594" s="4"/>
      <c r="E594" s="176"/>
      <c r="F594" s="176"/>
      <c r="G594" s="190"/>
    </row>
    <row r="595" spans="3:7" ht="15.75" customHeight="1">
      <c r="C595" s="4"/>
      <c r="E595" s="176"/>
      <c r="F595" s="176"/>
      <c r="G595" s="190"/>
    </row>
    <row r="596" spans="3:7" ht="15.75" customHeight="1">
      <c r="C596" s="4"/>
      <c r="E596" s="176"/>
      <c r="F596" s="176"/>
      <c r="G596" s="190"/>
    </row>
    <row r="597" spans="3:7" ht="15.75" customHeight="1">
      <c r="C597" s="4"/>
      <c r="E597" s="176"/>
      <c r="F597" s="176"/>
      <c r="G597" s="190"/>
    </row>
    <row r="598" spans="3:7" ht="15.75" customHeight="1">
      <c r="C598" s="4"/>
      <c r="E598" s="176"/>
      <c r="F598" s="176"/>
      <c r="G598" s="190"/>
    </row>
    <row r="599" spans="3:7" ht="15.75" customHeight="1">
      <c r="C599" s="4"/>
      <c r="E599" s="176"/>
      <c r="F599" s="176"/>
      <c r="G599" s="190"/>
    </row>
    <row r="600" spans="3:7" ht="15.75" customHeight="1">
      <c r="C600" s="4"/>
      <c r="E600" s="176"/>
      <c r="F600" s="176"/>
      <c r="G600" s="190"/>
    </row>
    <row r="601" spans="3:7" ht="15.75" customHeight="1">
      <c r="C601" s="4"/>
      <c r="E601" s="176"/>
      <c r="F601" s="176"/>
      <c r="G601" s="190"/>
    </row>
    <row r="602" spans="3:7" ht="15.75" customHeight="1">
      <c r="C602" s="4"/>
      <c r="E602" s="176"/>
      <c r="F602" s="176"/>
      <c r="G602" s="190"/>
    </row>
    <row r="603" spans="3:7" ht="15.75" customHeight="1">
      <c r="C603" s="4"/>
      <c r="E603" s="176"/>
      <c r="F603" s="176"/>
      <c r="G603" s="190"/>
    </row>
    <row r="604" spans="3:7" ht="15.75" customHeight="1">
      <c r="C604" s="4"/>
      <c r="E604" s="176"/>
      <c r="F604" s="176"/>
      <c r="G604" s="190"/>
    </row>
    <row r="605" spans="3:7" ht="15.75" customHeight="1">
      <c r="C605" s="4"/>
      <c r="E605" s="176"/>
      <c r="F605" s="176"/>
      <c r="G605" s="190"/>
    </row>
    <row r="606" spans="3:7" ht="15.75" customHeight="1">
      <c r="C606" s="4"/>
      <c r="E606" s="176"/>
      <c r="F606" s="176"/>
      <c r="G606" s="190"/>
    </row>
    <row r="607" spans="3:7" ht="15.75" customHeight="1">
      <c r="C607" s="4"/>
      <c r="E607" s="176"/>
      <c r="F607" s="176"/>
      <c r="G607" s="190"/>
    </row>
    <row r="608" spans="3:7" ht="15.75" customHeight="1">
      <c r="C608" s="4"/>
      <c r="E608" s="176"/>
      <c r="F608" s="176"/>
      <c r="G608" s="190"/>
    </row>
    <row r="609" spans="3:7" ht="15.75" customHeight="1">
      <c r="C609" s="4"/>
      <c r="E609" s="176"/>
      <c r="F609" s="176"/>
      <c r="G609" s="190"/>
    </row>
    <row r="610" spans="3:7" ht="15.75" customHeight="1">
      <c r="C610" s="4"/>
      <c r="E610" s="176"/>
      <c r="F610" s="176"/>
      <c r="G610" s="190"/>
    </row>
    <row r="611" spans="3:7" ht="15.75" customHeight="1">
      <c r="C611" s="4"/>
      <c r="E611" s="176"/>
      <c r="F611" s="176"/>
      <c r="G611" s="190"/>
    </row>
    <row r="612" spans="3:7" ht="15.75" customHeight="1">
      <c r="C612" s="4"/>
      <c r="E612" s="176"/>
      <c r="F612" s="176"/>
      <c r="G612" s="190"/>
    </row>
    <row r="613" spans="3:7" ht="15.75" customHeight="1">
      <c r="C613" s="4"/>
      <c r="E613" s="176"/>
      <c r="F613" s="176"/>
      <c r="G613" s="190"/>
    </row>
    <row r="614" spans="3:7" ht="15.75" customHeight="1">
      <c r="C614" s="4"/>
      <c r="E614" s="176"/>
      <c r="F614" s="176"/>
      <c r="G614" s="190"/>
    </row>
    <row r="615" spans="3:7" ht="15.75" customHeight="1">
      <c r="C615" s="4"/>
      <c r="E615" s="176"/>
      <c r="F615" s="176"/>
      <c r="G615" s="190"/>
    </row>
    <row r="616" spans="3:7" ht="15.75" customHeight="1">
      <c r="C616" s="4"/>
      <c r="E616" s="176"/>
      <c r="F616" s="176"/>
      <c r="G616" s="190"/>
    </row>
    <row r="617" spans="3:7" ht="15.75" customHeight="1">
      <c r="C617" s="4"/>
      <c r="E617" s="176"/>
      <c r="F617" s="176"/>
      <c r="G617" s="190"/>
    </row>
    <row r="618" spans="3:7" ht="15.75" customHeight="1">
      <c r="C618" s="4"/>
      <c r="E618" s="176"/>
      <c r="F618" s="176"/>
      <c r="G618" s="190"/>
    </row>
    <row r="619" spans="3:7" ht="15.75" customHeight="1">
      <c r="C619" s="4"/>
      <c r="E619" s="176"/>
      <c r="F619" s="176"/>
      <c r="G619" s="190"/>
    </row>
    <row r="620" spans="3:7" ht="15.75" customHeight="1">
      <c r="C620" s="4"/>
      <c r="E620" s="176"/>
      <c r="F620" s="176"/>
      <c r="G620" s="190"/>
    </row>
    <row r="621" spans="3:7" ht="15.75" customHeight="1">
      <c r="C621" s="4"/>
      <c r="E621" s="176"/>
      <c r="F621" s="176"/>
      <c r="G621" s="190"/>
    </row>
    <row r="622" spans="3:7" ht="15.75" customHeight="1">
      <c r="C622" s="4"/>
      <c r="E622" s="176"/>
      <c r="F622" s="176"/>
      <c r="G622" s="190"/>
    </row>
    <row r="623" spans="3:7" ht="15.75" customHeight="1">
      <c r="C623" s="4"/>
      <c r="E623" s="176"/>
      <c r="F623" s="176"/>
      <c r="G623" s="190"/>
    </row>
    <row r="624" spans="3:7" ht="15.75" customHeight="1">
      <c r="C624" s="4"/>
      <c r="E624" s="176"/>
      <c r="F624" s="176"/>
      <c r="G624" s="190"/>
    </row>
    <row r="625" spans="3:7" ht="15.75" customHeight="1">
      <c r="C625" s="4"/>
      <c r="E625" s="176"/>
      <c r="F625" s="176"/>
      <c r="G625" s="190"/>
    </row>
    <row r="626" spans="3:7" ht="15.75" customHeight="1">
      <c r="C626" s="4"/>
      <c r="E626" s="176"/>
      <c r="F626" s="176"/>
      <c r="G626" s="190"/>
    </row>
    <row r="627" spans="3:7" ht="15.75" customHeight="1">
      <c r="C627" s="4"/>
      <c r="E627" s="176"/>
      <c r="F627" s="176"/>
      <c r="G627" s="190"/>
    </row>
    <row r="628" spans="3:7" ht="15.75" customHeight="1">
      <c r="C628" s="4"/>
      <c r="E628" s="176"/>
      <c r="F628" s="176"/>
      <c r="G628" s="190"/>
    </row>
    <row r="629" spans="3:7" ht="15.75" customHeight="1">
      <c r="C629" s="4"/>
      <c r="E629" s="176"/>
      <c r="F629" s="176"/>
      <c r="G629" s="190"/>
    </row>
    <row r="630" spans="3:7" ht="15.75" customHeight="1">
      <c r="C630" s="4"/>
      <c r="E630" s="176"/>
      <c r="F630" s="176"/>
      <c r="G630" s="190"/>
    </row>
    <row r="631" spans="3:7" ht="15.75" customHeight="1">
      <c r="C631" s="4"/>
      <c r="E631" s="176"/>
      <c r="F631" s="176"/>
      <c r="G631" s="190"/>
    </row>
    <row r="632" spans="3:7" ht="15.75" customHeight="1">
      <c r="C632" s="4"/>
      <c r="E632" s="176"/>
      <c r="F632" s="176"/>
      <c r="G632" s="190"/>
    </row>
    <row r="633" spans="3:7" ht="15.75" customHeight="1">
      <c r="C633" s="4"/>
      <c r="E633" s="176"/>
      <c r="F633" s="176"/>
      <c r="G633" s="190"/>
    </row>
    <row r="634" spans="3:7" ht="15.75" customHeight="1">
      <c r="C634" s="4"/>
      <c r="E634" s="176"/>
      <c r="F634" s="176"/>
      <c r="G634" s="190"/>
    </row>
    <row r="635" spans="3:7" ht="15.75" customHeight="1">
      <c r="C635" s="4"/>
      <c r="E635" s="176"/>
      <c r="F635" s="176"/>
      <c r="G635" s="190"/>
    </row>
    <row r="636" spans="3:7" ht="15.75" customHeight="1">
      <c r="C636" s="4"/>
      <c r="E636" s="176"/>
      <c r="F636" s="176"/>
      <c r="G636" s="190"/>
    </row>
    <row r="637" spans="3:7" ht="15.75" customHeight="1">
      <c r="C637" s="4"/>
      <c r="E637" s="176"/>
      <c r="F637" s="176"/>
      <c r="G637" s="190"/>
    </row>
    <row r="638" spans="3:7" ht="15.75" customHeight="1">
      <c r="C638" s="4"/>
      <c r="E638" s="176"/>
      <c r="F638" s="176"/>
      <c r="G638" s="190"/>
    </row>
    <row r="639" spans="3:7" ht="15.75" customHeight="1">
      <c r="C639" s="4"/>
      <c r="E639" s="176"/>
      <c r="F639" s="176"/>
      <c r="G639" s="190"/>
    </row>
    <row r="640" spans="3:7" ht="15.75" customHeight="1">
      <c r="C640" s="4"/>
      <c r="E640" s="176"/>
      <c r="F640" s="176"/>
      <c r="G640" s="190"/>
    </row>
    <row r="641" spans="3:7" ht="15.75" customHeight="1">
      <c r="C641" s="4"/>
      <c r="E641" s="176"/>
      <c r="F641" s="176"/>
      <c r="G641" s="190"/>
    </row>
    <row r="642" spans="3:7" ht="15.75" customHeight="1">
      <c r="C642" s="4"/>
      <c r="E642" s="176"/>
      <c r="F642" s="176"/>
      <c r="G642" s="190"/>
    </row>
    <row r="643" spans="3:7" ht="15.75" customHeight="1">
      <c r="C643" s="4"/>
      <c r="E643" s="176"/>
      <c r="F643" s="176"/>
      <c r="G643" s="190"/>
    </row>
    <row r="644" spans="3:7" ht="15.75" customHeight="1">
      <c r="C644" s="4"/>
      <c r="E644" s="176"/>
      <c r="F644" s="176"/>
      <c r="G644" s="190"/>
    </row>
    <row r="645" spans="3:7" ht="15.75" customHeight="1">
      <c r="C645" s="4"/>
      <c r="E645" s="176"/>
      <c r="F645" s="176"/>
      <c r="G645" s="190"/>
    </row>
    <row r="646" spans="3:7" ht="15.75" customHeight="1">
      <c r="C646" s="4"/>
      <c r="E646" s="176"/>
      <c r="F646" s="176"/>
      <c r="G646" s="190"/>
    </row>
    <row r="647" spans="3:7" ht="15.75" customHeight="1">
      <c r="C647" s="4"/>
      <c r="E647" s="176"/>
      <c r="F647" s="176"/>
      <c r="G647" s="190"/>
    </row>
    <row r="648" spans="3:7" ht="15.75" customHeight="1">
      <c r="C648" s="4"/>
      <c r="E648" s="176"/>
      <c r="F648" s="176"/>
      <c r="G648" s="190"/>
    </row>
    <row r="649" spans="3:7" ht="15.75" customHeight="1">
      <c r="C649" s="4"/>
      <c r="E649" s="176"/>
      <c r="F649" s="176"/>
      <c r="G649" s="190"/>
    </row>
    <row r="650" spans="3:7" ht="15.75" customHeight="1">
      <c r="C650" s="4"/>
      <c r="E650" s="176"/>
      <c r="F650" s="176"/>
      <c r="G650" s="190"/>
    </row>
    <row r="651" spans="3:7" ht="15.75" customHeight="1">
      <c r="C651" s="4"/>
      <c r="E651" s="176"/>
      <c r="F651" s="176"/>
      <c r="G651" s="190"/>
    </row>
    <row r="652" spans="3:7" ht="15.75" customHeight="1">
      <c r="C652" s="4"/>
      <c r="E652" s="176"/>
      <c r="F652" s="176"/>
      <c r="G652" s="190"/>
    </row>
    <row r="653" spans="3:7" ht="15.75" customHeight="1">
      <c r="C653" s="4"/>
      <c r="E653" s="176"/>
      <c r="F653" s="176"/>
      <c r="G653" s="190"/>
    </row>
    <row r="654" spans="3:7" ht="15.75" customHeight="1">
      <c r="C654" s="4"/>
      <c r="E654" s="176"/>
      <c r="F654" s="176"/>
      <c r="G654" s="190"/>
    </row>
    <row r="655" spans="3:7" ht="15.75" customHeight="1">
      <c r="C655" s="4"/>
      <c r="E655" s="176"/>
      <c r="F655" s="176"/>
      <c r="G655" s="190"/>
    </row>
    <row r="656" spans="3:7" ht="15.75" customHeight="1">
      <c r="C656" s="4"/>
      <c r="E656" s="176"/>
      <c r="F656" s="176"/>
      <c r="G656" s="190"/>
    </row>
    <row r="657" spans="3:7" ht="15.75" customHeight="1">
      <c r="C657" s="4"/>
      <c r="E657" s="176"/>
      <c r="F657" s="176"/>
      <c r="G657" s="190"/>
    </row>
    <row r="658" spans="3:7" ht="15.75" customHeight="1">
      <c r="C658" s="4"/>
      <c r="E658" s="176"/>
      <c r="F658" s="176"/>
      <c r="G658" s="190"/>
    </row>
    <row r="659" spans="3:7" ht="15.75" customHeight="1">
      <c r="C659" s="4"/>
      <c r="E659" s="176"/>
      <c r="F659" s="176"/>
      <c r="G659" s="190"/>
    </row>
    <row r="660" spans="3:7" ht="15.75" customHeight="1">
      <c r="C660" s="4"/>
      <c r="E660" s="176"/>
      <c r="F660" s="176"/>
      <c r="G660" s="190"/>
    </row>
    <row r="661" spans="3:7" ht="15.75" customHeight="1">
      <c r="C661" s="4"/>
      <c r="E661" s="176"/>
      <c r="F661" s="176"/>
      <c r="G661" s="190"/>
    </row>
    <row r="662" spans="3:7" ht="15.75" customHeight="1">
      <c r="C662" s="4"/>
      <c r="E662" s="176"/>
      <c r="F662" s="176"/>
      <c r="G662" s="190"/>
    </row>
    <row r="663" spans="3:7" ht="15.75" customHeight="1">
      <c r="C663" s="4"/>
      <c r="E663" s="176"/>
      <c r="F663" s="176"/>
      <c r="G663" s="190"/>
    </row>
    <row r="664" spans="3:7" ht="15.75" customHeight="1">
      <c r="C664" s="4"/>
      <c r="E664" s="176"/>
      <c r="F664" s="176"/>
      <c r="G664" s="190"/>
    </row>
    <row r="665" spans="3:7" ht="15.75" customHeight="1">
      <c r="C665" s="4"/>
      <c r="E665" s="176"/>
      <c r="F665" s="176"/>
      <c r="G665" s="190"/>
    </row>
    <row r="666" spans="3:7" ht="15.75" customHeight="1">
      <c r="C666" s="4"/>
      <c r="E666" s="176"/>
      <c r="F666" s="176"/>
      <c r="G666" s="190"/>
    </row>
    <row r="667" spans="3:7" ht="15.75" customHeight="1">
      <c r="C667" s="4"/>
      <c r="E667" s="176"/>
      <c r="F667" s="176"/>
      <c r="G667" s="190"/>
    </row>
    <row r="668" spans="3:7" ht="15.75" customHeight="1">
      <c r="C668" s="4"/>
      <c r="E668" s="176"/>
      <c r="F668" s="176"/>
      <c r="G668" s="190"/>
    </row>
    <row r="669" spans="3:7" ht="15.75" customHeight="1">
      <c r="C669" s="4"/>
      <c r="E669" s="176"/>
      <c r="F669" s="176"/>
      <c r="G669" s="190"/>
    </row>
    <row r="670" spans="3:7" ht="15.75" customHeight="1">
      <c r="C670" s="4"/>
      <c r="E670" s="176"/>
      <c r="F670" s="176"/>
      <c r="G670" s="190"/>
    </row>
    <row r="671" spans="3:7" ht="15.75" customHeight="1">
      <c r="C671" s="4"/>
      <c r="E671" s="176"/>
      <c r="F671" s="176"/>
      <c r="G671" s="190"/>
    </row>
    <row r="672" spans="3:7" ht="15.75" customHeight="1">
      <c r="C672" s="4"/>
      <c r="E672" s="176"/>
      <c r="F672" s="176"/>
      <c r="G672" s="190"/>
    </row>
    <row r="673" spans="3:7" ht="15.75" customHeight="1">
      <c r="C673" s="4"/>
      <c r="E673" s="176"/>
      <c r="F673" s="176"/>
      <c r="G673" s="190"/>
    </row>
    <row r="674" spans="3:7" ht="15.75" customHeight="1">
      <c r="C674" s="4"/>
      <c r="E674" s="176"/>
      <c r="F674" s="176"/>
      <c r="G674" s="190"/>
    </row>
    <row r="675" spans="3:7" ht="15.75" customHeight="1">
      <c r="C675" s="4"/>
      <c r="E675" s="176"/>
      <c r="F675" s="176"/>
      <c r="G675" s="190"/>
    </row>
    <row r="676" spans="3:7" ht="15.75" customHeight="1">
      <c r="C676" s="4"/>
      <c r="E676" s="176"/>
      <c r="F676" s="176"/>
      <c r="G676" s="190"/>
    </row>
    <row r="677" spans="3:7" ht="15.75" customHeight="1">
      <c r="C677" s="4"/>
      <c r="E677" s="176"/>
      <c r="F677" s="176"/>
      <c r="G677" s="190"/>
    </row>
    <row r="678" spans="3:7" ht="15.75" customHeight="1">
      <c r="C678" s="4"/>
      <c r="E678" s="176"/>
      <c r="F678" s="176"/>
      <c r="G678" s="190"/>
    </row>
    <row r="679" spans="3:7" ht="15.75" customHeight="1">
      <c r="C679" s="4"/>
      <c r="E679" s="176"/>
      <c r="F679" s="176"/>
      <c r="G679" s="190"/>
    </row>
    <row r="680" spans="3:7" ht="15.75" customHeight="1">
      <c r="C680" s="4"/>
      <c r="E680" s="176"/>
      <c r="F680" s="176"/>
      <c r="G680" s="190"/>
    </row>
    <row r="681" spans="3:7" ht="15.75" customHeight="1">
      <c r="C681" s="4"/>
      <c r="E681" s="176"/>
      <c r="F681" s="176"/>
      <c r="G681" s="190"/>
    </row>
    <row r="682" spans="3:7" ht="15.75" customHeight="1">
      <c r="C682" s="4"/>
      <c r="E682" s="176"/>
      <c r="F682" s="176"/>
      <c r="G682" s="190"/>
    </row>
    <row r="683" spans="3:7" ht="15.75" customHeight="1">
      <c r="C683" s="4"/>
      <c r="E683" s="176"/>
      <c r="F683" s="176"/>
      <c r="G683" s="190"/>
    </row>
    <row r="684" spans="3:7" ht="15.75" customHeight="1">
      <c r="C684" s="4"/>
      <c r="E684" s="176"/>
      <c r="F684" s="176"/>
      <c r="G684" s="190"/>
    </row>
    <row r="685" spans="3:7" ht="15.75" customHeight="1">
      <c r="C685" s="4"/>
      <c r="E685" s="176"/>
      <c r="F685" s="176"/>
      <c r="G685" s="190"/>
    </row>
    <row r="686" spans="3:7" ht="15.75" customHeight="1">
      <c r="C686" s="4"/>
      <c r="E686" s="176"/>
      <c r="F686" s="176"/>
      <c r="G686" s="190"/>
    </row>
    <row r="687" spans="3:7" ht="15.75" customHeight="1">
      <c r="C687" s="4"/>
      <c r="E687" s="176"/>
      <c r="F687" s="176"/>
      <c r="G687" s="190"/>
    </row>
    <row r="688" spans="3:7" ht="15.75" customHeight="1">
      <c r="C688" s="4"/>
      <c r="E688" s="176"/>
      <c r="F688" s="176"/>
      <c r="G688" s="190"/>
    </row>
    <row r="689" spans="3:7" ht="15.75" customHeight="1">
      <c r="C689" s="4"/>
      <c r="E689" s="176"/>
      <c r="F689" s="176"/>
      <c r="G689" s="190"/>
    </row>
    <row r="690" spans="3:7" ht="15.75" customHeight="1">
      <c r="C690" s="4"/>
      <c r="E690" s="176"/>
      <c r="F690" s="176"/>
      <c r="G690" s="190"/>
    </row>
    <row r="691" spans="3:7" ht="15.75" customHeight="1">
      <c r="C691" s="4"/>
      <c r="E691" s="176"/>
      <c r="F691" s="176"/>
      <c r="G691" s="190"/>
    </row>
    <row r="692" spans="3:7" ht="15.75" customHeight="1">
      <c r="C692" s="4"/>
      <c r="E692" s="176"/>
      <c r="F692" s="176"/>
      <c r="G692" s="190"/>
    </row>
    <row r="693" spans="3:7" ht="15.75" customHeight="1">
      <c r="C693" s="4"/>
      <c r="E693" s="176"/>
      <c r="F693" s="176"/>
      <c r="G693" s="190"/>
    </row>
    <row r="694" spans="3:7" ht="15.75" customHeight="1">
      <c r="C694" s="4"/>
      <c r="E694" s="176"/>
      <c r="F694" s="176"/>
      <c r="G694" s="190"/>
    </row>
    <row r="695" spans="3:7" ht="15.75" customHeight="1">
      <c r="C695" s="4"/>
      <c r="E695" s="176"/>
      <c r="F695" s="176"/>
      <c r="G695" s="190"/>
    </row>
    <row r="696" spans="3:7" ht="15.75" customHeight="1">
      <c r="C696" s="4"/>
      <c r="E696" s="176"/>
      <c r="F696" s="176"/>
      <c r="G696" s="190"/>
    </row>
    <row r="697" spans="3:7" ht="15.75" customHeight="1">
      <c r="C697" s="4"/>
      <c r="E697" s="176"/>
      <c r="F697" s="176"/>
      <c r="G697" s="190"/>
    </row>
    <row r="698" spans="3:7" ht="15.75" customHeight="1">
      <c r="C698" s="4"/>
      <c r="E698" s="176"/>
      <c r="F698" s="176"/>
      <c r="G698" s="190"/>
    </row>
    <row r="699" spans="3:7" ht="15.75" customHeight="1">
      <c r="C699" s="4"/>
      <c r="E699" s="176"/>
      <c r="F699" s="176"/>
      <c r="G699" s="190"/>
    </row>
    <row r="700" spans="3:7" ht="15.75" customHeight="1">
      <c r="C700" s="4"/>
      <c r="E700" s="176"/>
      <c r="F700" s="176"/>
      <c r="G700" s="190"/>
    </row>
    <row r="701" spans="3:7" ht="15.75" customHeight="1">
      <c r="C701" s="4"/>
      <c r="E701" s="176"/>
      <c r="F701" s="176"/>
      <c r="G701" s="190"/>
    </row>
    <row r="702" spans="3:7" ht="15.75" customHeight="1">
      <c r="C702" s="4"/>
      <c r="E702" s="176"/>
      <c r="F702" s="176"/>
      <c r="G702" s="190"/>
    </row>
    <row r="703" spans="3:7" ht="15.75" customHeight="1">
      <c r="C703" s="4"/>
      <c r="E703" s="176"/>
      <c r="F703" s="176"/>
      <c r="G703" s="190"/>
    </row>
    <row r="704" spans="3:7" ht="15.75" customHeight="1">
      <c r="C704" s="4"/>
      <c r="E704" s="176"/>
      <c r="F704" s="176"/>
      <c r="G704" s="190"/>
    </row>
    <row r="705" spans="3:7" ht="15.75" customHeight="1">
      <c r="C705" s="4"/>
      <c r="E705" s="176"/>
      <c r="F705" s="176"/>
      <c r="G705" s="190"/>
    </row>
    <row r="706" spans="3:7" ht="15.75" customHeight="1">
      <c r="C706" s="4"/>
      <c r="E706" s="176"/>
      <c r="F706" s="176"/>
      <c r="G706" s="190"/>
    </row>
    <row r="707" spans="3:7" ht="15.75" customHeight="1">
      <c r="C707" s="4"/>
      <c r="E707" s="176"/>
      <c r="F707" s="176"/>
      <c r="G707" s="190"/>
    </row>
    <row r="708" spans="3:7" ht="15.75" customHeight="1">
      <c r="C708" s="4"/>
      <c r="E708" s="176"/>
      <c r="F708" s="176"/>
      <c r="G708" s="190"/>
    </row>
    <row r="709" spans="3:7" ht="15.75" customHeight="1">
      <c r="C709" s="4"/>
      <c r="E709" s="176"/>
      <c r="F709" s="176"/>
      <c r="G709" s="190"/>
    </row>
    <row r="710" spans="3:7" ht="15.75" customHeight="1">
      <c r="C710" s="4"/>
      <c r="E710" s="176"/>
      <c r="F710" s="176"/>
      <c r="G710" s="190"/>
    </row>
    <row r="711" spans="3:7" ht="15.75" customHeight="1">
      <c r="C711" s="4"/>
      <c r="E711" s="176"/>
      <c r="F711" s="176"/>
      <c r="G711" s="190"/>
    </row>
    <row r="712" spans="3:7" ht="15.75" customHeight="1">
      <c r="C712" s="4"/>
      <c r="E712" s="176"/>
      <c r="F712" s="176"/>
      <c r="G712" s="190"/>
    </row>
    <row r="713" spans="3:7" ht="15.75" customHeight="1">
      <c r="C713" s="4"/>
      <c r="E713" s="176"/>
      <c r="F713" s="176"/>
      <c r="G713" s="190"/>
    </row>
    <row r="714" spans="3:7" ht="15.75" customHeight="1">
      <c r="C714" s="4"/>
      <c r="E714" s="176"/>
      <c r="F714" s="176"/>
      <c r="G714" s="190"/>
    </row>
    <row r="715" spans="3:7" ht="15.75" customHeight="1">
      <c r="C715" s="4"/>
      <c r="E715" s="176"/>
      <c r="F715" s="176"/>
      <c r="G715" s="190"/>
    </row>
    <row r="716" spans="3:7" ht="15.75" customHeight="1">
      <c r="C716" s="4"/>
      <c r="E716" s="176"/>
      <c r="F716" s="176"/>
      <c r="G716" s="190"/>
    </row>
    <row r="717" spans="3:7" ht="15.75" customHeight="1">
      <c r="C717" s="4"/>
      <c r="E717" s="176"/>
      <c r="F717" s="176"/>
      <c r="G717" s="190"/>
    </row>
    <row r="718" spans="3:7" ht="15.75" customHeight="1">
      <c r="C718" s="4"/>
      <c r="E718" s="176"/>
      <c r="F718" s="176"/>
      <c r="G718" s="190"/>
    </row>
    <row r="719" spans="3:7" ht="15.75" customHeight="1">
      <c r="C719" s="4"/>
      <c r="E719" s="176"/>
      <c r="F719" s="176"/>
      <c r="G719" s="190"/>
    </row>
    <row r="720" spans="3:7" ht="15.75" customHeight="1">
      <c r="C720" s="4"/>
      <c r="E720" s="176"/>
      <c r="F720" s="176"/>
      <c r="G720" s="190"/>
    </row>
    <row r="721" spans="3:7" ht="15.75" customHeight="1">
      <c r="C721" s="4"/>
      <c r="E721" s="176"/>
      <c r="F721" s="176"/>
      <c r="G721" s="190"/>
    </row>
    <row r="722" spans="3:7" ht="15.75" customHeight="1">
      <c r="C722" s="4"/>
      <c r="E722" s="176"/>
      <c r="F722" s="176"/>
      <c r="G722" s="190"/>
    </row>
    <row r="723" spans="3:7" ht="15.75" customHeight="1">
      <c r="C723" s="4"/>
      <c r="E723" s="176"/>
      <c r="F723" s="176"/>
      <c r="G723" s="190"/>
    </row>
    <row r="724" spans="3:7" ht="15.75" customHeight="1">
      <c r="C724" s="4"/>
      <c r="E724" s="176"/>
      <c r="F724" s="176"/>
      <c r="G724" s="190"/>
    </row>
    <row r="725" spans="3:7" ht="15.75" customHeight="1">
      <c r="C725" s="4"/>
      <c r="E725" s="176"/>
      <c r="F725" s="176"/>
      <c r="G725" s="190"/>
    </row>
    <row r="726" spans="3:7" ht="15.75" customHeight="1">
      <c r="C726" s="4"/>
      <c r="E726" s="176"/>
      <c r="F726" s="176"/>
      <c r="G726" s="190"/>
    </row>
    <row r="727" spans="3:7" ht="15.75" customHeight="1">
      <c r="C727" s="4"/>
      <c r="E727" s="176"/>
      <c r="F727" s="176"/>
      <c r="G727" s="190"/>
    </row>
    <row r="728" spans="3:7" ht="15.75" customHeight="1">
      <c r="C728" s="4"/>
      <c r="E728" s="176"/>
      <c r="F728" s="176"/>
      <c r="G728" s="190"/>
    </row>
    <row r="729" spans="3:7" ht="15.75" customHeight="1">
      <c r="C729" s="4"/>
      <c r="E729" s="176"/>
      <c r="F729" s="176"/>
      <c r="G729" s="190"/>
    </row>
    <row r="730" spans="3:7" ht="15.75" customHeight="1">
      <c r="C730" s="4"/>
      <c r="E730" s="176"/>
      <c r="F730" s="176"/>
      <c r="G730" s="190"/>
    </row>
    <row r="731" spans="3:7" ht="15.75" customHeight="1">
      <c r="C731" s="4"/>
      <c r="E731" s="176"/>
      <c r="F731" s="176"/>
      <c r="G731" s="190"/>
    </row>
    <row r="732" spans="3:7" ht="15.75" customHeight="1">
      <c r="C732" s="4"/>
      <c r="E732" s="176"/>
      <c r="F732" s="176"/>
      <c r="G732" s="190"/>
    </row>
    <row r="733" spans="3:7" ht="15.75" customHeight="1">
      <c r="C733" s="4"/>
      <c r="E733" s="176"/>
      <c r="F733" s="176"/>
      <c r="G733" s="190"/>
    </row>
    <row r="734" spans="3:7" ht="15.75" customHeight="1">
      <c r="C734" s="4"/>
      <c r="E734" s="176"/>
      <c r="F734" s="176"/>
      <c r="G734" s="190"/>
    </row>
    <row r="735" spans="3:7" ht="15.75" customHeight="1">
      <c r="C735" s="4"/>
      <c r="E735" s="176"/>
      <c r="F735" s="176"/>
      <c r="G735" s="190"/>
    </row>
    <row r="736" spans="3:7" ht="15.75" customHeight="1">
      <c r="C736" s="4"/>
      <c r="E736" s="176"/>
      <c r="F736" s="176"/>
      <c r="G736" s="190"/>
    </row>
    <row r="737" spans="3:7" ht="15.75" customHeight="1">
      <c r="C737" s="4"/>
      <c r="E737" s="176"/>
      <c r="F737" s="176"/>
      <c r="G737" s="190"/>
    </row>
    <row r="738" spans="3:7" ht="15.75" customHeight="1">
      <c r="C738" s="4"/>
      <c r="E738" s="176"/>
      <c r="F738" s="176"/>
      <c r="G738" s="190"/>
    </row>
    <row r="739" spans="3:7" ht="15.75" customHeight="1">
      <c r="C739" s="4"/>
      <c r="E739" s="176"/>
      <c r="F739" s="176"/>
      <c r="G739" s="190"/>
    </row>
    <row r="740" spans="3:7" ht="15.75" customHeight="1">
      <c r="C740" s="4"/>
      <c r="E740" s="176"/>
      <c r="F740" s="176"/>
      <c r="G740" s="190"/>
    </row>
    <row r="741" spans="3:7" ht="15.75" customHeight="1">
      <c r="C741" s="4"/>
      <c r="E741" s="176"/>
      <c r="F741" s="176"/>
      <c r="G741" s="190"/>
    </row>
    <row r="742" spans="3:7" ht="15.75" customHeight="1">
      <c r="C742" s="4"/>
      <c r="E742" s="176"/>
      <c r="F742" s="176"/>
      <c r="G742" s="190"/>
    </row>
    <row r="743" spans="3:7" ht="15.75" customHeight="1">
      <c r="C743" s="4"/>
      <c r="E743" s="176"/>
      <c r="F743" s="176"/>
      <c r="G743" s="190"/>
    </row>
    <row r="744" spans="3:7" ht="15.75" customHeight="1">
      <c r="C744" s="4"/>
      <c r="E744" s="176"/>
      <c r="F744" s="176"/>
      <c r="G744" s="190"/>
    </row>
    <row r="745" spans="3:7" ht="15.75" customHeight="1">
      <c r="C745" s="4"/>
      <c r="E745" s="176"/>
      <c r="F745" s="176"/>
      <c r="G745" s="190"/>
    </row>
    <row r="746" spans="3:7" ht="15.75" customHeight="1">
      <c r="C746" s="4"/>
      <c r="E746" s="176"/>
      <c r="F746" s="176"/>
      <c r="G746" s="190"/>
    </row>
    <row r="747" spans="3:7" ht="15.75" customHeight="1">
      <c r="C747" s="4"/>
      <c r="E747" s="176"/>
      <c r="F747" s="176"/>
      <c r="G747" s="190"/>
    </row>
    <row r="748" spans="3:7" ht="15.75" customHeight="1">
      <c r="C748" s="4"/>
      <c r="E748" s="176"/>
      <c r="F748" s="176"/>
      <c r="G748" s="190"/>
    </row>
    <row r="749" spans="3:7" ht="15.75" customHeight="1">
      <c r="C749" s="4"/>
      <c r="E749" s="176"/>
      <c r="F749" s="176"/>
      <c r="G749" s="190"/>
    </row>
    <row r="750" spans="3:7" ht="15.75" customHeight="1">
      <c r="C750" s="4"/>
      <c r="E750" s="176"/>
      <c r="F750" s="176"/>
      <c r="G750" s="190"/>
    </row>
    <row r="751" spans="3:7" ht="15.75" customHeight="1">
      <c r="C751" s="4"/>
      <c r="E751" s="176"/>
      <c r="F751" s="176"/>
      <c r="G751" s="190"/>
    </row>
    <row r="752" spans="3:7" ht="15.75" customHeight="1">
      <c r="C752" s="4"/>
      <c r="E752" s="176"/>
      <c r="F752" s="176"/>
      <c r="G752" s="190"/>
    </row>
    <row r="753" spans="3:7" ht="15.75" customHeight="1">
      <c r="C753" s="4"/>
      <c r="E753" s="176"/>
      <c r="F753" s="176"/>
      <c r="G753" s="190"/>
    </row>
    <row r="754" spans="3:7" ht="15.75" customHeight="1">
      <c r="C754" s="4"/>
      <c r="E754" s="176"/>
      <c r="F754" s="176"/>
      <c r="G754" s="190"/>
    </row>
    <row r="755" spans="3:7" ht="15.75" customHeight="1">
      <c r="C755" s="4"/>
      <c r="E755" s="176"/>
      <c r="F755" s="176"/>
      <c r="G755" s="190"/>
    </row>
    <row r="756" spans="3:7" ht="15.75" customHeight="1">
      <c r="C756" s="4"/>
      <c r="E756" s="176"/>
      <c r="F756" s="176"/>
      <c r="G756" s="190"/>
    </row>
    <row r="757" spans="3:7" ht="15.75" customHeight="1">
      <c r="C757" s="4"/>
      <c r="E757" s="176"/>
      <c r="F757" s="176"/>
      <c r="G757" s="190"/>
    </row>
    <row r="758" spans="3:7" ht="15.75" customHeight="1">
      <c r="C758" s="4"/>
      <c r="E758" s="176"/>
      <c r="F758" s="176"/>
      <c r="G758" s="190"/>
    </row>
    <row r="759" spans="3:7" ht="15.75" customHeight="1">
      <c r="C759" s="4"/>
      <c r="E759" s="176"/>
      <c r="F759" s="176"/>
      <c r="G759" s="190"/>
    </row>
    <row r="760" spans="3:7" ht="15.75" customHeight="1">
      <c r="C760" s="4"/>
      <c r="E760" s="176"/>
      <c r="F760" s="176"/>
      <c r="G760" s="190"/>
    </row>
    <row r="761" spans="3:7" ht="15.75" customHeight="1">
      <c r="C761" s="4"/>
      <c r="E761" s="176"/>
      <c r="F761" s="176"/>
      <c r="G761" s="190"/>
    </row>
    <row r="762" spans="3:7" ht="15.75" customHeight="1">
      <c r="C762" s="4"/>
      <c r="E762" s="176"/>
      <c r="F762" s="176"/>
      <c r="G762" s="190"/>
    </row>
    <row r="763" spans="3:7" ht="15.75" customHeight="1">
      <c r="C763" s="4"/>
      <c r="E763" s="176"/>
      <c r="F763" s="176"/>
      <c r="G763" s="190"/>
    </row>
    <row r="764" spans="3:7" ht="15.75" customHeight="1">
      <c r="C764" s="4"/>
      <c r="E764" s="176"/>
      <c r="F764" s="176"/>
      <c r="G764" s="190"/>
    </row>
    <row r="765" spans="3:7" ht="15.75" customHeight="1">
      <c r="C765" s="4"/>
      <c r="E765" s="176"/>
      <c r="F765" s="176"/>
      <c r="G765" s="190"/>
    </row>
    <row r="766" spans="3:7" ht="15.75" customHeight="1">
      <c r="C766" s="4"/>
      <c r="E766" s="176"/>
      <c r="F766" s="176"/>
      <c r="G766" s="190"/>
    </row>
    <row r="767" spans="3:7" ht="15.75" customHeight="1">
      <c r="C767" s="4"/>
      <c r="E767" s="176"/>
      <c r="F767" s="176"/>
      <c r="G767" s="190"/>
    </row>
    <row r="768" spans="3:7" ht="15.75" customHeight="1">
      <c r="C768" s="4"/>
      <c r="E768" s="176"/>
      <c r="F768" s="176"/>
      <c r="G768" s="190"/>
    </row>
    <row r="769" spans="3:7" ht="15.75" customHeight="1">
      <c r="C769" s="4"/>
      <c r="E769" s="176"/>
      <c r="F769" s="176"/>
      <c r="G769" s="190"/>
    </row>
    <row r="770" spans="3:7" ht="15.75" customHeight="1">
      <c r="C770" s="4"/>
      <c r="E770" s="176"/>
      <c r="F770" s="176"/>
      <c r="G770" s="190"/>
    </row>
    <row r="771" spans="3:7" ht="15.75" customHeight="1">
      <c r="C771" s="4"/>
      <c r="E771" s="176"/>
      <c r="F771" s="176"/>
      <c r="G771" s="190"/>
    </row>
    <row r="772" spans="3:7" ht="15.75" customHeight="1">
      <c r="C772" s="4"/>
      <c r="E772" s="176"/>
      <c r="F772" s="176"/>
      <c r="G772" s="190"/>
    </row>
    <row r="773" spans="3:7" ht="15.75" customHeight="1">
      <c r="C773" s="4"/>
      <c r="E773" s="176"/>
      <c r="F773" s="176"/>
      <c r="G773" s="190"/>
    </row>
    <row r="774" spans="3:7" ht="15.75" customHeight="1">
      <c r="C774" s="4"/>
      <c r="E774" s="176"/>
      <c r="F774" s="176"/>
      <c r="G774" s="190"/>
    </row>
    <row r="775" spans="3:7" ht="15.75" customHeight="1">
      <c r="C775" s="4"/>
      <c r="E775" s="176"/>
      <c r="F775" s="176"/>
      <c r="G775" s="190"/>
    </row>
    <row r="776" spans="3:7" ht="15.75" customHeight="1">
      <c r="C776" s="4"/>
      <c r="E776" s="176"/>
      <c r="F776" s="176"/>
      <c r="G776" s="190"/>
    </row>
    <row r="777" spans="3:7" ht="15.75" customHeight="1">
      <c r="C777" s="4"/>
      <c r="E777" s="176"/>
      <c r="F777" s="176"/>
      <c r="G777" s="190"/>
    </row>
    <row r="778" spans="3:7" ht="15.75" customHeight="1">
      <c r="C778" s="4"/>
      <c r="E778" s="176"/>
      <c r="F778" s="176"/>
      <c r="G778" s="190"/>
    </row>
    <row r="779" spans="3:7" ht="15.75" customHeight="1">
      <c r="C779" s="4"/>
      <c r="E779" s="176"/>
      <c r="F779" s="176"/>
      <c r="G779" s="190"/>
    </row>
    <row r="780" spans="3:7" ht="15.75" customHeight="1">
      <c r="C780" s="4"/>
      <c r="E780" s="176"/>
      <c r="F780" s="176"/>
      <c r="G780" s="190"/>
    </row>
    <row r="781" spans="3:7" ht="15.75" customHeight="1">
      <c r="C781" s="4"/>
      <c r="E781" s="176"/>
      <c r="F781" s="176"/>
      <c r="G781" s="190"/>
    </row>
    <row r="782" spans="3:7" ht="15.75" customHeight="1">
      <c r="C782" s="4"/>
      <c r="E782" s="176"/>
      <c r="F782" s="176"/>
      <c r="G782" s="190"/>
    </row>
    <row r="783" spans="3:7" ht="15.75" customHeight="1">
      <c r="C783" s="4"/>
      <c r="E783" s="176"/>
      <c r="F783" s="176"/>
      <c r="G783" s="190"/>
    </row>
    <row r="784" spans="3:7" ht="15.75" customHeight="1">
      <c r="C784" s="4"/>
      <c r="E784" s="176"/>
      <c r="F784" s="176"/>
      <c r="G784" s="190"/>
    </row>
    <row r="785" spans="3:7" ht="15.75" customHeight="1">
      <c r="C785" s="4"/>
      <c r="E785" s="176"/>
      <c r="F785" s="176"/>
      <c r="G785" s="190"/>
    </row>
    <row r="786" spans="3:7" ht="15.75" customHeight="1">
      <c r="C786" s="4"/>
      <c r="E786" s="176"/>
      <c r="F786" s="176"/>
      <c r="G786" s="190"/>
    </row>
    <row r="787" spans="3:7" ht="15.75" customHeight="1">
      <c r="C787" s="4"/>
      <c r="E787" s="176"/>
      <c r="F787" s="176"/>
      <c r="G787" s="190"/>
    </row>
    <row r="788" spans="3:7" ht="15.75" customHeight="1">
      <c r="C788" s="4"/>
      <c r="E788" s="176"/>
      <c r="F788" s="176"/>
      <c r="G788" s="190"/>
    </row>
    <row r="789" spans="3:7" ht="15.75" customHeight="1">
      <c r="C789" s="4"/>
      <c r="E789" s="176"/>
      <c r="F789" s="176"/>
      <c r="G789" s="190"/>
    </row>
    <row r="790" spans="3:7" ht="15.75" customHeight="1">
      <c r="C790" s="4"/>
      <c r="E790" s="176"/>
      <c r="F790" s="176"/>
      <c r="G790" s="190"/>
    </row>
    <row r="791" spans="3:7" ht="15.75" customHeight="1">
      <c r="C791" s="4"/>
      <c r="E791" s="176"/>
      <c r="F791" s="176"/>
      <c r="G791" s="190"/>
    </row>
    <row r="792" spans="3:7" ht="15.75" customHeight="1">
      <c r="C792" s="4"/>
      <c r="E792" s="176"/>
      <c r="F792" s="176"/>
      <c r="G792" s="190"/>
    </row>
    <row r="793" spans="3:7" ht="15.75" customHeight="1">
      <c r="C793" s="4"/>
      <c r="E793" s="176"/>
      <c r="F793" s="176"/>
      <c r="G793" s="190"/>
    </row>
    <row r="794" spans="3:7" ht="15.75" customHeight="1">
      <c r="C794" s="4"/>
      <c r="E794" s="176"/>
      <c r="F794" s="176"/>
      <c r="G794" s="190"/>
    </row>
    <row r="795" spans="3:7" ht="15.75" customHeight="1">
      <c r="C795" s="4"/>
      <c r="E795" s="176"/>
      <c r="F795" s="176"/>
      <c r="G795" s="190"/>
    </row>
    <row r="796" spans="3:7" ht="15.75" customHeight="1">
      <c r="C796" s="4"/>
      <c r="E796" s="176"/>
      <c r="F796" s="176"/>
      <c r="G796" s="190"/>
    </row>
    <row r="797" spans="3:7" ht="15.75" customHeight="1">
      <c r="C797" s="4"/>
      <c r="E797" s="176"/>
      <c r="F797" s="176"/>
      <c r="G797" s="190"/>
    </row>
    <row r="798" spans="3:7" ht="15.75" customHeight="1">
      <c r="C798" s="4"/>
      <c r="E798" s="176"/>
      <c r="F798" s="176"/>
      <c r="G798" s="190"/>
    </row>
    <row r="799" spans="3:7" ht="15.75" customHeight="1">
      <c r="C799" s="4"/>
      <c r="E799" s="176"/>
      <c r="F799" s="176"/>
      <c r="G799" s="190"/>
    </row>
    <row r="800" spans="3:7" ht="15.75" customHeight="1">
      <c r="C800" s="4"/>
      <c r="E800" s="176"/>
      <c r="F800" s="176"/>
      <c r="G800" s="190"/>
    </row>
    <row r="801" spans="3:7" ht="15.75" customHeight="1">
      <c r="C801" s="4"/>
      <c r="E801" s="176"/>
      <c r="F801" s="176"/>
      <c r="G801" s="190"/>
    </row>
    <row r="802" spans="3:7" ht="15.75" customHeight="1">
      <c r="C802" s="4"/>
      <c r="E802" s="176"/>
      <c r="F802" s="176"/>
      <c r="G802" s="190"/>
    </row>
    <row r="803" spans="3:7" ht="15.75" customHeight="1">
      <c r="C803" s="4"/>
      <c r="E803" s="176"/>
      <c r="F803" s="176"/>
      <c r="G803" s="190"/>
    </row>
    <row r="804" spans="3:7" ht="15.75" customHeight="1">
      <c r="C804" s="4"/>
      <c r="E804" s="176"/>
      <c r="F804" s="176"/>
      <c r="G804" s="190"/>
    </row>
    <row r="805" spans="3:7" ht="15.75" customHeight="1">
      <c r="C805" s="4"/>
      <c r="E805" s="176"/>
      <c r="F805" s="176"/>
      <c r="G805" s="190"/>
    </row>
    <row r="806" spans="3:7" ht="15.75" customHeight="1">
      <c r="C806" s="4"/>
      <c r="E806" s="176"/>
      <c r="F806" s="176"/>
      <c r="G806" s="190"/>
    </row>
    <row r="807" spans="3:7" ht="15.75" customHeight="1">
      <c r="C807" s="4"/>
      <c r="E807" s="176"/>
      <c r="F807" s="176"/>
      <c r="G807" s="190"/>
    </row>
    <row r="808" spans="3:7" ht="15.75" customHeight="1">
      <c r="C808" s="4"/>
      <c r="E808" s="176"/>
      <c r="F808" s="176"/>
      <c r="G808" s="190"/>
    </row>
    <row r="809" spans="3:7" ht="15.75" customHeight="1">
      <c r="C809" s="4"/>
      <c r="E809" s="176"/>
      <c r="F809" s="176"/>
      <c r="G809" s="190"/>
    </row>
    <row r="810" spans="3:7" ht="15.75" customHeight="1">
      <c r="C810" s="4"/>
      <c r="E810" s="176"/>
      <c r="F810" s="176"/>
      <c r="G810" s="190"/>
    </row>
    <row r="811" spans="3:7" ht="15.75" customHeight="1">
      <c r="C811" s="4"/>
      <c r="E811" s="176"/>
      <c r="F811" s="176"/>
      <c r="G811" s="190"/>
    </row>
    <row r="812" spans="3:7" ht="15.75" customHeight="1">
      <c r="C812" s="4"/>
      <c r="E812" s="176"/>
      <c r="F812" s="176"/>
      <c r="G812" s="190"/>
    </row>
    <row r="813" spans="3:7" ht="15.75" customHeight="1">
      <c r="C813" s="4"/>
      <c r="E813" s="176"/>
      <c r="F813" s="176"/>
      <c r="G813" s="190"/>
    </row>
    <row r="814" spans="3:7" ht="15.75" customHeight="1">
      <c r="C814" s="4"/>
      <c r="E814" s="176"/>
      <c r="F814" s="176"/>
      <c r="G814" s="190"/>
    </row>
    <row r="815" spans="3:7" ht="15.75" customHeight="1">
      <c r="C815" s="4"/>
      <c r="E815" s="176"/>
      <c r="F815" s="176"/>
      <c r="G815" s="190"/>
    </row>
    <row r="816" spans="3:7" ht="15.75" customHeight="1">
      <c r="C816" s="4"/>
      <c r="E816" s="176"/>
      <c r="F816" s="176"/>
      <c r="G816" s="190"/>
    </row>
    <row r="817" spans="3:7" ht="15.75" customHeight="1">
      <c r="C817" s="4"/>
      <c r="E817" s="176"/>
      <c r="F817" s="176"/>
      <c r="G817" s="190"/>
    </row>
    <row r="818" spans="3:7" ht="15.75" customHeight="1">
      <c r="C818" s="4"/>
      <c r="E818" s="176"/>
      <c r="F818" s="176"/>
      <c r="G818" s="190"/>
    </row>
    <row r="819" spans="3:7" ht="15.75" customHeight="1">
      <c r="C819" s="4"/>
      <c r="E819" s="176"/>
      <c r="F819" s="176"/>
      <c r="G819" s="190"/>
    </row>
    <row r="820" spans="3:7" ht="15.75" customHeight="1">
      <c r="C820" s="4"/>
      <c r="E820" s="176"/>
      <c r="F820" s="176"/>
      <c r="G820" s="190"/>
    </row>
    <row r="821" spans="3:7" ht="15.75" customHeight="1">
      <c r="C821" s="4"/>
      <c r="E821" s="176"/>
      <c r="F821" s="176"/>
      <c r="G821" s="190"/>
    </row>
    <row r="822" spans="3:7" ht="15.75" customHeight="1">
      <c r="C822" s="4"/>
      <c r="E822" s="176"/>
      <c r="F822" s="176"/>
      <c r="G822" s="190"/>
    </row>
    <row r="823" spans="3:7" ht="15.75" customHeight="1">
      <c r="C823" s="4"/>
      <c r="E823" s="176"/>
      <c r="F823" s="176"/>
      <c r="G823" s="190"/>
    </row>
    <row r="824" spans="3:7" ht="15.75" customHeight="1">
      <c r="C824" s="4"/>
      <c r="E824" s="176"/>
      <c r="F824" s="176"/>
      <c r="G824" s="190"/>
    </row>
    <row r="825" spans="3:7" ht="15.75" customHeight="1">
      <c r="C825" s="4"/>
      <c r="E825" s="176"/>
      <c r="F825" s="176"/>
      <c r="G825" s="190"/>
    </row>
    <row r="826" spans="3:7" ht="15.75" customHeight="1">
      <c r="C826" s="4"/>
      <c r="E826" s="176"/>
      <c r="F826" s="176"/>
      <c r="G826" s="190"/>
    </row>
    <row r="827" spans="3:7" ht="15.75" customHeight="1">
      <c r="C827" s="4"/>
      <c r="E827" s="176"/>
      <c r="F827" s="176"/>
      <c r="G827" s="190"/>
    </row>
    <row r="828" spans="3:7" ht="15.75" customHeight="1">
      <c r="C828" s="4"/>
      <c r="E828" s="176"/>
      <c r="F828" s="176"/>
      <c r="G828" s="190"/>
    </row>
    <row r="829" spans="3:7" ht="15.75" customHeight="1">
      <c r="C829" s="4"/>
      <c r="E829" s="176"/>
      <c r="F829" s="176"/>
      <c r="G829" s="190"/>
    </row>
    <row r="830" spans="3:7" ht="15.75" customHeight="1">
      <c r="C830" s="4"/>
      <c r="E830" s="176"/>
      <c r="F830" s="176"/>
      <c r="G830" s="190"/>
    </row>
    <row r="831" spans="3:7" ht="15.75" customHeight="1">
      <c r="C831" s="4"/>
      <c r="E831" s="176"/>
      <c r="F831" s="176"/>
      <c r="G831" s="190"/>
    </row>
    <row r="832" spans="3:7" ht="15.75" customHeight="1">
      <c r="C832" s="4"/>
      <c r="E832" s="176"/>
      <c r="F832" s="176"/>
      <c r="G832" s="190"/>
    </row>
    <row r="833" spans="3:7" ht="15.75" customHeight="1">
      <c r="C833" s="4"/>
      <c r="E833" s="176"/>
      <c r="F833" s="176"/>
      <c r="G833" s="190"/>
    </row>
    <row r="834" spans="3:7" ht="15.75" customHeight="1">
      <c r="C834" s="4"/>
      <c r="E834" s="176"/>
      <c r="F834" s="176"/>
      <c r="G834" s="190"/>
    </row>
    <row r="835" spans="3:7" ht="15.75" customHeight="1">
      <c r="C835" s="4"/>
      <c r="E835" s="176"/>
      <c r="F835" s="176"/>
      <c r="G835" s="190"/>
    </row>
    <row r="836" spans="3:7" ht="15.75" customHeight="1">
      <c r="C836" s="4"/>
      <c r="E836" s="176"/>
      <c r="F836" s="176"/>
      <c r="G836" s="190"/>
    </row>
    <row r="837" spans="3:7" ht="15.75" customHeight="1">
      <c r="C837" s="4"/>
      <c r="E837" s="176"/>
      <c r="F837" s="176"/>
      <c r="G837" s="190"/>
    </row>
    <row r="838" spans="3:7" ht="15.75" customHeight="1">
      <c r="C838" s="4"/>
      <c r="E838" s="176"/>
      <c r="F838" s="176"/>
      <c r="G838" s="190"/>
    </row>
    <row r="839" spans="3:7" ht="15.75" customHeight="1">
      <c r="C839" s="4"/>
      <c r="E839" s="176"/>
      <c r="F839" s="176"/>
      <c r="G839" s="190"/>
    </row>
    <row r="840" spans="3:7" ht="15.75" customHeight="1">
      <c r="C840" s="4"/>
      <c r="E840" s="176"/>
      <c r="F840" s="176"/>
      <c r="G840" s="190"/>
    </row>
    <row r="841" spans="3:7" ht="15.75" customHeight="1">
      <c r="C841" s="4"/>
      <c r="E841" s="176"/>
      <c r="F841" s="176"/>
      <c r="G841" s="190"/>
    </row>
    <row r="842" spans="3:7" ht="15.75" customHeight="1">
      <c r="C842" s="4"/>
      <c r="E842" s="176"/>
      <c r="F842" s="176"/>
      <c r="G842" s="190"/>
    </row>
    <row r="843" spans="3:7" ht="15.75" customHeight="1">
      <c r="C843" s="4"/>
      <c r="E843" s="176"/>
      <c r="F843" s="176"/>
      <c r="G843" s="190"/>
    </row>
    <row r="844" spans="3:7" ht="15.75" customHeight="1">
      <c r="C844" s="4"/>
      <c r="E844" s="176"/>
      <c r="F844" s="176"/>
      <c r="G844" s="190"/>
    </row>
    <row r="845" spans="3:7" ht="15.75" customHeight="1">
      <c r="C845" s="4"/>
      <c r="E845" s="176"/>
      <c r="F845" s="176"/>
      <c r="G845" s="190"/>
    </row>
    <row r="846" spans="3:7" ht="15.75" customHeight="1">
      <c r="C846" s="4"/>
      <c r="E846" s="176"/>
      <c r="F846" s="176"/>
      <c r="G846" s="190"/>
    </row>
    <row r="847" spans="3:7" ht="15.75" customHeight="1">
      <c r="C847" s="4"/>
      <c r="E847" s="176"/>
      <c r="F847" s="176"/>
      <c r="G847" s="190"/>
    </row>
    <row r="848" spans="3:7" ht="15.75" customHeight="1">
      <c r="C848" s="4"/>
      <c r="E848" s="176"/>
      <c r="F848" s="176"/>
      <c r="G848" s="190"/>
    </row>
    <row r="849" spans="3:7" ht="15.75" customHeight="1">
      <c r="C849" s="4"/>
      <c r="E849" s="176"/>
      <c r="F849" s="176"/>
      <c r="G849" s="190"/>
    </row>
    <row r="850" spans="3:7" ht="15.75" customHeight="1">
      <c r="C850" s="4"/>
      <c r="E850" s="176"/>
      <c r="F850" s="176"/>
      <c r="G850" s="190"/>
    </row>
    <row r="851" spans="3:7" ht="15.75" customHeight="1">
      <c r="C851" s="4"/>
      <c r="E851" s="176"/>
      <c r="F851" s="176"/>
      <c r="G851" s="190"/>
    </row>
    <row r="852" spans="3:7" ht="15.75" customHeight="1">
      <c r="C852" s="4"/>
      <c r="E852" s="176"/>
      <c r="F852" s="176"/>
      <c r="G852" s="190"/>
    </row>
    <row r="853" spans="3:7" ht="15.75" customHeight="1">
      <c r="C853" s="4"/>
      <c r="E853" s="176"/>
      <c r="F853" s="176"/>
      <c r="G853" s="190"/>
    </row>
    <row r="854" spans="3:7" ht="15.75" customHeight="1">
      <c r="C854" s="4"/>
      <c r="E854" s="176"/>
      <c r="F854" s="176"/>
      <c r="G854" s="190"/>
    </row>
    <row r="855" spans="3:7" ht="15.75" customHeight="1">
      <c r="C855" s="4"/>
      <c r="E855" s="176"/>
      <c r="F855" s="176"/>
      <c r="G855" s="190"/>
    </row>
    <row r="856" spans="3:7" ht="15.75" customHeight="1">
      <c r="C856" s="4"/>
      <c r="E856" s="176"/>
      <c r="F856" s="176"/>
      <c r="G856" s="190"/>
    </row>
    <row r="857" spans="3:7" ht="15.75" customHeight="1">
      <c r="C857" s="4"/>
      <c r="E857" s="176"/>
      <c r="F857" s="176"/>
      <c r="G857" s="190"/>
    </row>
    <row r="858" spans="3:7" ht="15.75" customHeight="1">
      <c r="C858" s="4"/>
      <c r="E858" s="176"/>
      <c r="F858" s="176"/>
      <c r="G858" s="190"/>
    </row>
    <row r="859" spans="3:7" ht="15.75" customHeight="1">
      <c r="C859" s="4"/>
      <c r="E859" s="176"/>
      <c r="F859" s="176"/>
      <c r="G859" s="190"/>
    </row>
    <row r="860" spans="3:7" ht="15.75" customHeight="1">
      <c r="C860" s="4"/>
      <c r="E860" s="176"/>
      <c r="F860" s="176"/>
      <c r="G860" s="190"/>
    </row>
    <row r="861" spans="3:7" ht="15.75" customHeight="1">
      <c r="C861" s="4"/>
      <c r="E861" s="176"/>
      <c r="F861" s="176"/>
      <c r="G861" s="190"/>
    </row>
    <row r="862" spans="3:7" ht="15.75" customHeight="1">
      <c r="C862" s="4"/>
      <c r="E862" s="176"/>
      <c r="F862" s="176"/>
      <c r="G862" s="190"/>
    </row>
    <row r="863" spans="3:7" ht="15.75" customHeight="1">
      <c r="C863" s="4"/>
      <c r="E863" s="176"/>
      <c r="F863" s="176"/>
      <c r="G863" s="190"/>
    </row>
    <row r="864" spans="3:7" ht="15.75" customHeight="1">
      <c r="C864" s="4"/>
      <c r="E864" s="176"/>
      <c r="F864" s="176"/>
      <c r="G864" s="190"/>
    </row>
    <row r="865" spans="3:7" ht="15.75" customHeight="1">
      <c r="C865" s="4"/>
      <c r="E865" s="176"/>
      <c r="F865" s="176"/>
      <c r="G865" s="190"/>
    </row>
    <row r="866" spans="3:7" ht="15.75" customHeight="1">
      <c r="C866" s="4"/>
      <c r="E866" s="176"/>
      <c r="F866" s="176"/>
      <c r="G866" s="190"/>
    </row>
    <row r="867" spans="3:7" ht="15.75" customHeight="1">
      <c r="C867" s="4"/>
      <c r="E867" s="176"/>
      <c r="F867" s="176"/>
      <c r="G867" s="190"/>
    </row>
    <row r="868" spans="3:7" ht="15.75" customHeight="1">
      <c r="C868" s="4"/>
      <c r="E868" s="176"/>
      <c r="F868" s="176"/>
      <c r="G868" s="190"/>
    </row>
    <row r="869" spans="3:7" ht="15.75" customHeight="1">
      <c r="C869" s="4"/>
      <c r="E869" s="176"/>
      <c r="F869" s="176"/>
      <c r="G869" s="190"/>
    </row>
    <row r="870" spans="3:7" ht="15.75" customHeight="1">
      <c r="C870" s="4"/>
      <c r="E870" s="176"/>
      <c r="F870" s="176"/>
      <c r="G870" s="190"/>
    </row>
    <row r="871" spans="3:7" ht="15.75" customHeight="1">
      <c r="C871" s="4"/>
      <c r="E871" s="176"/>
      <c r="F871" s="176"/>
      <c r="G871" s="190"/>
    </row>
    <row r="872" spans="3:7" ht="15.75" customHeight="1">
      <c r="C872" s="4"/>
      <c r="E872" s="176"/>
      <c r="F872" s="176"/>
      <c r="G872" s="190"/>
    </row>
    <row r="873" spans="3:7" ht="15.75" customHeight="1">
      <c r="C873" s="4"/>
      <c r="E873" s="176"/>
      <c r="F873" s="176"/>
      <c r="G873" s="190"/>
    </row>
    <row r="874" spans="3:7" ht="15.75" customHeight="1">
      <c r="C874" s="4"/>
      <c r="E874" s="176"/>
      <c r="F874" s="176"/>
      <c r="G874" s="190"/>
    </row>
    <row r="875" spans="3:7" ht="15.75" customHeight="1">
      <c r="C875" s="4"/>
      <c r="E875" s="176"/>
      <c r="F875" s="176"/>
      <c r="G875" s="190"/>
    </row>
    <row r="876" spans="3:7" ht="15.75" customHeight="1">
      <c r="C876" s="4"/>
      <c r="E876" s="176"/>
      <c r="F876" s="176"/>
      <c r="G876" s="190"/>
    </row>
    <row r="877" spans="3:7" ht="15.75" customHeight="1">
      <c r="C877" s="4"/>
      <c r="E877" s="176"/>
      <c r="F877" s="176"/>
      <c r="G877" s="190"/>
    </row>
    <row r="878" spans="3:7" ht="15.75" customHeight="1">
      <c r="C878" s="4"/>
      <c r="E878" s="176"/>
      <c r="F878" s="176"/>
      <c r="G878" s="190"/>
    </row>
    <row r="879" spans="3:7" ht="15.75" customHeight="1">
      <c r="C879" s="4"/>
      <c r="E879" s="176"/>
      <c r="F879" s="176"/>
      <c r="G879" s="190"/>
    </row>
    <row r="880" spans="3:7" ht="15.75" customHeight="1">
      <c r="C880" s="4"/>
      <c r="E880" s="176"/>
      <c r="F880" s="176"/>
      <c r="G880" s="190"/>
    </row>
    <row r="881" spans="3:7" ht="15.75" customHeight="1">
      <c r="C881" s="4"/>
      <c r="E881" s="176"/>
      <c r="F881" s="176"/>
      <c r="G881" s="190"/>
    </row>
    <row r="882" spans="3:7" ht="15.75" customHeight="1">
      <c r="C882" s="4"/>
      <c r="E882" s="176"/>
      <c r="F882" s="176"/>
      <c r="G882" s="190"/>
    </row>
    <row r="883" spans="3:7" ht="15.75" customHeight="1">
      <c r="C883" s="4"/>
      <c r="E883" s="176"/>
      <c r="F883" s="176"/>
      <c r="G883" s="190"/>
    </row>
    <row r="884" spans="3:7" ht="15.75" customHeight="1">
      <c r="C884" s="4"/>
      <c r="E884" s="176"/>
      <c r="F884" s="176"/>
      <c r="G884" s="190"/>
    </row>
    <row r="885" spans="3:7" ht="15.75" customHeight="1">
      <c r="C885" s="4"/>
      <c r="E885" s="176"/>
      <c r="F885" s="176"/>
      <c r="G885" s="190"/>
    </row>
    <row r="886" spans="3:7" ht="15.75" customHeight="1">
      <c r="C886" s="4"/>
      <c r="E886" s="176"/>
      <c r="F886" s="176"/>
      <c r="G886" s="190"/>
    </row>
    <row r="887" spans="3:7" ht="15.75" customHeight="1">
      <c r="C887" s="4"/>
      <c r="E887" s="176"/>
      <c r="F887" s="176"/>
      <c r="G887" s="190"/>
    </row>
    <row r="888" spans="3:7" ht="15.75" customHeight="1">
      <c r="C888" s="4"/>
      <c r="E888" s="176"/>
      <c r="F888" s="176"/>
      <c r="G888" s="190"/>
    </row>
    <row r="889" spans="3:7" ht="15.75" customHeight="1">
      <c r="C889" s="4"/>
      <c r="E889" s="176"/>
      <c r="F889" s="176"/>
      <c r="G889" s="190"/>
    </row>
    <row r="890" spans="3:7" ht="15.75" customHeight="1">
      <c r="C890" s="4"/>
      <c r="E890" s="176"/>
      <c r="F890" s="176"/>
      <c r="G890" s="190"/>
    </row>
    <row r="891" spans="3:7" ht="15.75" customHeight="1">
      <c r="C891" s="4"/>
      <c r="E891" s="176"/>
      <c r="F891" s="176"/>
      <c r="G891" s="190"/>
    </row>
    <row r="892" spans="3:7" ht="15.75" customHeight="1">
      <c r="C892" s="4"/>
      <c r="E892" s="176"/>
      <c r="F892" s="176"/>
      <c r="G892" s="190"/>
    </row>
    <row r="893" spans="3:7" ht="15.75" customHeight="1">
      <c r="C893" s="4"/>
      <c r="E893" s="176"/>
      <c r="F893" s="176"/>
      <c r="G893" s="190"/>
    </row>
    <row r="894" spans="3:7" ht="15.75" customHeight="1">
      <c r="C894" s="4"/>
      <c r="E894" s="176"/>
      <c r="F894" s="176"/>
      <c r="G894" s="190"/>
    </row>
    <row r="895" spans="3:7" ht="15.75" customHeight="1">
      <c r="C895" s="4"/>
      <c r="E895" s="176"/>
      <c r="F895" s="176"/>
      <c r="G895" s="190"/>
    </row>
    <row r="896" spans="3:7" ht="15.75" customHeight="1">
      <c r="C896" s="4"/>
      <c r="E896" s="176"/>
      <c r="F896" s="176"/>
      <c r="G896" s="190"/>
    </row>
    <row r="897" spans="3:7" ht="15.75" customHeight="1">
      <c r="C897" s="4"/>
      <c r="E897" s="176"/>
      <c r="F897" s="176"/>
      <c r="G897" s="190"/>
    </row>
    <row r="898" spans="3:7" ht="15.75" customHeight="1">
      <c r="C898" s="4"/>
      <c r="E898" s="176"/>
      <c r="F898" s="176"/>
      <c r="G898" s="190"/>
    </row>
    <row r="899" spans="3:7" ht="15.75" customHeight="1">
      <c r="C899" s="4"/>
      <c r="E899" s="176"/>
      <c r="F899" s="176"/>
      <c r="G899" s="190"/>
    </row>
    <row r="900" spans="3:7" ht="15.75" customHeight="1">
      <c r="C900" s="4"/>
      <c r="E900" s="176"/>
      <c r="F900" s="176"/>
      <c r="G900" s="190"/>
    </row>
    <row r="901" spans="3:7" ht="15.75" customHeight="1">
      <c r="C901" s="4"/>
      <c r="E901" s="176"/>
      <c r="F901" s="176"/>
      <c r="G901" s="190"/>
    </row>
    <row r="902" spans="3:7" ht="15.75" customHeight="1">
      <c r="C902" s="4"/>
      <c r="E902" s="176"/>
      <c r="F902" s="176"/>
      <c r="G902" s="190"/>
    </row>
    <row r="903" spans="3:7" ht="15.75" customHeight="1">
      <c r="C903" s="4"/>
      <c r="E903" s="176"/>
      <c r="F903" s="176"/>
      <c r="G903" s="190"/>
    </row>
    <row r="904" spans="3:7" ht="15.75" customHeight="1">
      <c r="C904" s="4"/>
      <c r="E904" s="176"/>
      <c r="F904" s="176"/>
      <c r="G904" s="190"/>
    </row>
    <row r="905" spans="3:7" ht="15.75" customHeight="1">
      <c r="C905" s="4"/>
      <c r="E905" s="176"/>
      <c r="F905" s="176"/>
      <c r="G905" s="190"/>
    </row>
    <row r="906" spans="3:7" ht="15.75" customHeight="1">
      <c r="C906" s="4"/>
      <c r="E906" s="176"/>
      <c r="F906" s="176"/>
      <c r="G906" s="190"/>
    </row>
    <row r="907" spans="3:7" ht="15.75" customHeight="1">
      <c r="C907" s="4"/>
      <c r="E907" s="176"/>
      <c r="F907" s="176"/>
      <c r="G907" s="190"/>
    </row>
    <row r="908" spans="3:7" ht="15.75" customHeight="1">
      <c r="C908" s="4"/>
      <c r="E908" s="176"/>
      <c r="F908" s="176"/>
      <c r="G908" s="190"/>
    </row>
    <row r="909" spans="3:7" ht="15.75" customHeight="1">
      <c r="C909" s="4"/>
      <c r="E909" s="176"/>
      <c r="F909" s="176"/>
      <c r="G909" s="190"/>
    </row>
    <row r="910" spans="3:7" ht="15.75" customHeight="1">
      <c r="C910" s="4"/>
      <c r="E910" s="176"/>
      <c r="F910" s="176"/>
      <c r="G910" s="190"/>
    </row>
    <row r="911" spans="3:7" ht="15.75" customHeight="1">
      <c r="C911" s="4"/>
      <c r="E911" s="176"/>
      <c r="F911" s="176"/>
      <c r="G911" s="190"/>
    </row>
    <row r="912" spans="3:7" ht="15.75" customHeight="1">
      <c r="C912" s="4"/>
      <c r="E912" s="176"/>
      <c r="F912" s="176"/>
      <c r="G912" s="190"/>
    </row>
    <row r="913" spans="3:7" ht="15.75" customHeight="1">
      <c r="C913" s="4"/>
      <c r="E913" s="176"/>
      <c r="F913" s="176"/>
      <c r="G913" s="190"/>
    </row>
    <row r="914" spans="3:7" ht="15.75" customHeight="1">
      <c r="C914" s="4"/>
      <c r="E914" s="176"/>
      <c r="F914" s="176"/>
      <c r="G914" s="190"/>
    </row>
    <row r="915" spans="3:7" ht="15.75" customHeight="1">
      <c r="C915" s="4"/>
      <c r="E915" s="176"/>
      <c r="F915" s="176"/>
      <c r="G915" s="190"/>
    </row>
    <row r="916" spans="3:7" ht="15.75" customHeight="1">
      <c r="C916" s="4"/>
      <c r="E916" s="176"/>
      <c r="F916" s="176"/>
      <c r="G916" s="190"/>
    </row>
    <row r="917" spans="3:7" ht="15.75" customHeight="1">
      <c r="C917" s="4"/>
      <c r="E917" s="176"/>
      <c r="F917" s="176"/>
      <c r="G917" s="190"/>
    </row>
    <row r="918" spans="3:7" ht="15.75" customHeight="1">
      <c r="C918" s="4"/>
      <c r="E918" s="176"/>
      <c r="F918" s="176"/>
      <c r="G918" s="190"/>
    </row>
    <row r="919" spans="3:7" ht="15.75" customHeight="1">
      <c r="C919" s="4"/>
      <c r="E919" s="176"/>
      <c r="F919" s="176"/>
      <c r="G919" s="190"/>
    </row>
    <row r="920" spans="3:7" ht="15.75" customHeight="1">
      <c r="C920" s="4"/>
      <c r="E920" s="176"/>
      <c r="F920" s="176"/>
      <c r="G920" s="190"/>
    </row>
    <row r="921" spans="3:7" ht="15.75" customHeight="1">
      <c r="C921" s="4"/>
      <c r="E921" s="176"/>
      <c r="F921" s="176"/>
      <c r="G921" s="190"/>
    </row>
    <row r="922" spans="3:7" ht="15.75" customHeight="1">
      <c r="C922" s="4"/>
      <c r="E922" s="176"/>
      <c r="F922" s="176"/>
      <c r="G922" s="190"/>
    </row>
    <row r="923" spans="3:7" ht="15.75" customHeight="1">
      <c r="C923" s="4"/>
      <c r="E923" s="176"/>
      <c r="F923" s="176"/>
      <c r="G923" s="190"/>
    </row>
    <row r="924" spans="3:7" ht="15.75" customHeight="1">
      <c r="C924" s="4"/>
      <c r="E924" s="176"/>
      <c r="F924" s="176"/>
      <c r="G924" s="190"/>
    </row>
    <row r="925" spans="3:7" ht="15.75" customHeight="1">
      <c r="C925" s="4"/>
      <c r="E925" s="176"/>
      <c r="F925" s="176"/>
      <c r="G925" s="190"/>
    </row>
    <row r="926" spans="3:7" ht="15.75" customHeight="1">
      <c r="C926" s="4"/>
      <c r="E926" s="176"/>
      <c r="F926" s="176"/>
      <c r="G926" s="190"/>
    </row>
    <row r="927" spans="3:7" ht="15.75" customHeight="1">
      <c r="C927" s="4"/>
      <c r="E927" s="176"/>
      <c r="F927" s="176"/>
      <c r="G927" s="190"/>
    </row>
    <row r="928" spans="3:7" ht="15.75" customHeight="1">
      <c r="C928" s="4"/>
      <c r="E928" s="176"/>
      <c r="F928" s="176"/>
      <c r="G928" s="190"/>
    </row>
    <row r="929" spans="3:7" ht="15.75" customHeight="1">
      <c r="C929" s="4"/>
      <c r="E929" s="176"/>
      <c r="F929" s="176"/>
      <c r="G929" s="190"/>
    </row>
    <row r="930" spans="3:7" ht="15.75" customHeight="1">
      <c r="C930" s="4"/>
      <c r="E930" s="176"/>
      <c r="F930" s="176"/>
      <c r="G930" s="190"/>
    </row>
    <row r="931" spans="3:7" ht="15.75" customHeight="1">
      <c r="C931" s="4"/>
      <c r="E931" s="176"/>
      <c r="F931" s="176"/>
      <c r="G931" s="190"/>
    </row>
    <row r="932" spans="3:7" ht="15.75" customHeight="1">
      <c r="C932" s="4"/>
      <c r="E932" s="176"/>
      <c r="F932" s="176"/>
      <c r="G932" s="190"/>
    </row>
    <row r="933" spans="3:7" ht="15.75" customHeight="1">
      <c r="C933" s="4"/>
      <c r="E933" s="176"/>
      <c r="F933" s="176"/>
      <c r="G933" s="190"/>
    </row>
    <row r="934" spans="3:7" ht="15.75" customHeight="1">
      <c r="C934" s="4"/>
      <c r="E934" s="176"/>
      <c r="F934" s="176"/>
      <c r="G934" s="190"/>
    </row>
    <row r="935" spans="3:7" ht="15.75" customHeight="1">
      <c r="C935" s="4"/>
      <c r="E935" s="176"/>
      <c r="F935" s="176"/>
      <c r="G935" s="190"/>
    </row>
    <row r="936" spans="3:7" ht="15.75" customHeight="1">
      <c r="C936" s="4"/>
      <c r="E936" s="176"/>
      <c r="F936" s="176"/>
      <c r="G936" s="190"/>
    </row>
    <row r="937" spans="3:7" ht="15.75" customHeight="1">
      <c r="C937" s="4"/>
      <c r="E937" s="176"/>
      <c r="F937" s="176"/>
      <c r="G937" s="190"/>
    </row>
    <row r="938" spans="3:7" ht="15.75" customHeight="1">
      <c r="C938" s="4"/>
      <c r="E938" s="176"/>
      <c r="F938" s="176"/>
      <c r="G938" s="190"/>
    </row>
    <row r="939" spans="3:7" ht="15.75" customHeight="1">
      <c r="C939" s="4"/>
      <c r="E939" s="176"/>
      <c r="F939" s="176"/>
      <c r="G939" s="190"/>
    </row>
    <row r="940" spans="3:7" ht="15.75" customHeight="1">
      <c r="C940" s="4"/>
      <c r="E940" s="176"/>
      <c r="F940" s="176"/>
      <c r="G940" s="190"/>
    </row>
    <row r="941" spans="3:7" ht="15.75" customHeight="1">
      <c r="C941" s="4"/>
      <c r="E941" s="176"/>
      <c r="F941" s="176"/>
      <c r="G941" s="190"/>
    </row>
    <row r="942" spans="3:7" ht="15.75" customHeight="1">
      <c r="C942" s="4"/>
      <c r="E942" s="176"/>
      <c r="F942" s="176"/>
      <c r="G942" s="190"/>
    </row>
    <row r="943" spans="3:7" ht="15.75" customHeight="1">
      <c r="C943" s="4"/>
      <c r="E943" s="176"/>
      <c r="F943" s="176"/>
      <c r="G943" s="190"/>
    </row>
    <row r="944" spans="3:7" ht="15.75" customHeight="1">
      <c r="C944" s="4"/>
      <c r="E944" s="176"/>
      <c r="F944" s="176"/>
      <c r="G944" s="190"/>
    </row>
    <row r="945" spans="3:7" ht="15.75" customHeight="1">
      <c r="C945" s="4"/>
      <c r="E945" s="176"/>
      <c r="F945" s="176"/>
      <c r="G945" s="190"/>
    </row>
    <row r="946" spans="3:7" ht="15.75" customHeight="1">
      <c r="C946" s="4"/>
      <c r="E946" s="176"/>
      <c r="F946" s="176"/>
      <c r="G946" s="190"/>
    </row>
    <row r="947" spans="3:7" ht="15.75" customHeight="1">
      <c r="C947" s="4"/>
      <c r="E947" s="176"/>
      <c r="F947" s="176"/>
      <c r="G947" s="190"/>
    </row>
    <row r="948" spans="3:7" ht="15.75" customHeight="1">
      <c r="C948" s="4"/>
      <c r="E948" s="176"/>
      <c r="F948" s="176"/>
      <c r="G948" s="190"/>
    </row>
    <row r="949" spans="3:7" ht="15.75" customHeight="1">
      <c r="C949" s="4"/>
      <c r="E949" s="176"/>
      <c r="F949" s="176"/>
      <c r="G949" s="190"/>
    </row>
    <row r="950" spans="3:7" ht="15.75" customHeight="1">
      <c r="C950" s="4"/>
      <c r="E950" s="176"/>
      <c r="F950" s="176"/>
      <c r="G950" s="190"/>
    </row>
    <row r="951" spans="3:7" ht="15.75" customHeight="1">
      <c r="C951" s="4"/>
      <c r="E951" s="176"/>
      <c r="F951" s="176"/>
      <c r="G951" s="190"/>
    </row>
    <row r="952" spans="3:7" ht="15.75" customHeight="1">
      <c r="C952" s="4"/>
      <c r="E952" s="176"/>
      <c r="F952" s="176"/>
      <c r="G952" s="190"/>
    </row>
    <row r="953" spans="3:7" ht="15.75" customHeight="1">
      <c r="C953" s="4"/>
      <c r="E953" s="176"/>
      <c r="F953" s="176"/>
      <c r="G953" s="190"/>
    </row>
    <row r="954" spans="3:7" ht="15.75" customHeight="1">
      <c r="C954" s="4"/>
      <c r="E954" s="176"/>
      <c r="F954" s="176"/>
      <c r="G954" s="190"/>
    </row>
    <row r="955" spans="3:7" ht="15.75" customHeight="1">
      <c r="C955" s="4"/>
      <c r="E955" s="176"/>
      <c r="F955" s="176"/>
      <c r="G955" s="190"/>
    </row>
    <row r="956" spans="3:7" ht="15.75" customHeight="1">
      <c r="C956" s="4"/>
      <c r="E956" s="176"/>
      <c r="F956" s="176"/>
      <c r="G956" s="190"/>
    </row>
    <row r="957" spans="3:7" ht="15.75" customHeight="1">
      <c r="C957" s="4"/>
      <c r="E957" s="176"/>
      <c r="F957" s="176"/>
      <c r="G957" s="190"/>
    </row>
    <row r="958" spans="3:7" ht="15.75" customHeight="1">
      <c r="C958" s="4"/>
      <c r="E958" s="176"/>
      <c r="F958" s="176"/>
      <c r="G958" s="190"/>
    </row>
    <row r="959" spans="3:7" ht="15.75" customHeight="1">
      <c r="C959" s="4"/>
      <c r="E959" s="176"/>
      <c r="F959" s="176"/>
      <c r="G959" s="190"/>
    </row>
    <row r="960" spans="3:7" ht="15.75" customHeight="1">
      <c r="C960" s="4"/>
      <c r="E960" s="176"/>
      <c r="F960" s="176"/>
      <c r="G960" s="190"/>
    </row>
    <row r="961" spans="3:7" ht="15.75" customHeight="1">
      <c r="C961" s="4"/>
      <c r="E961" s="176"/>
      <c r="F961" s="176"/>
      <c r="G961" s="190"/>
    </row>
    <row r="962" spans="3:7" ht="15.75" customHeight="1">
      <c r="C962" s="4"/>
      <c r="E962" s="176"/>
      <c r="F962" s="176"/>
      <c r="G962" s="190"/>
    </row>
    <row r="963" spans="3:7" ht="15.75" customHeight="1">
      <c r="C963" s="4"/>
      <c r="E963" s="176"/>
      <c r="F963" s="176"/>
      <c r="G963" s="190"/>
    </row>
    <row r="964" spans="3:7" ht="15.75" customHeight="1">
      <c r="C964" s="4"/>
      <c r="E964" s="176"/>
      <c r="F964" s="176"/>
      <c r="G964" s="190"/>
    </row>
    <row r="965" spans="3:7" ht="15.75" customHeight="1">
      <c r="C965" s="4"/>
      <c r="E965" s="176"/>
      <c r="F965" s="176"/>
      <c r="G965" s="190"/>
    </row>
    <row r="966" spans="3:7" ht="15.75" customHeight="1">
      <c r="C966" s="4"/>
      <c r="E966" s="176"/>
      <c r="F966" s="176"/>
      <c r="G966" s="190"/>
    </row>
    <row r="967" spans="3:7" ht="15.75" customHeight="1">
      <c r="C967" s="4"/>
      <c r="E967" s="176"/>
      <c r="F967" s="176"/>
      <c r="G967" s="190"/>
    </row>
    <row r="968" spans="3:7" ht="15.75" customHeight="1">
      <c r="C968" s="4"/>
      <c r="E968" s="176"/>
      <c r="F968" s="176"/>
      <c r="G968" s="190"/>
    </row>
    <row r="969" spans="3:7" ht="15.75" customHeight="1">
      <c r="C969" s="4"/>
      <c r="E969" s="176"/>
      <c r="F969" s="176"/>
      <c r="G969" s="190"/>
    </row>
    <row r="970" spans="3:7" ht="15.75" customHeight="1">
      <c r="C970" s="4"/>
      <c r="E970" s="176"/>
      <c r="F970" s="176"/>
      <c r="G970" s="190"/>
    </row>
    <row r="971" spans="3:7" ht="15.75" customHeight="1">
      <c r="C971" s="4"/>
      <c r="E971" s="176"/>
      <c r="F971" s="176"/>
      <c r="G971" s="190"/>
    </row>
    <row r="972" spans="3:7" ht="15.75" customHeight="1">
      <c r="C972" s="4"/>
      <c r="E972" s="176"/>
      <c r="F972" s="176"/>
      <c r="G972" s="190"/>
    </row>
    <row r="973" spans="3:7" ht="15.75" customHeight="1">
      <c r="C973" s="4"/>
      <c r="E973" s="176"/>
      <c r="F973" s="176"/>
      <c r="G973" s="190"/>
    </row>
    <row r="974" spans="3:7" ht="15.75" customHeight="1">
      <c r="C974" s="4"/>
      <c r="E974" s="176"/>
      <c r="F974" s="176"/>
      <c r="G974" s="190"/>
    </row>
    <row r="975" spans="3:7" ht="15.75" customHeight="1">
      <c r="C975" s="4"/>
      <c r="E975" s="176"/>
      <c r="F975" s="176"/>
      <c r="G975" s="190"/>
    </row>
    <row r="976" spans="3:7" ht="15.75" customHeight="1">
      <c r="C976" s="4"/>
      <c r="E976" s="176"/>
      <c r="F976" s="176"/>
      <c r="G976" s="190"/>
    </row>
    <row r="977" spans="3:7" ht="15.75" customHeight="1">
      <c r="C977" s="4"/>
      <c r="E977" s="176"/>
      <c r="F977" s="176"/>
      <c r="G977" s="190"/>
    </row>
    <row r="978" spans="3:7" ht="15.75" customHeight="1">
      <c r="C978" s="4"/>
      <c r="E978" s="176"/>
      <c r="F978" s="176"/>
      <c r="G978" s="190"/>
    </row>
    <row r="979" spans="3:7" ht="15.75" customHeight="1">
      <c r="C979" s="4"/>
      <c r="E979" s="176"/>
      <c r="F979" s="176"/>
      <c r="G979" s="190"/>
    </row>
    <row r="980" spans="3:7" ht="15.75" customHeight="1">
      <c r="C980" s="4"/>
      <c r="E980" s="176"/>
      <c r="F980" s="176"/>
      <c r="G980" s="190"/>
    </row>
    <row r="981" spans="3:7" ht="15.75" customHeight="1">
      <c r="C981" s="4"/>
      <c r="E981" s="176"/>
      <c r="F981" s="176"/>
      <c r="G981" s="190"/>
    </row>
    <row r="982" spans="3:7" ht="15.75" customHeight="1">
      <c r="C982" s="4"/>
      <c r="E982" s="176"/>
      <c r="F982" s="176"/>
      <c r="G982" s="190"/>
    </row>
    <row r="983" spans="3:7" ht="15.75" customHeight="1">
      <c r="C983" s="4"/>
      <c r="E983" s="176"/>
      <c r="F983" s="176"/>
      <c r="G983" s="190"/>
    </row>
    <row r="984" spans="3:7" ht="15.75" customHeight="1">
      <c r="C984" s="4"/>
      <c r="E984" s="176"/>
      <c r="F984" s="176"/>
      <c r="G984" s="190"/>
    </row>
    <row r="985" spans="3:7" ht="15.75" customHeight="1">
      <c r="C985" s="4"/>
      <c r="E985" s="176"/>
      <c r="F985" s="176"/>
      <c r="G985" s="190"/>
    </row>
    <row r="986" spans="3:7" ht="15.75" customHeight="1">
      <c r="C986" s="4"/>
      <c r="E986" s="176"/>
      <c r="F986" s="176"/>
      <c r="G986" s="190"/>
    </row>
    <row r="987" spans="3:7" ht="15.75" customHeight="1">
      <c r="C987" s="4"/>
      <c r="E987" s="176"/>
      <c r="F987" s="176"/>
      <c r="G987" s="190"/>
    </row>
    <row r="988" spans="3:7" ht="15.75" customHeight="1">
      <c r="C988" s="4"/>
      <c r="E988" s="176"/>
      <c r="F988" s="176"/>
      <c r="G988" s="190"/>
    </row>
    <row r="989" spans="3:7" ht="15.75" customHeight="1">
      <c r="C989" s="4"/>
      <c r="E989" s="176"/>
      <c r="F989" s="176"/>
      <c r="G989" s="190"/>
    </row>
    <row r="990" spans="3:7" ht="15.75" customHeight="1">
      <c r="C990" s="4"/>
      <c r="E990" s="176"/>
      <c r="F990" s="176"/>
      <c r="G990" s="190"/>
    </row>
    <row r="991" spans="3:7" ht="15.75" customHeight="1">
      <c r="C991" s="4"/>
      <c r="E991" s="176"/>
      <c r="F991" s="176"/>
      <c r="G991" s="190"/>
    </row>
    <row r="992" spans="3:7" ht="15.75" customHeight="1">
      <c r="C992" s="4"/>
      <c r="E992" s="176"/>
      <c r="F992" s="176"/>
      <c r="G992" s="190"/>
    </row>
    <row r="993" spans="3:7" ht="15.75" customHeight="1">
      <c r="C993" s="4"/>
      <c r="E993" s="176"/>
      <c r="F993" s="176"/>
      <c r="G993" s="190"/>
    </row>
    <row r="994" spans="3:7" ht="15.75" customHeight="1">
      <c r="C994" s="4"/>
      <c r="E994" s="176"/>
      <c r="F994" s="176"/>
      <c r="G994" s="190"/>
    </row>
    <row r="995" spans="3:7" ht="15.75" customHeight="1">
      <c r="C995" s="4"/>
      <c r="E995" s="176"/>
      <c r="F995" s="176"/>
      <c r="G995" s="190"/>
    </row>
    <row r="996" spans="3:7" ht="15.75" customHeight="1">
      <c r="C996" s="4"/>
      <c r="E996" s="176"/>
      <c r="F996" s="176"/>
      <c r="G996" s="190"/>
    </row>
    <row r="997" spans="3:7" ht="15.75" customHeight="1">
      <c r="C997" s="4"/>
      <c r="E997" s="176"/>
      <c r="F997" s="176"/>
      <c r="G997" s="190"/>
    </row>
    <row r="998" spans="3:7" ht="15.75" customHeight="1">
      <c r="C998" s="4"/>
      <c r="E998" s="176"/>
      <c r="F998" s="176"/>
      <c r="G998" s="190"/>
    </row>
    <row r="999" spans="3:7" ht="15.75" customHeight="1">
      <c r="C999" s="4"/>
      <c r="E999" s="176"/>
      <c r="F999" s="176"/>
      <c r="G999" s="190"/>
    </row>
    <row r="1000" spans="3:7" ht="15.75" customHeight="1">
      <c r="C1000" s="4"/>
      <c r="E1000" s="176"/>
      <c r="F1000" s="176"/>
      <c r="G1000" s="190"/>
    </row>
  </sheetData>
  <autoFilter ref="A1:G1" xr:uid="{00000000-0009-0000-0000-000007000000}"/>
  <hyperlinks>
    <hyperlink ref="G5" r:id="rId1" xr:uid="{00000000-0004-0000-0700-000000000000}"/>
  </hyperlinks>
  <pageMargins left="0.7" right="0.7" top="0.75" bottom="0.75" header="0" footer="0"/>
  <pageSetup orientation="landscape"/>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000"/>
  <sheetViews>
    <sheetView workbookViewId="0"/>
  </sheetViews>
  <sheetFormatPr defaultColWidth="14.453125" defaultRowHeight="15" customHeight="1"/>
  <cols>
    <col min="1" max="1" width="3.453125" customWidth="1"/>
    <col min="2" max="2" width="20.453125" customWidth="1"/>
    <col min="3" max="3" width="12" customWidth="1"/>
    <col min="4" max="25" width="8.453125" customWidth="1"/>
  </cols>
  <sheetData>
    <row r="1" spans="1:25" ht="14.25" customHeight="1">
      <c r="A1" s="192" t="s">
        <v>218</v>
      </c>
      <c r="B1" s="193" t="s">
        <v>28</v>
      </c>
      <c r="C1" s="194" t="s">
        <v>259</v>
      </c>
      <c r="D1" s="90"/>
      <c r="E1" s="90"/>
      <c r="F1" s="4"/>
      <c r="G1" s="4"/>
      <c r="H1" s="4"/>
      <c r="I1" s="4"/>
      <c r="J1" s="4"/>
      <c r="K1" s="4"/>
      <c r="L1" s="4"/>
      <c r="M1" s="4"/>
      <c r="N1" s="4"/>
      <c r="O1" s="4"/>
      <c r="P1" s="4"/>
      <c r="Q1" s="4"/>
      <c r="R1" s="4"/>
      <c r="S1" s="4"/>
      <c r="T1" s="4"/>
      <c r="U1" s="4"/>
      <c r="V1" s="4"/>
      <c r="W1" s="4"/>
      <c r="X1" s="4"/>
      <c r="Y1" s="4"/>
    </row>
    <row r="2" spans="1:25" ht="14.25" customHeight="1">
      <c r="A2" s="195">
        <v>1</v>
      </c>
      <c r="B2" s="196" t="s">
        <v>76</v>
      </c>
      <c r="C2" s="197">
        <v>139.38</v>
      </c>
      <c r="D2" s="90"/>
      <c r="E2" s="90"/>
      <c r="F2" s="4"/>
      <c r="G2" s="4"/>
      <c r="H2" s="4"/>
      <c r="I2" s="4"/>
      <c r="J2" s="4"/>
      <c r="K2" s="4"/>
      <c r="L2" s="4"/>
      <c r="M2" s="4"/>
      <c r="N2" s="4"/>
      <c r="O2" s="4"/>
      <c r="P2" s="4"/>
      <c r="Q2" s="4"/>
      <c r="R2" s="4"/>
      <c r="S2" s="4"/>
      <c r="T2" s="4"/>
      <c r="U2" s="4"/>
      <c r="V2" s="4"/>
      <c r="W2" s="4"/>
      <c r="X2" s="4"/>
      <c r="Y2" s="4"/>
    </row>
    <row r="3" spans="1:25" ht="14.25" customHeight="1">
      <c r="A3" s="195">
        <v>2</v>
      </c>
      <c r="B3" s="196" t="s">
        <v>87</v>
      </c>
      <c r="C3" s="197">
        <v>141.35</v>
      </c>
      <c r="D3" s="1"/>
      <c r="E3" s="1"/>
      <c r="F3" s="4"/>
      <c r="G3" s="4"/>
      <c r="H3" s="4"/>
      <c r="I3" s="4"/>
      <c r="J3" s="4"/>
      <c r="K3" s="4"/>
      <c r="L3" s="4"/>
      <c r="M3" s="4"/>
      <c r="N3" s="4"/>
      <c r="O3" s="4"/>
      <c r="P3" s="4"/>
      <c r="Q3" s="4"/>
      <c r="R3" s="4"/>
      <c r="S3" s="4"/>
      <c r="T3" s="4"/>
      <c r="U3" s="4"/>
      <c r="V3" s="4"/>
      <c r="W3" s="4"/>
      <c r="X3" s="4"/>
      <c r="Y3" s="4"/>
    </row>
    <row r="4" spans="1:25" ht="14.25" customHeight="1">
      <c r="A4" s="195">
        <v>3</v>
      </c>
      <c r="B4" s="196" t="s">
        <v>103</v>
      </c>
      <c r="C4" s="197">
        <v>134.87</v>
      </c>
      <c r="D4" s="1"/>
      <c r="E4" s="1"/>
      <c r="F4" s="4"/>
      <c r="G4" s="4"/>
      <c r="H4" s="4"/>
      <c r="I4" s="4"/>
      <c r="J4" s="4"/>
      <c r="K4" s="4"/>
      <c r="L4" s="4"/>
      <c r="M4" s="4"/>
      <c r="N4" s="4"/>
      <c r="O4" s="4"/>
      <c r="P4" s="4"/>
      <c r="Q4" s="4"/>
      <c r="R4" s="4"/>
      <c r="S4" s="4"/>
      <c r="T4" s="4"/>
      <c r="U4" s="4"/>
      <c r="V4" s="4"/>
      <c r="W4" s="4"/>
      <c r="X4" s="4"/>
      <c r="Y4" s="4"/>
    </row>
    <row r="5" spans="1:25" ht="14.25" customHeight="1">
      <c r="A5" s="195">
        <v>4</v>
      </c>
      <c r="B5" s="196" t="s">
        <v>104</v>
      </c>
      <c r="C5" s="197">
        <v>140.9</v>
      </c>
      <c r="D5" s="1"/>
      <c r="E5" s="1"/>
      <c r="F5" s="4"/>
      <c r="G5" s="4"/>
      <c r="H5" s="4"/>
      <c r="I5" s="4"/>
      <c r="J5" s="4"/>
      <c r="K5" s="4"/>
      <c r="L5" s="4"/>
      <c r="M5" s="4"/>
      <c r="N5" s="4"/>
      <c r="O5" s="4"/>
      <c r="P5" s="4"/>
      <c r="Q5" s="4"/>
      <c r="R5" s="4"/>
      <c r="S5" s="4"/>
      <c r="T5" s="4"/>
      <c r="U5" s="4"/>
      <c r="V5" s="4"/>
      <c r="W5" s="4"/>
      <c r="X5" s="4"/>
      <c r="Y5" s="4"/>
    </row>
    <row r="6" spans="1:25" ht="14.25" customHeight="1">
      <c r="A6" s="195">
        <v>5</v>
      </c>
      <c r="B6" s="196" t="s">
        <v>105</v>
      </c>
      <c r="C6" s="197">
        <v>145.47999999999999</v>
      </c>
      <c r="D6" s="1"/>
      <c r="E6" s="1"/>
      <c r="F6" s="4"/>
      <c r="G6" s="4"/>
      <c r="H6" s="4"/>
      <c r="I6" s="4"/>
      <c r="J6" s="4"/>
      <c r="K6" s="4"/>
      <c r="L6" s="4"/>
      <c r="M6" s="4"/>
      <c r="N6" s="4"/>
      <c r="O6" s="4"/>
      <c r="P6" s="4"/>
      <c r="Q6" s="4"/>
      <c r="R6" s="4"/>
      <c r="S6" s="4"/>
      <c r="T6" s="4"/>
      <c r="U6" s="4"/>
      <c r="V6" s="4"/>
      <c r="W6" s="4"/>
      <c r="X6" s="4"/>
      <c r="Y6" s="4"/>
    </row>
    <row r="7" spans="1:25" ht="14.25" customHeight="1">
      <c r="A7" s="195">
        <v>6</v>
      </c>
      <c r="B7" s="196" t="s">
        <v>106</v>
      </c>
      <c r="C7" s="197">
        <v>138.58000000000001</v>
      </c>
      <c r="D7" s="1"/>
      <c r="E7" s="1"/>
      <c r="F7" s="4"/>
      <c r="G7" s="4"/>
      <c r="H7" s="4"/>
      <c r="I7" s="4"/>
      <c r="J7" s="4"/>
      <c r="K7" s="4"/>
      <c r="L7" s="4"/>
      <c r="M7" s="4"/>
      <c r="N7" s="4"/>
      <c r="O7" s="4"/>
      <c r="P7" s="4"/>
      <c r="Q7" s="4"/>
      <c r="R7" s="4"/>
      <c r="S7" s="4"/>
      <c r="T7" s="4"/>
      <c r="U7" s="4"/>
      <c r="V7" s="4"/>
      <c r="W7" s="4"/>
      <c r="X7" s="4"/>
      <c r="Y7" s="4"/>
    </row>
    <row r="8" spans="1:25" ht="14.25" customHeight="1">
      <c r="A8" s="195">
        <v>7</v>
      </c>
      <c r="B8" s="196" t="s">
        <v>107</v>
      </c>
      <c r="C8" s="197">
        <v>135.91999999999999</v>
      </c>
      <c r="D8" s="1"/>
      <c r="E8" s="1"/>
      <c r="F8" s="4"/>
      <c r="G8" s="4"/>
      <c r="H8" s="4"/>
      <c r="I8" s="4"/>
      <c r="J8" s="4"/>
      <c r="K8" s="4"/>
      <c r="L8" s="4"/>
      <c r="M8" s="4"/>
      <c r="N8" s="4"/>
      <c r="O8" s="4"/>
      <c r="P8" s="4"/>
      <c r="Q8" s="4"/>
      <c r="R8" s="4"/>
      <c r="S8" s="4"/>
      <c r="T8" s="4"/>
      <c r="U8" s="4"/>
      <c r="V8" s="4"/>
      <c r="W8" s="4"/>
      <c r="X8" s="4"/>
      <c r="Y8" s="4"/>
    </row>
    <row r="9" spans="1:25" ht="14.25" customHeight="1">
      <c r="A9" s="195">
        <v>8</v>
      </c>
      <c r="B9" s="196" t="s">
        <v>108</v>
      </c>
      <c r="C9" s="197">
        <v>136.06</v>
      </c>
      <c r="D9" s="1"/>
      <c r="E9" s="1"/>
      <c r="F9" s="4"/>
      <c r="G9" s="4"/>
      <c r="H9" s="4"/>
      <c r="I9" s="4"/>
      <c r="J9" s="4"/>
      <c r="K9" s="4"/>
      <c r="L9" s="4"/>
      <c r="M9" s="4"/>
      <c r="N9" s="4"/>
      <c r="O9" s="4"/>
      <c r="P9" s="4"/>
      <c r="Q9" s="4"/>
      <c r="R9" s="4"/>
      <c r="S9" s="4"/>
      <c r="T9" s="4"/>
      <c r="U9" s="4"/>
      <c r="V9" s="4"/>
      <c r="W9" s="4"/>
      <c r="X9" s="4"/>
      <c r="Y9" s="4"/>
    </row>
    <row r="10" spans="1:25" ht="14.25" customHeight="1">
      <c r="A10" s="195">
        <v>9</v>
      </c>
      <c r="B10" s="196" t="s">
        <v>109</v>
      </c>
      <c r="C10" s="197">
        <v>138.09153846153848</v>
      </c>
      <c r="D10" s="1"/>
      <c r="E10" s="1"/>
      <c r="F10" s="4"/>
      <c r="G10" s="4"/>
      <c r="H10" s="4"/>
      <c r="I10" s="4"/>
      <c r="J10" s="4"/>
      <c r="K10" s="4"/>
      <c r="L10" s="4"/>
      <c r="M10" s="4"/>
      <c r="N10" s="4"/>
      <c r="O10" s="4"/>
      <c r="P10" s="4"/>
      <c r="Q10" s="4"/>
      <c r="R10" s="4"/>
      <c r="S10" s="4"/>
      <c r="T10" s="4"/>
      <c r="U10" s="4"/>
      <c r="V10" s="4"/>
      <c r="W10" s="4"/>
      <c r="X10" s="4"/>
      <c r="Y10" s="4"/>
    </row>
    <row r="11" spans="1:25" ht="14.25" customHeight="1">
      <c r="A11" s="195">
        <v>10</v>
      </c>
      <c r="B11" s="196" t="s">
        <v>110</v>
      </c>
      <c r="C11" s="198"/>
      <c r="D11" s="1"/>
      <c r="E11" s="1"/>
      <c r="F11" s="4"/>
      <c r="G11" s="4"/>
      <c r="H11" s="4"/>
      <c r="I11" s="4"/>
      <c r="J11" s="4"/>
      <c r="K11" s="4"/>
      <c r="L11" s="4"/>
      <c r="M11" s="4"/>
      <c r="N11" s="4"/>
      <c r="O11" s="4"/>
      <c r="P11" s="4"/>
      <c r="Q11" s="4"/>
      <c r="R11" s="4"/>
      <c r="S11" s="4"/>
      <c r="T11" s="4"/>
      <c r="U11" s="4"/>
      <c r="V11" s="4"/>
      <c r="W11" s="4"/>
      <c r="X11" s="4"/>
      <c r="Y11" s="4"/>
    </row>
    <row r="12" spans="1:25" ht="14.25" customHeight="1">
      <c r="A12" s="195">
        <v>11</v>
      </c>
      <c r="B12" s="196" t="s">
        <v>125</v>
      </c>
      <c r="C12" s="197">
        <v>133.72</v>
      </c>
      <c r="D12" s="1"/>
      <c r="E12" s="1"/>
      <c r="F12" s="4"/>
      <c r="G12" s="4"/>
      <c r="H12" s="4"/>
      <c r="I12" s="4"/>
      <c r="J12" s="4"/>
      <c r="K12" s="4"/>
      <c r="L12" s="4"/>
      <c r="M12" s="4"/>
      <c r="N12" s="4"/>
      <c r="O12" s="4"/>
      <c r="P12" s="4"/>
      <c r="Q12" s="4"/>
      <c r="R12" s="4"/>
      <c r="S12" s="4"/>
      <c r="T12" s="4"/>
      <c r="U12" s="4"/>
      <c r="V12" s="4"/>
      <c r="W12" s="4"/>
      <c r="X12" s="4"/>
      <c r="Y12" s="4"/>
    </row>
    <row r="13" spans="1:25" ht="14.25" customHeight="1">
      <c r="A13" s="195">
        <v>12</v>
      </c>
      <c r="B13" s="196" t="s">
        <v>152</v>
      </c>
      <c r="C13" s="197">
        <v>139.97999999999999</v>
      </c>
      <c r="D13" s="1"/>
      <c r="E13" s="1"/>
      <c r="F13" s="4"/>
      <c r="G13" s="4"/>
      <c r="H13" s="4"/>
      <c r="I13" s="4"/>
      <c r="J13" s="4"/>
      <c r="K13" s="4"/>
      <c r="L13" s="4"/>
      <c r="M13" s="4"/>
      <c r="N13" s="4"/>
      <c r="O13" s="4"/>
      <c r="P13" s="4"/>
      <c r="Q13" s="4"/>
      <c r="R13" s="4"/>
      <c r="S13" s="4"/>
      <c r="T13" s="4"/>
      <c r="U13" s="4"/>
      <c r="V13" s="4"/>
      <c r="W13" s="4"/>
      <c r="X13" s="4"/>
      <c r="Y13" s="4"/>
    </row>
    <row r="14" spans="1:25" ht="14.25" customHeight="1">
      <c r="A14" s="195">
        <v>13</v>
      </c>
      <c r="B14" s="196" t="s">
        <v>181</v>
      </c>
      <c r="C14" s="197">
        <v>135.63999999999999</v>
      </c>
      <c r="D14" s="1"/>
      <c r="E14" s="1"/>
      <c r="F14" s="4"/>
      <c r="G14" s="4"/>
      <c r="H14" s="4"/>
      <c r="I14" s="4"/>
      <c r="J14" s="4"/>
      <c r="K14" s="4"/>
      <c r="L14" s="4"/>
      <c r="M14" s="4"/>
      <c r="N14" s="4"/>
      <c r="O14" s="4"/>
      <c r="P14" s="4"/>
      <c r="Q14" s="4"/>
      <c r="R14" s="4"/>
      <c r="S14" s="4"/>
      <c r="T14" s="4"/>
      <c r="U14" s="4"/>
      <c r="V14" s="4"/>
      <c r="W14" s="4"/>
      <c r="X14" s="4"/>
      <c r="Y14" s="4"/>
    </row>
    <row r="15" spans="1:25" ht="14.25" customHeight="1">
      <c r="A15" s="195">
        <v>14</v>
      </c>
      <c r="B15" s="196" t="s">
        <v>206</v>
      </c>
      <c r="C15" s="197">
        <v>137.44</v>
      </c>
      <c r="D15" s="1"/>
      <c r="E15" s="1"/>
      <c r="F15" s="4"/>
      <c r="G15" s="4"/>
      <c r="H15" s="4"/>
      <c r="I15" s="4"/>
      <c r="J15" s="4"/>
      <c r="K15" s="4"/>
      <c r="L15" s="4"/>
      <c r="M15" s="4"/>
      <c r="N15" s="4"/>
      <c r="O15" s="4"/>
      <c r="P15" s="4"/>
      <c r="Q15" s="4"/>
      <c r="R15" s="4"/>
      <c r="S15" s="4"/>
      <c r="T15" s="4"/>
      <c r="U15" s="4"/>
      <c r="V15" s="4"/>
      <c r="W15" s="4"/>
      <c r="X15" s="4"/>
      <c r="Y15" s="4"/>
    </row>
    <row r="16" spans="1:25" ht="14.25" customHeight="1">
      <c r="A16" s="195">
        <v>15</v>
      </c>
      <c r="B16" s="196" t="s">
        <v>207</v>
      </c>
      <c r="C16" s="198"/>
      <c r="D16" s="109"/>
      <c r="E16" s="109"/>
      <c r="F16" s="4"/>
      <c r="G16" s="4"/>
      <c r="H16" s="4"/>
      <c r="I16" s="4"/>
      <c r="J16" s="4"/>
      <c r="K16" s="4"/>
      <c r="L16" s="4"/>
      <c r="M16" s="4"/>
      <c r="N16" s="4"/>
      <c r="O16" s="4"/>
      <c r="P16" s="4"/>
      <c r="Q16" s="4"/>
      <c r="R16" s="4"/>
      <c r="S16" s="4"/>
      <c r="T16" s="4"/>
      <c r="U16" s="4"/>
      <c r="V16" s="4"/>
      <c r="W16" s="4"/>
      <c r="X16" s="4"/>
      <c r="Y16" s="4"/>
    </row>
    <row r="17" spans="1:25" ht="14.25" customHeight="1">
      <c r="A17" s="195">
        <v>16</v>
      </c>
      <c r="B17" s="196" t="s">
        <v>208</v>
      </c>
      <c r="C17" s="198"/>
      <c r="D17" s="99"/>
      <c r="E17" s="99"/>
      <c r="F17" s="4"/>
      <c r="G17" s="4"/>
      <c r="H17" s="4"/>
      <c r="I17" s="4"/>
      <c r="J17" s="4"/>
      <c r="K17" s="4"/>
      <c r="L17" s="4"/>
      <c r="M17" s="4"/>
      <c r="N17" s="4"/>
      <c r="O17" s="4"/>
      <c r="P17" s="4"/>
      <c r="Q17" s="4"/>
      <c r="R17" s="4"/>
      <c r="S17" s="4"/>
      <c r="T17" s="4"/>
      <c r="U17" s="4"/>
      <c r="V17" s="4"/>
      <c r="W17" s="4"/>
      <c r="X17" s="4"/>
      <c r="Y17" s="4"/>
    </row>
    <row r="18" spans="1:25" ht="14.25" customHeight="1">
      <c r="A18" s="195">
        <v>17</v>
      </c>
      <c r="B18" s="196" t="s">
        <v>209</v>
      </c>
      <c r="C18" s="197">
        <v>135.87</v>
      </c>
      <c r="D18" s="74"/>
      <c r="E18" s="74"/>
      <c r="F18" s="4"/>
      <c r="G18" s="4"/>
      <c r="H18" s="4"/>
      <c r="I18" s="4"/>
      <c r="J18" s="4"/>
      <c r="K18" s="4"/>
      <c r="L18" s="4"/>
      <c r="M18" s="4"/>
      <c r="N18" s="4"/>
      <c r="O18" s="4"/>
      <c r="P18" s="4"/>
      <c r="Q18" s="4"/>
      <c r="R18" s="4"/>
      <c r="S18" s="4"/>
      <c r="T18" s="4"/>
      <c r="U18" s="4"/>
      <c r="V18" s="4"/>
      <c r="W18" s="4"/>
      <c r="X18" s="4"/>
      <c r="Y18" s="4"/>
    </row>
    <row r="19" spans="1:25" ht="14.25" customHeight="1">
      <c r="A19" s="195">
        <v>18</v>
      </c>
      <c r="B19" s="196" t="s">
        <v>210</v>
      </c>
      <c r="C19" s="198"/>
      <c r="D19" s="4"/>
      <c r="E19" s="4" t="s">
        <v>260</v>
      </c>
      <c r="F19" s="4"/>
      <c r="G19" s="4"/>
      <c r="H19" s="4"/>
      <c r="I19" s="4"/>
      <c r="J19" s="4"/>
      <c r="K19" s="4"/>
      <c r="L19" s="4"/>
      <c r="M19" s="4"/>
      <c r="N19" s="4"/>
      <c r="O19" s="4"/>
      <c r="P19" s="4"/>
      <c r="Q19" s="4"/>
      <c r="R19" s="4"/>
      <c r="S19" s="4"/>
      <c r="T19" s="4"/>
      <c r="U19" s="4"/>
      <c r="V19" s="4"/>
      <c r="W19" s="4"/>
      <c r="X19" s="4"/>
      <c r="Y19" s="4"/>
    </row>
    <row r="20" spans="1:25" ht="14.25" customHeight="1">
      <c r="A20" s="195">
        <v>19</v>
      </c>
      <c r="B20" s="196" t="s">
        <v>211</v>
      </c>
      <c r="C20" s="198"/>
      <c r="D20" s="4"/>
      <c r="E20" s="4"/>
      <c r="F20" s="4"/>
      <c r="G20" s="4"/>
      <c r="H20" s="4"/>
      <c r="I20" s="4"/>
      <c r="J20" s="4"/>
      <c r="K20" s="4"/>
      <c r="L20" s="4"/>
      <c r="M20" s="4"/>
      <c r="N20" s="4"/>
      <c r="O20" s="4"/>
      <c r="P20" s="4"/>
      <c r="Q20" s="4"/>
      <c r="R20" s="4"/>
      <c r="S20" s="4"/>
      <c r="T20" s="4"/>
      <c r="U20" s="4"/>
      <c r="V20" s="4"/>
      <c r="W20" s="4"/>
      <c r="X20" s="4"/>
      <c r="Y20" s="4"/>
    </row>
    <row r="21" spans="1:25" ht="14.25" customHeight="1">
      <c r="A21" s="195">
        <v>20</v>
      </c>
      <c r="B21" s="196" t="s">
        <v>212</v>
      </c>
      <c r="C21" s="198"/>
      <c r="D21" s="4"/>
      <c r="E21" s="4"/>
      <c r="F21" s="4"/>
      <c r="G21" s="4"/>
      <c r="H21" s="4"/>
      <c r="I21" s="4"/>
      <c r="J21" s="4"/>
      <c r="K21" s="4"/>
      <c r="L21" s="4"/>
      <c r="M21" s="4"/>
      <c r="N21" s="4"/>
      <c r="O21" s="4"/>
      <c r="P21" s="4"/>
      <c r="Q21" s="4"/>
      <c r="R21" s="4"/>
      <c r="S21" s="4"/>
      <c r="T21" s="4"/>
      <c r="U21" s="4"/>
      <c r="V21" s="4"/>
      <c r="W21" s="4"/>
      <c r="X21" s="4"/>
      <c r="Y21" s="4"/>
    </row>
    <row r="22" spans="1:25" ht="14.25" customHeight="1">
      <c r="A22" s="195">
        <v>21</v>
      </c>
      <c r="B22" s="196" t="s">
        <v>213</v>
      </c>
      <c r="C22" s="198"/>
      <c r="D22" s="4"/>
      <c r="E22" s="4"/>
      <c r="F22" s="4"/>
      <c r="G22" s="4"/>
      <c r="H22" s="4"/>
      <c r="I22" s="4"/>
      <c r="J22" s="4"/>
      <c r="K22" s="4"/>
      <c r="L22" s="4"/>
      <c r="M22" s="4"/>
      <c r="N22" s="4"/>
      <c r="O22" s="4"/>
      <c r="P22" s="4"/>
      <c r="Q22" s="4"/>
      <c r="R22" s="4"/>
      <c r="S22" s="4"/>
      <c r="T22" s="4"/>
      <c r="U22" s="4"/>
      <c r="V22" s="4"/>
      <c r="W22" s="4"/>
      <c r="X22" s="4"/>
      <c r="Y22" s="4"/>
    </row>
    <row r="23" spans="1:25" ht="14.25" customHeight="1">
      <c r="A23" s="195">
        <v>22</v>
      </c>
      <c r="B23" s="196" t="s">
        <v>214</v>
      </c>
      <c r="C23" s="198"/>
      <c r="D23" s="4"/>
      <c r="E23" s="4"/>
      <c r="F23" s="4"/>
      <c r="G23" s="4"/>
      <c r="H23" s="4"/>
      <c r="I23" s="4"/>
      <c r="J23" s="4"/>
      <c r="K23" s="4"/>
      <c r="L23" s="4"/>
      <c r="M23" s="4"/>
      <c r="N23" s="4"/>
      <c r="O23" s="4"/>
      <c r="P23" s="4"/>
      <c r="Q23" s="4"/>
      <c r="R23" s="4"/>
      <c r="S23" s="4"/>
      <c r="T23" s="4"/>
      <c r="U23" s="4"/>
      <c r="V23" s="4"/>
      <c r="W23" s="4"/>
      <c r="X23" s="4"/>
      <c r="Y23" s="4"/>
    </row>
    <row r="24" spans="1:25" ht="14.25" customHeight="1">
      <c r="A24" s="195">
        <v>23</v>
      </c>
      <c r="B24" s="196" t="s">
        <v>215</v>
      </c>
      <c r="C24" s="198"/>
      <c r="D24" s="4"/>
      <c r="E24" s="4"/>
      <c r="F24" s="4"/>
      <c r="G24" s="4"/>
      <c r="H24" s="4"/>
      <c r="I24" s="4"/>
      <c r="J24" s="4"/>
      <c r="K24" s="4"/>
      <c r="L24" s="4"/>
      <c r="M24" s="4"/>
      <c r="N24" s="4"/>
      <c r="O24" s="4"/>
      <c r="P24" s="4"/>
      <c r="Q24" s="4"/>
      <c r="R24" s="4"/>
      <c r="S24" s="4"/>
      <c r="T24" s="4"/>
      <c r="U24" s="4"/>
      <c r="V24" s="4"/>
      <c r="W24" s="4"/>
      <c r="X24" s="4"/>
      <c r="Y24" s="4"/>
    </row>
    <row r="25" spans="1:25" ht="14.25" customHeight="1">
      <c r="A25" s="195">
        <v>24</v>
      </c>
      <c r="B25" s="196" t="s">
        <v>216</v>
      </c>
      <c r="C25" s="198"/>
      <c r="D25" s="4"/>
      <c r="E25" s="4"/>
      <c r="F25" s="4"/>
      <c r="G25" s="4"/>
      <c r="H25" s="4"/>
      <c r="I25" s="4"/>
      <c r="J25" s="4"/>
      <c r="K25" s="4"/>
      <c r="L25" s="4"/>
      <c r="M25" s="4"/>
      <c r="N25" s="4"/>
      <c r="O25" s="4"/>
      <c r="P25" s="4"/>
      <c r="Q25" s="4"/>
      <c r="R25" s="4"/>
      <c r="S25" s="4"/>
      <c r="T25" s="4"/>
      <c r="U25" s="4"/>
      <c r="V25" s="4"/>
      <c r="W25" s="4"/>
      <c r="X25" s="4"/>
      <c r="Y25" s="4"/>
    </row>
    <row r="26" spans="1:25" ht="14.25" customHeight="1">
      <c r="A26" s="195">
        <v>25</v>
      </c>
      <c r="B26" s="196" t="s">
        <v>217</v>
      </c>
      <c r="C26" s="198"/>
      <c r="D26" s="4"/>
      <c r="E26" s="4"/>
      <c r="F26" s="4"/>
      <c r="G26" s="4"/>
      <c r="H26" s="4"/>
      <c r="I26" s="4"/>
      <c r="J26" s="4"/>
      <c r="K26" s="4"/>
      <c r="L26" s="4"/>
      <c r="M26" s="4"/>
      <c r="N26" s="4"/>
      <c r="O26" s="4"/>
      <c r="P26" s="4"/>
      <c r="Q26" s="4"/>
      <c r="R26" s="4"/>
      <c r="S26" s="4"/>
      <c r="T26" s="4"/>
      <c r="U26" s="4"/>
      <c r="V26" s="4"/>
      <c r="W26" s="4"/>
      <c r="X26" s="4"/>
      <c r="Y26" s="4"/>
    </row>
    <row r="27" spans="1:25" ht="14.25" customHeight="1">
      <c r="A27" s="195">
        <v>26</v>
      </c>
      <c r="B27" s="196" t="s">
        <v>219</v>
      </c>
      <c r="C27" s="198"/>
      <c r="D27" s="4"/>
      <c r="E27" s="4"/>
      <c r="F27" s="4"/>
      <c r="G27" s="4"/>
      <c r="H27" s="4"/>
      <c r="I27" s="4"/>
      <c r="J27" s="4"/>
      <c r="K27" s="4"/>
      <c r="L27" s="4"/>
      <c r="M27" s="4"/>
      <c r="N27" s="4"/>
      <c r="O27" s="4"/>
      <c r="P27" s="4"/>
      <c r="Q27" s="4"/>
      <c r="R27" s="4"/>
      <c r="S27" s="4"/>
      <c r="T27" s="4"/>
      <c r="U27" s="4"/>
      <c r="V27" s="4"/>
      <c r="W27" s="4"/>
      <c r="X27" s="4"/>
      <c r="Y27" s="4"/>
    </row>
    <row r="28" spans="1:25" ht="14.25" customHeight="1">
      <c r="A28" s="195">
        <v>27</v>
      </c>
      <c r="B28" s="196" t="s">
        <v>220</v>
      </c>
      <c r="C28" s="198"/>
      <c r="D28" s="4"/>
      <c r="E28" s="4"/>
      <c r="F28" s="4"/>
      <c r="G28" s="4"/>
      <c r="H28" s="4"/>
      <c r="I28" s="4"/>
      <c r="J28" s="4"/>
      <c r="K28" s="4"/>
      <c r="L28" s="4"/>
      <c r="M28" s="4"/>
      <c r="N28" s="4"/>
      <c r="O28" s="4"/>
      <c r="P28" s="4"/>
      <c r="Q28" s="4"/>
      <c r="R28" s="4"/>
      <c r="S28" s="4"/>
      <c r="T28" s="4"/>
      <c r="U28" s="4"/>
      <c r="V28" s="4"/>
      <c r="W28" s="4"/>
      <c r="X28" s="4"/>
      <c r="Y28" s="4"/>
    </row>
    <row r="29" spans="1:25" ht="14.25" customHeight="1">
      <c r="A29" s="195">
        <v>28</v>
      </c>
      <c r="B29" s="196" t="s">
        <v>221</v>
      </c>
      <c r="C29" s="198"/>
      <c r="D29" s="4"/>
      <c r="E29" s="4"/>
      <c r="F29" s="4"/>
      <c r="G29" s="4"/>
      <c r="H29" s="4"/>
      <c r="I29" s="4"/>
      <c r="J29" s="4"/>
      <c r="K29" s="4"/>
      <c r="L29" s="4"/>
      <c r="M29" s="4"/>
      <c r="N29" s="4"/>
      <c r="O29" s="4"/>
      <c r="P29" s="4"/>
      <c r="Q29" s="4"/>
      <c r="R29" s="4"/>
      <c r="S29" s="4"/>
      <c r="T29" s="4"/>
      <c r="U29" s="4"/>
      <c r="V29" s="4"/>
      <c r="W29" s="4"/>
      <c r="X29" s="4"/>
      <c r="Y29" s="4"/>
    </row>
    <row r="30" spans="1:25" ht="14.25" customHeight="1">
      <c r="A30" s="195">
        <v>29</v>
      </c>
      <c r="B30" s="196" t="s">
        <v>222</v>
      </c>
      <c r="C30" s="198"/>
      <c r="D30" s="4"/>
      <c r="E30" s="4"/>
      <c r="F30" s="4"/>
      <c r="G30" s="4"/>
      <c r="H30" s="4"/>
      <c r="I30" s="4"/>
      <c r="J30" s="4"/>
      <c r="K30" s="4"/>
      <c r="L30" s="4"/>
      <c r="M30" s="4"/>
      <c r="N30" s="4"/>
      <c r="O30" s="4"/>
      <c r="P30" s="4"/>
      <c r="Q30" s="4"/>
      <c r="R30" s="4"/>
      <c r="S30" s="4"/>
      <c r="T30" s="4"/>
      <c r="U30" s="4"/>
      <c r="V30" s="4"/>
      <c r="W30" s="4"/>
      <c r="X30" s="4"/>
      <c r="Y30" s="4"/>
    </row>
    <row r="31" spans="1:25" ht="14.25" customHeight="1">
      <c r="A31" s="195">
        <v>30</v>
      </c>
      <c r="B31" s="196" t="s">
        <v>223</v>
      </c>
      <c r="C31" s="198"/>
      <c r="D31" s="4"/>
      <c r="E31" s="4"/>
      <c r="F31" s="4"/>
      <c r="G31" s="4"/>
      <c r="H31" s="4"/>
      <c r="I31" s="4"/>
      <c r="J31" s="4"/>
      <c r="K31" s="4"/>
      <c r="L31" s="4"/>
      <c r="M31" s="4"/>
      <c r="N31" s="4"/>
      <c r="O31" s="4"/>
      <c r="P31" s="4"/>
      <c r="Q31" s="4"/>
      <c r="R31" s="4"/>
      <c r="S31" s="4"/>
      <c r="T31" s="4"/>
      <c r="U31" s="4"/>
      <c r="V31" s="4"/>
      <c r="W31" s="4"/>
      <c r="X31" s="4"/>
      <c r="Y31" s="4"/>
    </row>
    <row r="32" spans="1:25" ht="14.25" customHeight="1">
      <c r="A32" s="195">
        <v>31</v>
      </c>
      <c r="B32" s="196" t="s">
        <v>224</v>
      </c>
      <c r="C32" s="198"/>
      <c r="D32" s="4"/>
      <c r="E32" s="4"/>
      <c r="F32" s="4"/>
      <c r="G32" s="4"/>
      <c r="H32" s="4"/>
      <c r="I32" s="4"/>
      <c r="J32" s="4"/>
      <c r="K32" s="4"/>
      <c r="L32" s="4"/>
      <c r="M32" s="4"/>
      <c r="N32" s="4"/>
      <c r="O32" s="4"/>
      <c r="P32" s="4"/>
      <c r="Q32" s="4"/>
      <c r="R32" s="4"/>
      <c r="S32" s="4"/>
      <c r="T32" s="4"/>
      <c r="U32" s="4"/>
      <c r="V32" s="4"/>
      <c r="W32" s="4"/>
      <c r="X32" s="4"/>
      <c r="Y32" s="4"/>
    </row>
    <row r="33" spans="1:25" ht="14.25" customHeight="1">
      <c r="A33" s="195">
        <v>32</v>
      </c>
      <c r="B33" s="196" t="s">
        <v>225</v>
      </c>
      <c r="C33" s="198"/>
      <c r="D33" s="4"/>
      <c r="E33" s="4"/>
      <c r="F33" s="4"/>
      <c r="G33" s="4"/>
      <c r="H33" s="4"/>
      <c r="I33" s="4"/>
      <c r="J33" s="4"/>
      <c r="K33" s="4"/>
      <c r="L33" s="4"/>
      <c r="M33" s="4"/>
      <c r="N33" s="4"/>
      <c r="O33" s="4"/>
      <c r="P33" s="4"/>
      <c r="Q33" s="4"/>
      <c r="R33" s="4"/>
      <c r="S33" s="4"/>
      <c r="T33" s="4"/>
      <c r="U33" s="4"/>
      <c r="V33" s="4"/>
      <c r="W33" s="4"/>
      <c r="X33" s="4"/>
      <c r="Y33" s="4"/>
    </row>
    <row r="34" spans="1:25" ht="14.25" customHeight="1">
      <c r="A34" s="195">
        <v>33</v>
      </c>
      <c r="B34" s="196" t="s">
        <v>226</v>
      </c>
      <c r="C34" s="198"/>
      <c r="D34" s="4"/>
      <c r="E34" s="4"/>
      <c r="F34" s="4"/>
      <c r="G34" s="4"/>
      <c r="H34" s="4"/>
      <c r="I34" s="4"/>
      <c r="J34" s="4"/>
      <c r="K34" s="4"/>
      <c r="L34" s="4"/>
      <c r="M34" s="4"/>
      <c r="N34" s="4"/>
      <c r="O34" s="4"/>
      <c r="P34" s="4"/>
      <c r="Q34" s="4"/>
      <c r="R34" s="4"/>
      <c r="S34" s="4"/>
      <c r="T34" s="4"/>
      <c r="U34" s="4"/>
      <c r="V34" s="4"/>
      <c r="W34" s="4"/>
      <c r="X34" s="4"/>
      <c r="Y34" s="4"/>
    </row>
    <row r="35" spans="1:25" ht="14.25" customHeight="1">
      <c r="A35" s="195">
        <v>34</v>
      </c>
      <c r="B35" s="196" t="s">
        <v>227</v>
      </c>
      <c r="C35" s="198"/>
      <c r="D35" s="4"/>
      <c r="E35" s="4"/>
      <c r="F35" s="4"/>
      <c r="G35" s="4"/>
      <c r="H35" s="4"/>
      <c r="I35" s="4"/>
      <c r="J35" s="4"/>
      <c r="K35" s="4"/>
      <c r="L35" s="4"/>
      <c r="M35" s="4"/>
      <c r="N35" s="4"/>
      <c r="O35" s="4"/>
      <c r="P35" s="4"/>
      <c r="Q35" s="4"/>
      <c r="R35" s="4"/>
      <c r="S35" s="4"/>
      <c r="T35" s="4"/>
      <c r="U35" s="4"/>
      <c r="V35" s="4"/>
      <c r="W35" s="4"/>
      <c r="X35" s="4"/>
      <c r="Y35" s="4"/>
    </row>
    <row r="36" spans="1:25" ht="14.25" customHeight="1">
      <c r="A36" s="195">
        <v>35</v>
      </c>
      <c r="B36" s="196" t="s">
        <v>228</v>
      </c>
      <c r="C36" s="198"/>
      <c r="D36" s="4"/>
      <c r="E36" s="4"/>
      <c r="F36" s="4"/>
      <c r="G36" s="4"/>
      <c r="H36" s="4"/>
      <c r="I36" s="4"/>
      <c r="J36" s="4"/>
      <c r="K36" s="4"/>
      <c r="L36" s="4"/>
      <c r="M36" s="4"/>
      <c r="N36" s="4"/>
      <c r="O36" s="4"/>
      <c r="P36" s="4"/>
      <c r="Q36" s="4"/>
      <c r="R36" s="4"/>
      <c r="S36" s="4"/>
      <c r="T36" s="4"/>
      <c r="U36" s="4"/>
      <c r="V36" s="4"/>
      <c r="W36" s="4"/>
      <c r="X36" s="4"/>
      <c r="Y36" s="4"/>
    </row>
    <row r="37" spans="1:25" ht="14.25" customHeight="1">
      <c r="A37" s="195">
        <v>36</v>
      </c>
      <c r="B37" s="196" t="s">
        <v>229</v>
      </c>
      <c r="C37" s="198"/>
      <c r="D37" s="4"/>
      <c r="E37" s="4"/>
      <c r="F37" s="4"/>
      <c r="G37" s="4"/>
      <c r="H37" s="4"/>
      <c r="I37" s="4"/>
      <c r="J37" s="4"/>
      <c r="K37" s="4"/>
      <c r="L37" s="4"/>
      <c r="M37" s="4"/>
      <c r="N37" s="4"/>
      <c r="O37" s="4"/>
      <c r="P37" s="4"/>
      <c r="Q37" s="4"/>
      <c r="R37" s="4"/>
      <c r="S37" s="4"/>
      <c r="T37" s="4"/>
      <c r="U37" s="4"/>
      <c r="V37" s="4"/>
      <c r="W37" s="4"/>
      <c r="X37" s="4"/>
      <c r="Y37" s="4"/>
    </row>
    <row r="38" spans="1:25" ht="14.25" customHeight="1">
      <c r="A38" s="195">
        <v>37</v>
      </c>
      <c r="B38" s="196" t="s">
        <v>230</v>
      </c>
      <c r="C38" s="198"/>
      <c r="D38" s="4"/>
      <c r="E38" s="4"/>
      <c r="F38" s="4"/>
      <c r="G38" s="4"/>
      <c r="H38" s="4"/>
      <c r="I38" s="4"/>
      <c r="J38" s="4"/>
      <c r="K38" s="4"/>
      <c r="L38" s="4"/>
      <c r="M38" s="4"/>
      <c r="N38" s="4"/>
      <c r="O38" s="4"/>
      <c r="P38" s="4"/>
      <c r="Q38" s="4"/>
      <c r="R38" s="4"/>
      <c r="S38" s="4"/>
      <c r="T38" s="4"/>
      <c r="U38" s="4"/>
      <c r="V38" s="4"/>
      <c r="W38" s="4"/>
      <c r="X38" s="4"/>
      <c r="Y38" s="4"/>
    </row>
    <row r="39" spans="1:25" ht="14.25" customHeight="1">
      <c r="A39" s="195">
        <v>38</v>
      </c>
      <c r="B39" s="196" t="s">
        <v>231</v>
      </c>
      <c r="C39" s="198"/>
      <c r="D39" s="4"/>
      <c r="E39" s="4"/>
      <c r="F39" s="4"/>
      <c r="G39" s="4"/>
      <c r="H39" s="4"/>
      <c r="I39" s="4"/>
      <c r="J39" s="4"/>
      <c r="K39" s="4"/>
      <c r="L39" s="4"/>
      <c r="M39" s="4"/>
      <c r="N39" s="4"/>
      <c r="O39" s="4"/>
      <c r="P39" s="4"/>
      <c r="Q39" s="4"/>
      <c r="R39" s="4"/>
      <c r="S39" s="4"/>
      <c r="T39" s="4"/>
      <c r="U39" s="4"/>
      <c r="V39" s="4"/>
      <c r="W39" s="4"/>
      <c r="X39" s="4"/>
      <c r="Y39" s="4"/>
    </row>
    <row r="40" spans="1:25" ht="14.25" customHeight="1">
      <c r="A40" s="195">
        <v>39</v>
      </c>
      <c r="B40" s="196" t="s">
        <v>232</v>
      </c>
      <c r="C40" s="198"/>
      <c r="D40" s="4"/>
      <c r="E40" s="4"/>
      <c r="F40" s="4"/>
      <c r="G40" s="4"/>
      <c r="H40" s="4"/>
      <c r="I40" s="4"/>
      <c r="J40" s="4"/>
      <c r="K40" s="4"/>
      <c r="L40" s="4"/>
      <c r="M40" s="4"/>
      <c r="N40" s="4"/>
      <c r="O40" s="4"/>
      <c r="P40" s="4"/>
      <c r="Q40" s="4"/>
      <c r="R40" s="4"/>
      <c r="S40" s="4"/>
      <c r="T40" s="4"/>
      <c r="U40" s="4"/>
      <c r="V40" s="4"/>
      <c r="W40" s="4"/>
      <c r="X40" s="4"/>
      <c r="Y40" s="4"/>
    </row>
    <row r="41" spans="1:25" ht="14.25" customHeight="1">
      <c r="A41" s="195">
        <v>40</v>
      </c>
      <c r="B41" s="196" t="s">
        <v>233</v>
      </c>
      <c r="C41" s="198"/>
      <c r="D41" s="4"/>
      <c r="E41" s="4"/>
      <c r="F41" s="4"/>
      <c r="G41" s="4"/>
      <c r="H41" s="4"/>
      <c r="I41" s="4"/>
      <c r="J41" s="4"/>
      <c r="K41" s="4"/>
      <c r="L41" s="4"/>
      <c r="M41" s="4"/>
      <c r="N41" s="4"/>
      <c r="O41" s="4"/>
      <c r="P41" s="4"/>
      <c r="Q41" s="4"/>
      <c r="R41" s="4"/>
      <c r="S41" s="4"/>
      <c r="T41" s="4"/>
      <c r="U41" s="4"/>
      <c r="V41" s="4"/>
      <c r="W41" s="4"/>
      <c r="X41" s="4"/>
      <c r="Y41" s="4"/>
    </row>
    <row r="42" spans="1:25" ht="14.25" customHeight="1">
      <c r="A42" s="195">
        <v>41</v>
      </c>
      <c r="B42" s="196" t="s">
        <v>234</v>
      </c>
      <c r="C42" s="198"/>
      <c r="D42" s="4"/>
      <c r="E42" s="4"/>
      <c r="F42" s="4"/>
      <c r="G42" s="4"/>
      <c r="H42" s="4"/>
      <c r="I42" s="4"/>
      <c r="J42" s="4"/>
      <c r="K42" s="4"/>
      <c r="L42" s="4"/>
      <c r="M42" s="4"/>
      <c r="N42" s="4"/>
      <c r="O42" s="4"/>
      <c r="P42" s="4"/>
      <c r="Q42" s="4"/>
      <c r="R42" s="4"/>
      <c r="S42" s="4"/>
      <c r="T42" s="4"/>
      <c r="U42" s="4"/>
      <c r="V42" s="4"/>
      <c r="W42" s="4"/>
      <c r="X42" s="4"/>
      <c r="Y42" s="4"/>
    </row>
    <row r="43" spans="1:25" ht="14.25" customHeight="1">
      <c r="A43" s="195">
        <v>42</v>
      </c>
      <c r="B43" s="196" t="s">
        <v>235</v>
      </c>
      <c r="C43" s="198"/>
      <c r="D43" s="4"/>
      <c r="E43" s="4"/>
      <c r="F43" s="4"/>
      <c r="G43" s="4"/>
      <c r="H43" s="4"/>
      <c r="I43" s="4"/>
      <c r="J43" s="4"/>
      <c r="K43" s="4"/>
      <c r="L43" s="4"/>
      <c r="M43" s="4"/>
      <c r="N43" s="4"/>
      <c r="O43" s="4"/>
      <c r="P43" s="4"/>
      <c r="Q43" s="4"/>
      <c r="R43" s="4"/>
      <c r="S43" s="4"/>
      <c r="T43" s="4"/>
      <c r="U43" s="4"/>
      <c r="V43" s="4"/>
      <c r="W43" s="4"/>
      <c r="X43" s="4"/>
      <c r="Y43" s="4"/>
    </row>
    <row r="44" spans="1:25" ht="14.25" customHeight="1">
      <c r="A44" s="195">
        <v>43</v>
      </c>
      <c r="B44" s="196" t="s">
        <v>236</v>
      </c>
      <c r="C44" s="198"/>
      <c r="D44" s="4"/>
      <c r="E44" s="4"/>
      <c r="F44" s="4"/>
      <c r="G44" s="4"/>
      <c r="H44" s="4"/>
      <c r="I44" s="4"/>
      <c r="J44" s="4"/>
      <c r="K44" s="4"/>
      <c r="L44" s="4"/>
      <c r="M44" s="4"/>
      <c r="N44" s="4"/>
      <c r="O44" s="4"/>
      <c r="P44" s="4"/>
      <c r="Q44" s="4"/>
      <c r="R44" s="4"/>
      <c r="S44" s="4"/>
      <c r="T44" s="4"/>
      <c r="U44" s="4"/>
      <c r="V44" s="4"/>
      <c r="W44" s="4"/>
      <c r="X44" s="4"/>
      <c r="Y44" s="4"/>
    </row>
    <row r="45" spans="1:25" ht="14.25" customHeight="1">
      <c r="A45" s="195">
        <v>44</v>
      </c>
      <c r="B45" s="196" t="s">
        <v>241</v>
      </c>
      <c r="C45" s="198"/>
      <c r="D45" s="4"/>
      <c r="E45" s="4"/>
      <c r="F45" s="4"/>
      <c r="G45" s="4"/>
      <c r="H45" s="4"/>
      <c r="I45" s="4"/>
      <c r="J45" s="4"/>
      <c r="K45" s="4"/>
      <c r="L45" s="4"/>
      <c r="M45" s="4"/>
      <c r="N45" s="4"/>
      <c r="O45" s="4"/>
      <c r="P45" s="4"/>
      <c r="Q45" s="4"/>
      <c r="R45" s="4"/>
      <c r="S45" s="4"/>
      <c r="T45" s="4"/>
      <c r="U45" s="4"/>
      <c r="V45" s="4"/>
      <c r="W45" s="4"/>
      <c r="X45" s="4"/>
      <c r="Y45" s="4"/>
    </row>
    <row r="46" spans="1:25" ht="14.25" customHeight="1">
      <c r="A46" s="195">
        <v>45</v>
      </c>
      <c r="B46" s="196" t="s">
        <v>242</v>
      </c>
      <c r="C46" s="198"/>
      <c r="D46" s="4"/>
      <c r="E46" s="4"/>
      <c r="F46" s="4"/>
      <c r="G46" s="4"/>
      <c r="H46" s="4"/>
      <c r="I46" s="4"/>
      <c r="J46" s="4"/>
      <c r="K46" s="4"/>
      <c r="L46" s="4"/>
      <c r="M46" s="4"/>
      <c r="N46" s="4"/>
      <c r="O46" s="4"/>
      <c r="P46" s="4"/>
      <c r="Q46" s="4"/>
      <c r="R46" s="4"/>
      <c r="S46" s="4"/>
      <c r="T46" s="4"/>
      <c r="U46" s="4"/>
      <c r="V46" s="4"/>
      <c r="W46" s="4"/>
      <c r="X46" s="4"/>
      <c r="Y46" s="4"/>
    </row>
    <row r="47" spans="1:25" ht="14.25" customHeight="1">
      <c r="A47" s="195">
        <v>46</v>
      </c>
      <c r="B47" s="196" t="s">
        <v>243</v>
      </c>
      <c r="C47" s="198"/>
      <c r="D47" s="4"/>
      <c r="E47" s="4"/>
      <c r="F47" s="4"/>
      <c r="G47" s="4"/>
      <c r="H47" s="4"/>
      <c r="I47" s="4"/>
      <c r="J47" s="4"/>
      <c r="K47" s="4"/>
      <c r="L47" s="4"/>
      <c r="M47" s="4"/>
      <c r="N47" s="4"/>
      <c r="O47" s="4"/>
      <c r="P47" s="4"/>
      <c r="Q47" s="4"/>
      <c r="R47" s="4"/>
      <c r="S47" s="4"/>
      <c r="T47" s="4"/>
      <c r="U47" s="4"/>
      <c r="V47" s="4"/>
      <c r="W47" s="4"/>
      <c r="X47" s="4"/>
      <c r="Y47" s="4"/>
    </row>
    <row r="48" spans="1:25" ht="14.25" customHeight="1">
      <c r="A48" s="199">
        <v>47</v>
      </c>
      <c r="B48" s="200" t="s">
        <v>244</v>
      </c>
      <c r="C48" s="201"/>
      <c r="D48" s="4"/>
      <c r="E48" s="4"/>
      <c r="F48" s="4"/>
      <c r="G48" s="4"/>
      <c r="H48" s="4"/>
      <c r="I48" s="4"/>
      <c r="J48" s="4"/>
      <c r="K48" s="4"/>
      <c r="L48" s="4"/>
      <c r="M48" s="4"/>
      <c r="N48" s="4"/>
      <c r="O48" s="4"/>
      <c r="P48" s="4"/>
      <c r="Q48" s="4"/>
      <c r="R48" s="4"/>
      <c r="S48" s="4"/>
      <c r="T48" s="4"/>
      <c r="U48" s="4"/>
      <c r="V48" s="4"/>
      <c r="W48" s="4"/>
      <c r="X48" s="4"/>
      <c r="Y48" s="4"/>
    </row>
    <row r="49" spans="1:25" ht="14.25" customHeight="1">
      <c r="A49" s="202"/>
      <c r="B49" s="203"/>
      <c r="C49" s="204"/>
      <c r="D49" s="4"/>
      <c r="E49" s="4"/>
      <c r="F49" s="4"/>
      <c r="G49" s="4"/>
      <c r="H49" s="4"/>
      <c r="I49" s="4"/>
      <c r="J49" s="4"/>
      <c r="K49" s="4"/>
      <c r="L49" s="4"/>
      <c r="M49" s="4"/>
      <c r="N49" s="4"/>
      <c r="O49" s="4"/>
      <c r="P49" s="4"/>
      <c r="Q49" s="4"/>
      <c r="R49" s="4"/>
      <c r="S49" s="4"/>
      <c r="T49" s="4"/>
      <c r="U49" s="4"/>
      <c r="V49" s="4"/>
      <c r="W49" s="4"/>
      <c r="X49" s="4"/>
      <c r="Y49" s="4"/>
    </row>
    <row r="50" spans="1:25" ht="14.25" customHeight="1">
      <c r="A50" s="202"/>
      <c r="B50" s="203"/>
      <c r="C50" s="204"/>
      <c r="D50" s="4"/>
      <c r="E50" s="4"/>
      <c r="F50" s="4"/>
      <c r="G50" s="4"/>
      <c r="H50" s="4"/>
      <c r="I50" s="4"/>
      <c r="J50" s="4"/>
      <c r="K50" s="4"/>
      <c r="L50" s="4"/>
      <c r="M50" s="4"/>
      <c r="N50" s="4"/>
      <c r="O50" s="4"/>
      <c r="P50" s="4"/>
      <c r="Q50" s="4"/>
      <c r="R50" s="4"/>
      <c r="S50" s="4"/>
      <c r="T50" s="4"/>
      <c r="U50" s="4"/>
      <c r="V50" s="4"/>
      <c r="W50" s="4"/>
      <c r="X50" s="4"/>
      <c r="Y50" s="4"/>
    </row>
    <row r="51" spans="1:25" ht="14.25" customHeight="1">
      <c r="A51" s="202"/>
      <c r="B51" s="203"/>
      <c r="C51" s="204"/>
      <c r="D51" s="4"/>
      <c r="E51" s="4"/>
      <c r="F51" s="4"/>
      <c r="G51" s="4"/>
      <c r="H51" s="4"/>
      <c r="I51" s="4"/>
      <c r="J51" s="4"/>
      <c r="K51" s="4"/>
      <c r="L51" s="4"/>
      <c r="M51" s="4"/>
      <c r="N51" s="4"/>
      <c r="O51" s="4"/>
      <c r="P51" s="4"/>
      <c r="Q51" s="4"/>
      <c r="R51" s="4"/>
      <c r="S51" s="4"/>
      <c r="T51" s="4"/>
      <c r="U51" s="4"/>
      <c r="V51" s="4"/>
      <c r="W51" s="4"/>
      <c r="X51" s="4"/>
      <c r="Y51" s="4"/>
    </row>
    <row r="52" spans="1:25" ht="14.25" customHeight="1">
      <c r="A52" s="202"/>
      <c r="B52" s="203"/>
      <c r="C52" s="204"/>
      <c r="D52" s="4"/>
      <c r="E52" s="4"/>
      <c r="F52" s="4"/>
      <c r="G52" s="4"/>
      <c r="H52" s="4"/>
      <c r="I52" s="4"/>
      <c r="J52" s="4"/>
      <c r="K52" s="4"/>
      <c r="L52" s="4"/>
      <c r="M52" s="4"/>
      <c r="N52" s="4"/>
      <c r="O52" s="4"/>
      <c r="P52" s="4"/>
      <c r="Q52" s="4"/>
      <c r="R52" s="4"/>
      <c r="S52" s="4"/>
      <c r="T52" s="4"/>
      <c r="U52" s="4"/>
      <c r="V52" s="4"/>
      <c r="W52" s="4"/>
      <c r="X52" s="4"/>
      <c r="Y52" s="4"/>
    </row>
    <row r="53" spans="1:25" ht="14.25" customHeight="1">
      <c r="A53" s="202"/>
      <c r="B53" s="203"/>
      <c r="C53" s="204"/>
      <c r="D53" s="4"/>
      <c r="E53" s="4"/>
      <c r="F53" s="4"/>
      <c r="G53" s="4"/>
      <c r="H53" s="4"/>
      <c r="I53" s="4"/>
      <c r="J53" s="4"/>
      <c r="K53" s="4"/>
      <c r="L53" s="4"/>
      <c r="M53" s="4"/>
      <c r="N53" s="4"/>
      <c r="O53" s="4"/>
      <c r="P53" s="4"/>
      <c r="Q53" s="4"/>
      <c r="R53" s="4"/>
      <c r="S53" s="4"/>
      <c r="T53" s="4"/>
      <c r="U53" s="4"/>
      <c r="V53" s="4"/>
      <c r="W53" s="4"/>
      <c r="X53" s="4"/>
      <c r="Y53" s="4"/>
    </row>
    <row r="54" spans="1:25" ht="14.2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4.2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4.2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4.2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4.2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4.2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4.2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4.2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4.2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4.2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4.2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4.2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4.2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4.2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4.2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4.2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4.2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4.2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4.2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4.2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4.2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4.2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4.2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4.2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4.2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4.2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4.2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4.2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4.2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4.2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4.2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4.2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4.2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4.2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4.2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4.2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4.2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4.2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4.2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4.2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4.2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4.2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4.2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4.2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4.2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4.2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5.75" customHeight="1">
      <c r="A249" s="4"/>
      <c r="B249" s="4"/>
      <c r="C249" s="4"/>
    </row>
    <row r="250" spans="1:25" ht="15.75" customHeight="1">
      <c r="A250" s="4"/>
      <c r="B250" s="4"/>
      <c r="C250" s="4"/>
    </row>
    <row r="251" spans="1:25" ht="15.75" customHeight="1">
      <c r="A251" s="4"/>
      <c r="B251" s="4"/>
      <c r="C251" s="4"/>
    </row>
    <row r="252" spans="1:25" ht="15.75" customHeight="1">
      <c r="A252" s="4"/>
      <c r="B252" s="4"/>
      <c r="C252" s="4"/>
    </row>
    <row r="253" spans="1:25" ht="15.75" customHeight="1">
      <c r="A253" s="4"/>
      <c r="B253" s="4"/>
      <c r="C253" s="4"/>
    </row>
    <row r="254" spans="1:25" ht="15.75" customHeight="1">
      <c r="A254" s="4"/>
      <c r="B254" s="4"/>
      <c r="C254" s="4"/>
    </row>
    <row r="255" spans="1:25" ht="15.75" customHeight="1">
      <c r="A255" s="4"/>
      <c r="B255" s="4"/>
      <c r="C255" s="4"/>
    </row>
    <row r="256" spans="1:25" ht="15.75" customHeight="1">
      <c r="A256" s="4"/>
      <c r="B256" s="4"/>
      <c r="C256" s="4"/>
    </row>
    <row r="257" spans="1:3" ht="15.75" customHeight="1">
      <c r="A257" s="4"/>
      <c r="B257" s="4"/>
      <c r="C257" s="4"/>
    </row>
    <row r="258" spans="1:3" ht="15.75" customHeight="1">
      <c r="A258" s="4"/>
      <c r="B258" s="4"/>
      <c r="C258" s="4"/>
    </row>
    <row r="259" spans="1:3" ht="15.75" customHeight="1">
      <c r="A259" s="4"/>
      <c r="B259" s="4"/>
      <c r="C259" s="4"/>
    </row>
    <row r="260" spans="1:3" ht="15.75" customHeight="1">
      <c r="A260" s="4"/>
      <c r="B260" s="4"/>
      <c r="C260" s="4"/>
    </row>
    <row r="261" spans="1:3" ht="15.75" customHeight="1">
      <c r="A261" s="4"/>
      <c r="B261" s="4"/>
      <c r="C261" s="4"/>
    </row>
    <row r="262" spans="1:3" ht="15.75" customHeight="1">
      <c r="A262" s="4"/>
      <c r="B262" s="4"/>
      <c r="C262" s="4"/>
    </row>
    <row r="263" spans="1:3" ht="15.75" customHeight="1">
      <c r="A263" s="4"/>
      <c r="B263" s="4"/>
      <c r="C263" s="4"/>
    </row>
    <row r="264" spans="1:3" ht="15.75" customHeight="1">
      <c r="A264" s="4"/>
      <c r="B264" s="4"/>
      <c r="C264" s="4"/>
    </row>
    <row r="265" spans="1:3" ht="15.75" customHeight="1">
      <c r="A265" s="4"/>
      <c r="B265" s="4"/>
      <c r="C265" s="4"/>
    </row>
    <row r="266" spans="1:3" ht="15.75" customHeight="1">
      <c r="A266" s="4"/>
      <c r="B266" s="4"/>
      <c r="C266" s="4"/>
    </row>
    <row r="267" spans="1:3" ht="15.75" customHeight="1">
      <c r="A267" s="4"/>
      <c r="B267" s="4"/>
      <c r="C267" s="4"/>
    </row>
    <row r="268" spans="1:3" ht="15.75" customHeight="1">
      <c r="A268" s="4"/>
      <c r="B268" s="4"/>
      <c r="C268" s="4"/>
    </row>
    <row r="269" spans="1:3" ht="15.75" customHeight="1">
      <c r="A269" s="4"/>
      <c r="B269" s="4"/>
      <c r="C269" s="4"/>
    </row>
    <row r="270" spans="1:3" ht="15.75" customHeight="1">
      <c r="A270" s="4"/>
      <c r="B270" s="4"/>
      <c r="C270" s="4"/>
    </row>
    <row r="271" spans="1:3" ht="15.75" customHeight="1">
      <c r="A271" s="4"/>
      <c r="B271" s="4"/>
      <c r="C271" s="4"/>
    </row>
    <row r="272" spans="1:3" ht="15.75" customHeight="1">
      <c r="A272" s="4"/>
      <c r="B272" s="4"/>
      <c r="C272" s="4"/>
    </row>
    <row r="273" spans="1:3" ht="15.75" customHeight="1">
      <c r="A273" s="4"/>
      <c r="B273" s="4"/>
      <c r="C273" s="4"/>
    </row>
    <row r="274" spans="1:3" ht="15.75" customHeight="1">
      <c r="A274" s="4"/>
      <c r="B274" s="4"/>
      <c r="C274" s="4"/>
    </row>
    <row r="275" spans="1:3" ht="15.75" customHeight="1">
      <c r="A275" s="4"/>
      <c r="B275" s="4"/>
      <c r="C275" s="4"/>
    </row>
    <row r="276" spans="1:3" ht="15.75" customHeight="1">
      <c r="A276" s="4"/>
      <c r="B276" s="4"/>
      <c r="C276" s="4"/>
    </row>
    <row r="277" spans="1:3" ht="15.75" customHeight="1">
      <c r="A277" s="4"/>
      <c r="B277" s="4"/>
      <c r="C277" s="4"/>
    </row>
    <row r="278" spans="1:3" ht="15.75" customHeight="1">
      <c r="A278" s="4"/>
      <c r="B278" s="4"/>
      <c r="C278" s="4"/>
    </row>
    <row r="279" spans="1:3" ht="15.75" customHeight="1">
      <c r="A279" s="4"/>
      <c r="B279" s="4"/>
      <c r="C279" s="4"/>
    </row>
    <row r="280" spans="1:3" ht="15.75" customHeight="1">
      <c r="A280" s="4"/>
      <c r="B280" s="4"/>
      <c r="C280" s="4"/>
    </row>
    <row r="281" spans="1:3" ht="15.75" customHeight="1">
      <c r="A281" s="4"/>
      <c r="B281" s="4"/>
      <c r="C281" s="4"/>
    </row>
    <row r="282" spans="1:3" ht="15.75" customHeight="1">
      <c r="A282" s="4"/>
      <c r="B282" s="4"/>
      <c r="C282" s="4"/>
    </row>
    <row r="283" spans="1:3" ht="15.75" customHeight="1">
      <c r="A283" s="4"/>
      <c r="B283" s="4"/>
      <c r="C283" s="4"/>
    </row>
    <row r="284" spans="1:3" ht="15.75" customHeight="1">
      <c r="A284" s="4"/>
      <c r="B284" s="4"/>
      <c r="C284" s="4"/>
    </row>
    <row r="285" spans="1:3" ht="15.75" customHeight="1">
      <c r="A285" s="4"/>
      <c r="B285" s="4"/>
      <c r="C285" s="4"/>
    </row>
    <row r="286" spans="1:3" ht="15.75" customHeight="1">
      <c r="A286" s="4"/>
      <c r="B286" s="4"/>
      <c r="C286" s="4"/>
    </row>
    <row r="287" spans="1:3" ht="15.75" customHeight="1">
      <c r="A287" s="4"/>
      <c r="B287" s="4"/>
      <c r="C287" s="4"/>
    </row>
    <row r="288" spans="1:3" ht="15.75" customHeight="1">
      <c r="A288" s="4"/>
      <c r="B288" s="4"/>
      <c r="C288" s="4"/>
    </row>
    <row r="289" spans="1:3" ht="15.75" customHeight="1">
      <c r="A289" s="4"/>
      <c r="B289" s="4"/>
      <c r="C289" s="4"/>
    </row>
    <row r="290" spans="1:3" ht="15.75" customHeight="1">
      <c r="A290" s="4"/>
      <c r="B290" s="4"/>
      <c r="C290" s="4"/>
    </row>
    <row r="291" spans="1:3" ht="15.75" customHeight="1">
      <c r="A291" s="4"/>
      <c r="B291" s="4"/>
      <c r="C291" s="4"/>
    </row>
    <row r="292" spans="1:3" ht="15.75" customHeight="1">
      <c r="A292" s="4"/>
      <c r="B292" s="4"/>
      <c r="C292" s="4"/>
    </row>
    <row r="293" spans="1:3" ht="15.75" customHeight="1">
      <c r="A293" s="4"/>
      <c r="B293" s="4"/>
      <c r="C293" s="4"/>
    </row>
    <row r="294" spans="1:3" ht="15.75" customHeight="1">
      <c r="A294" s="4"/>
      <c r="B294" s="4"/>
      <c r="C294" s="4"/>
    </row>
    <row r="295" spans="1:3" ht="15.75" customHeight="1">
      <c r="A295" s="4"/>
      <c r="B295" s="4"/>
      <c r="C295" s="4"/>
    </row>
    <row r="296" spans="1:3" ht="15.75" customHeight="1">
      <c r="A296" s="4"/>
      <c r="B296" s="4"/>
      <c r="C296" s="4"/>
    </row>
    <row r="297" spans="1:3" ht="15.75" customHeight="1">
      <c r="A297" s="4"/>
      <c r="B297" s="4"/>
      <c r="C297" s="4"/>
    </row>
    <row r="298" spans="1:3" ht="15.75" customHeight="1">
      <c r="A298" s="4"/>
      <c r="B298" s="4"/>
      <c r="C298" s="4"/>
    </row>
    <row r="299" spans="1:3" ht="15.75" customHeight="1">
      <c r="A299" s="4"/>
      <c r="B299" s="4"/>
      <c r="C299" s="4"/>
    </row>
    <row r="300" spans="1:3" ht="15.75" customHeight="1">
      <c r="A300" s="4"/>
      <c r="B300" s="4"/>
      <c r="C300" s="4"/>
    </row>
    <row r="301" spans="1:3" ht="15.75" customHeight="1">
      <c r="A301" s="4"/>
      <c r="B301" s="4"/>
      <c r="C301" s="4"/>
    </row>
    <row r="302" spans="1:3" ht="15.75" customHeight="1">
      <c r="A302" s="4"/>
      <c r="B302" s="4"/>
      <c r="C302" s="4"/>
    </row>
    <row r="303" spans="1:3" ht="15.75" customHeight="1">
      <c r="A303" s="4"/>
      <c r="B303" s="4"/>
      <c r="C303" s="4"/>
    </row>
    <row r="304" spans="1:3" ht="15.75" customHeight="1">
      <c r="A304" s="4"/>
      <c r="B304" s="4"/>
      <c r="C304" s="4"/>
    </row>
    <row r="305" spans="1:3" ht="15.75" customHeight="1">
      <c r="A305" s="4"/>
      <c r="B305" s="4"/>
      <c r="C305" s="4"/>
    </row>
    <row r="306" spans="1:3" ht="15.75" customHeight="1">
      <c r="A306" s="4"/>
      <c r="B306" s="4"/>
      <c r="C306" s="4"/>
    </row>
    <row r="307" spans="1:3" ht="15.75" customHeight="1">
      <c r="A307" s="4"/>
      <c r="B307" s="4"/>
      <c r="C307" s="4"/>
    </row>
    <row r="308" spans="1:3" ht="15.75" customHeight="1">
      <c r="A308" s="4"/>
      <c r="B308" s="4"/>
      <c r="C308" s="4"/>
    </row>
    <row r="309" spans="1:3" ht="15.75" customHeight="1">
      <c r="A309" s="4"/>
      <c r="B309" s="4"/>
      <c r="C309" s="4"/>
    </row>
    <row r="310" spans="1:3" ht="15.75" customHeight="1">
      <c r="A310" s="4"/>
      <c r="B310" s="4"/>
      <c r="C310" s="4"/>
    </row>
    <row r="311" spans="1:3" ht="15.75" customHeight="1">
      <c r="A311" s="4"/>
      <c r="B311" s="4"/>
      <c r="C311" s="4"/>
    </row>
    <row r="312" spans="1:3" ht="15.75" customHeight="1">
      <c r="A312" s="4"/>
      <c r="B312" s="4"/>
      <c r="C312" s="4"/>
    </row>
    <row r="313" spans="1:3" ht="15.75" customHeight="1">
      <c r="A313" s="4"/>
      <c r="B313" s="4"/>
      <c r="C313" s="4"/>
    </row>
    <row r="314" spans="1:3" ht="15.75" customHeight="1">
      <c r="A314" s="4"/>
      <c r="B314" s="4"/>
      <c r="C314" s="4"/>
    </row>
    <row r="315" spans="1:3" ht="15.75" customHeight="1">
      <c r="A315" s="4"/>
      <c r="B315" s="4"/>
      <c r="C315" s="4"/>
    </row>
    <row r="316" spans="1:3" ht="15.75" customHeight="1">
      <c r="A316" s="4"/>
      <c r="B316" s="4"/>
      <c r="C316" s="4"/>
    </row>
    <row r="317" spans="1:3" ht="15.75" customHeight="1">
      <c r="A317" s="4"/>
      <c r="B317" s="4"/>
      <c r="C317" s="4"/>
    </row>
    <row r="318" spans="1:3" ht="15.75" customHeight="1">
      <c r="A318" s="4"/>
      <c r="B318" s="4"/>
      <c r="C318" s="4"/>
    </row>
    <row r="319" spans="1:3" ht="15.75" customHeight="1">
      <c r="A319" s="4"/>
      <c r="B319" s="4"/>
      <c r="C319" s="4"/>
    </row>
    <row r="320" spans="1:3" ht="15.75" customHeight="1">
      <c r="A320" s="4"/>
      <c r="B320" s="4"/>
      <c r="C320" s="4"/>
    </row>
    <row r="321" spans="1:3" ht="15.75" customHeight="1">
      <c r="A321" s="4"/>
      <c r="B321" s="4"/>
      <c r="C321" s="4"/>
    </row>
    <row r="322" spans="1:3" ht="15.75" customHeight="1">
      <c r="A322" s="4"/>
      <c r="B322" s="4"/>
      <c r="C322" s="4"/>
    </row>
    <row r="323" spans="1:3" ht="15.75" customHeight="1">
      <c r="A323" s="4"/>
      <c r="B323" s="4"/>
      <c r="C323" s="4"/>
    </row>
    <row r="324" spans="1:3" ht="15.75" customHeight="1">
      <c r="A324" s="4"/>
      <c r="B324" s="4"/>
      <c r="C324" s="4"/>
    </row>
    <row r="325" spans="1:3" ht="15.75" customHeight="1">
      <c r="A325" s="4"/>
      <c r="B325" s="4"/>
      <c r="C325" s="4"/>
    </row>
    <row r="326" spans="1:3" ht="15.75" customHeight="1">
      <c r="A326" s="4"/>
      <c r="B326" s="4"/>
      <c r="C326" s="4"/>
    </row>
    <row r="327" spans="1:3" ht="15.75" customHeight="1">
      <c r="A327" s="4"/>
      <c r="B327" s="4"/>
      <c r="C327" s="4"/>
    </row>
    <row r="328" spans="1:3" ht="15.75" customHeight="1">
      <c r="A328" s="4"/>
      <c r="B328" s="4"/>
      <c r="C328" s="4"/>
    </row>
    <row r="329" spans="1:3" ht="15.75" customHeight="1">
      <c r="A329" s="4"/>
      <c r="B329" s="4"/>
      <c r="C329" s="4"/>
    </row>
    <row r="330" spans="1:3" ht="15.75" customHeight="1">
      <c r="A330" s="4"/>
      <c r="B330" s="4"/>
      <c r="C330" s="4"/>
    </row>
    <row r="331" spans="1:3" ht="15.75" customHeight="1">
      <c r="A331" s="4"/>
      <c r="B331" s="4"/>
      <c r="C331" s="4"/>
    </row>
    <row r="332" spans="1:3" ht="15.75" customHeight="1">
      <c r="A332" s="4"/>
      <c r="B332" s="4"/>
      <c r="C332" s="4"/>
    </row>
    <row r="333" spans="1:3" ht="15.75" customHeight="1">
      <c r="A333" s="4"/>
      <c r="B333" s="4"/>
      <c r="C333" s="4"/>
    </row>
    <row r="334" spans="1:3" ht="15.75" customHeight="1">
      <c r="A334" s="4"/>
      <c r="B334" s="4"/>
      <c r="C334" s="4"/>
    </row>
    <row r="335" spans="1:3" ht="15.75" customHeight="1">
      <c r="A335" s="4"/>
      <c r="B335" s="4"/>
      <c r="C335" s="4"/>
    </row>
    <row r="336" spans="1:3" ht="15.75" customHeight="1">
      <c r="A336" s="4"/>
      <c r="B336" s="4"/>
      <c r="C336" s="4"/>
    </row>
    <row r="337" spans="1:3" ht="15.75" customHeight="1">
      <c r="A337" s="4"/>
      <c r="B337" s="4"/>
      <c r="C337" s="4"/>
    </row>
    <row r="338" spans="1:3" ht="15.75" customHeight="1">
      <c r="A338" s="4"/>
      <c r="B338" s="4"/>
      <c r="C338" s="4"/>
    </row>
    <row r="339" spans="1:3" ht="15.75" customHeight="1">
      <c r="A339" s="4"/>
      <c r="B339" s="4"/>
      <c r="C339" s="4"/>
    </row>
    <row r="340" spans="1:3" ht="15.75" customHeight="1">
      <c r="A340" s="4"/>
      <c r="B340" s="4"/>
      <c r="C340" s="4"/>
    </row>
    <row r="341" spans="1:3" ht="15.75" customHeight="1">
      <c r="A341" s="4"/>
      <c r="B341" s="4"/>
      <c r="C341" s="4"/>
    </row>
    <row r="342" spans="1:3" ht="15.75" customHeight="1">
      <c r="A342" s="4"/>
      <c r="B342" s="4"/>
      <c r="C342" s="4"/>
    </row>
    <row r="343" spans="1:3" ht="15.75" customHeight="1">
      <c r="A343" s="4"/>
      <c r="B343" s="4"/>
      <c r="C343" s="4"/>
    </row>
    <row r="344" spans="1:3" ht="15.75" customHeight="1">
      <c r="A344" s="4"/>
      <c r="B344" s="4"/>
      <c r="C344" s="4"/>
    </row>
    <row r="345" spans="1:3" ht="15.75" customHeight="1">
      <c r="A345" s="4"/>
      <c r="B345" s="4"/>
      <c r="C345" s="4"/>
    </row>
    <row r="346" spans="1:3" ht="15.75" customHeight="1">
      <c r="A346" s="4"/>
      <c r="B346" s="4"/>
      <c r="C346" s="4"/>
    </row>
    <row r="347" spans="1:3" ht="15.75" customHeight="1">
      <c r="A347" s="4"/>
      <c r="B347" s="4"/>
      <c r="C347" s="4"/>
    </row>
    <row r="348" spans="1:3" ht="15.75" customHeight="1">
      <c r="A348" s="4"/>
      <c r="B348" s="4"/>
      <c r="C348" s="4"/>
    </row>
    <row r="349" spans="1:3" ht="15.75" customHeight="1">
      <c r="A349" s="4"/>
      <c r="B349" s="4"/>
      <c r="C349" s="4"/>
    </row>
    <row r="350" spans="1:3" ht="15.75" customHeight="1">
      <c r="A350" s="4"/>
      <c r="B350" s="4"/>
      <c r="C350" s="4"/>
    </row>
    <row r="351" spans="1:3" ht="15.75" customHeight="1">
      <c r="A351" s="4"/>
      <c r="B351" s="4"/>
      <c r="C351" s="4"/>
    </row>
    <row r="352" spans="1:3" ht="15.75" customHeight="1">
      <c r="A352" s="4"/>
      <c r="B352" s="4"/>
      <c r="C352" s="4"/>
    </row>
    <row r="353" spans="1:3" ht="15.75" customHeight="1">
      <c r="A353" s="4"/>
      <c r="B353" s="4"/>
      <c r="C353" s="4"/>
    </row>
    <row r="354" spans="1:3" ht="15.75" customHeight="1">
      <c r="A354" s="4"/>
      <c r="B354" s="4"/>
      <c r="C354" s="4"/>
    </row>
    <row r="355" spans="1:3" ht="15.75" customHeight="1">
      <c r="A355" s="4"/>
      <c r="B355" s="4"/>
      <c r="C355" s="4"/>
    </row>
    <row r="356" spans="1:3" ht="15.75" customHeight="1">
      <c r="A356" s="4"/>
      <c r="B356" s="4"/>
      <c r="C356" s="4"/>
    </row>
    <row r="357" spans="1:3" ht="15.75" customHeight="1">
      <c r="A357" s="4"/>
      <c r="B357" s="4"/>
      <c r="C357" s="4"/>
    </row>
    <row r="358" spans="1:3" ht="15.75" customHeight="1">
      <c r="A358" s="4"/>
      <c r="B358" s="4"/>
      <c r="C358" s="4"/>
    </row>
    <row r="359" spans="1:3" ht="15.75" customHeight="1">
      <c r="A359" s="4"/>
      <c r="B359" s="4"/>
      <c r="C359" s="4"/>
    </row>
    <row r="360" spans="1:3" ht="15.75" customHeight="1">
      <c r="A360" s="4"/>
      <c r="B360" s="4"/>
      <c r="C360" s="4"/>
    </row>
    <row r="361" spans="1:3" ht="15.75" customHeight="1">
      <c r="A361" s="4"/>
      <c r="B361" s="4"/>
      <c r="C361" s="4"/>
    </row>
    <row r="362" spans="1:3" ht="15.75" customHeight="1">
      <c r="A362" s="4"/>
      <c r="B362" s="4"/>
      <c r="C362" s="4"/>
    </row>
    <row r="363" spans="1:3" ht="15.75" customHeight="1">
      <c r="A363" s="4"/>
      <c r="B363" s="4"/>
      <c r="C363" s="4"/>
    </row>
    <row r="364" spans="1:3" ht="15.75" customHeight="1">
      <c r="A364" s="4"/>
      <c r="B364" s="4"/>
      <c r="C364" s="4"/>
    </row>
    <row r="365" spans="1:3" ht="15.75" customHeight="1">
      <c r="A365" s="4"/>
      <c r="B365" s="4"/>
      <c r="C365" s="4"/>
    </row>
    <row r="366" spans="1:3" ht="15.75" customHeight="1">
      <c r="A366" s="4"/>
      <c r="B366" s="4"/>
      <c r="C366" s="4"/>
    </row>
    <row r="367" spans="1:3" ht="15.75" customHeight="1">
      <c r="A367" s="4"/>
      <c r="B367" s="4"/>
      <c r="C367" s="4"/>
    </row>
    <row r="368" spans="1:3" ht="15.75" customHeight="1">
      <c r="A368" s="4"/>
      <c r="B368" s="4"/>
      <c r="C368" s="4"/>
    </row>
    <row r="369" spans="1:3" ht="15.75" customHeight="1">
      <c r="A369" s="4"/>
      <c r="B369" s="4"/>
      <c r="C369" s="4"/>
    </row>
    <row r="370" spans="1:3" ht="15.75" customHeight="1">
      <c r="A370" s="4"/>
      <c r="B370" s="4"/>
      <c r="C370" s="4"/>
    </row>
    <row r="371" spans="1:3" ht="15.75" customHeight="1">
      <c r="A371" s="4"/>
      <c r="B371" s="4"/>
      <c r="C371" s="4"/>
    </row>
    <row r="372" spans="1:3" ht="15.75" customHeight="1">
      <c r="A372" s="4"/>
      <c r="B372" s="4"/>
      <c r="C372" s="4"/>
    </row>
    <row r="373" spans="1:3" ht="15.75" customHeight="1">
      <c r="A373" s="4"/>
      <c r="B373" s="4"/>
      <c r="C373" s="4"/>
    </row>
    <row r="374" spans="1:3" ht="15.75" customHeight="1">
      <c r="A374" s="4"/>
      <c r="B374" s="4"/>
      <c r="C374" s="4"/>
    </row>
    <row r="375" spans="1:3" ht="15.75" customHeight="1">
      <c r="A375" s="4"/>
      <c r="B375" s="4"/>
      <c r="C375" s="4"/>
    </row>
    <row r="376" spans="1:3" ht="15.75" customHeight="1">
      <c r="A376" s="4"/>
      <c r="B376" s="4"/>
      <c r="C376" s="4"/>
    </row>
    <row r="377" spans="1:3" ht="15.75" customHeight="1">
      <c r="A377" s="4"/>
      <c r="B377" s="4"/>
      <c r="C377" s="4"/>
    </row>
    <row r="378" spans="1:3" ht="15.75" customHeight="1">
      <c r="A378" s="4"/>
      <c r="B378" s="4"/>
      <c r="C378" s="4"/>
    </row>
    <row r="379" spans="1:3" ht="15.75" customHeight="1">
      <c r="A379" s="4"/>
      <c r="B379" s="4"/>
      <c r="C379" s="4"/>
    </row>
    <row r="380" spans="1:3" ht="15.75" customHeight="1">
      <c r="A380" s="4"/>
      <c r="B380" s="4"/>
      <c r="C380" s="4"/>
    </row>
    <row r="381" spans="1:3" ht="15.75" customHeight="1">
      <c r="A381" s="4"/>
      <c r="B381" s="4"/>
      <c r="C381" s="4"/>
    </row>
    <row r="382" spans="1:3" ht="15.75" customHeight="1">
      <c r="A382" s="4"/>
      <c r="B382" s="4"/>
      <c r="C382" s="4"/>
    </row>
    <row r="383" spans="1:3" ht="15.75" customHeight="1">
      <c r="A383" s="4"/>
      <c r="B383" s="4"/>
      <c r="C383" s="4"/>
    </row>
    <row r="384" spans="1:3" ht="15.75" customHeight="1">
      <c r="A384" s="4"/>
      <c r="B384" s="4"/>
      <c r="C384" s="4"/>
    </row>
    <row r="385" spans="1:3" ht="15.75" customHeight="1">
      <c r="A385" s="4"/>
      <c r="B385" s="4"/>
      <c r="C385" s="4"/>
    </row>
    <row r="386" spans="1:3" ht="15.75" customHeight="1">
      <c r="A386" s="4"/>
      <c r="B386" s="4"/>
      <c r="C386" s="4"/>
    </row>
    <row r="387" spans="1:3" ht="15.75" customHeight="1">
      <c r="A387" s="4"/>
      <c r="B387" s="4"/>
      <c r="C387" s="4"/>
    </row>
    <row r="388" spans="1:3" ht="15.75" customHeight="1">
      <c r="A388" s="4"/>
      <c r="B388" s="4"/>
      <c r="C388" s="4"/>
    </row>
    <row r="389" spans="1:3" ht="15.75" customHeight="1">
      <c r="A389" s="4"/>
      <c r="B389" s="4"/>
      <c r="C389" s="4"/>
    </row>
    <row r="390" spans="1:3" ht="15.75" customHeight="1">
      <c r="A390" s="4"/>
      <c r="B390" s="4"/>
      <c r="C390" s="4"/>
    </row>
    <row r="391" spans="1:3" ht="15.75" customHeight="1">
      <c r="A391" s="4"/>
      <c r="B391" s="4"/>
      <c r="C391" s="4"/>
    </row>
    <row r="392" spans="1:3" ht="15.75" customHeight="1">
      <c r="A392" s="4"/>
      <c r="B392" s="4"/>
      <c r="C392" s="4"/>
    </row>
    <row r="393" spans="1:3" ht="15.75" customHeight="1">
      <c r="A393" s="4"/>
      <c r="B393" s="4"/>
      <c r="C393" s="4"/>
    </row>
    <row r="394" spans="1:3" ht="15.75" customHeight="1">
      <c r="A394" s="4"/>
      <c r="B394" s="4"/>
      <c r="C394" s="4"/>
    </row>
    <row r="395" spans="1:3" ht="15.75" customHeight="1">
      <c r="A395" s="4"/>
      <c r="B395" s="4"/>
      <c r="C395" s="4"/>
    </row>
    <row r="396" spans="1:3" ht="15.75" customHeight="1">
      <c r="A396" s="4"/>
      <c r="B396" s="4"/>
      <c r="C396" s="4"/>
    </row>
    <row r="397" spans="1:3" ht="15.75" customHeight="1">
      <c r="A397" s="4"/>
      <c r="B397" s="4"/>
      <c r="C397" s="4"/>
    </row>
    <row r="398" spans="1:3" ht="15.75" customHeight="1">
      <c r="A398" s="4"/>
      <c r="B398" s="4"/>
      <c r="C398" s="4"/>
    </row>
    <row r="399" spans="1:3" ht="15.75" customHeight="1">
      <c r="A399" s="4"/>
      <c r="B399" s="4"/>
      <c r="C399" s="4"/>
    </row>
    <row r="400" spans="1:3" ht="15.75" customHeight="1">
      <c r="A400" s="4"/>
      <c r="B400" s="4"/>
      <c r="C400" s="4"/>
    </row>
    <row r="401" spans="1:3" ht="15.75" customHeight="1">
      <c r="A401" s="4"/>
      <c r="B401" s="4"/>
      <c r="C401" s="4"/>
    </row>
    <row r="402" spans="1:3" ht="15.75" customHeight="1">
      <c r="A402" s="4"/>
      <c r="B402" s="4"/>
      <c r="C402" s="4"/>
    </row>
    <row r="403" spans="1:3" ht="15.75" customHeight="1">
      <c r="A403" s="4"/>
      <c r="B403" s="4"/>
      <c r="C403" s="4"/>
    </row>
    <row r="404" spans="1:3" ht="15.75" customHeight="1">
      <c r="A404" s="4"/>
      <c r="B404" s="4"/>
      <c r="C404" s="4"/>
    </row>
    <row r="405" spans="1:3" ht="15.75" customHeight="1">
      <c r="A405" s="4"/>
      <c r="B405" s="4"/>
      <c r="C405" s="4"/>
    </row>
    <row r="406" spans="1:3" ht="15.75" customHeight="1">
      <c r="A406" s="4"/>
      <c r="B406" s="4"/>
      <c r="C406" s="4"/>
    </row>
    <row r="407" spans="1:3" ht="15.75" customHeight="1">
      <c r="A407" s="4"/>
      <c r="B407" s="4"/>
      <c r="C407" s="4"/>
    </row>
    <row r="408" spans="1:3" ht="15.75" customHeight="1">
      <c r="A408" s="4"/>
      <c r="B408" s="4"/>
      <c r="C408" s="4"/>
    </row>
    <row r="409" spans="1:3" ht="15.75" customHeight="1">
      <c r="A409" s="4"/>
      <c r="B409" s="4"/>
      <c r="C409" s="4"/>
    </row>
    <row r="410" spans="1:3" ht="15.75" customHeight="1">
      <c r="A410" s="4"/>
      <c r="B410" s="4"/>
      <c r="C410" s="4"/>
    </row>
    <row r="411" spans="1:3" ht="15.75" customHeight="1">
      <c r="A411" s="4"/>
      <c r="B411" s="4"/>
      <c r="C411" s="4"/>
    </row>
    <row r="412" spans="1:3" ht="15.75" customHeight="1">
      <c r="A412" s="4"/>
      <c r="B412" s="4"/>
      <c r="C412" s="4"/>
    </row>
    <row r="413" spans="1:3" ht="15.75" customHeight="1">
      <c r="A413" s="4"/>
      <c r="B413" s="4"/>
      <c r="C413" s="4"/>
    </row>
    <row r="414" spans="1:3" ht="15.75" customHeight="1">
      <c r="A414" s="4"/>
      <c r="B414" s="4"/>
      <c r="C414" s="4"/>
    </row>
    <row r="415" spans="1:3" ht="15.75" customHeight="1">
      <c r="A415" s="4"/>
      <c r="B415" s="4"/>
      <c r="C415" s="4"/>
    </row>
    <row r="416" spans="1:3" ht="15.75" customHeight="1">
      <c r="A416" s="4"/>
      <c r="B416" s="4"/>
      <c r="C416" s="4"/>
    </row>
    <row r="417" spans="1:3" ht="15.75" customHeight="1">
      <c r="A417" s="4"/>
      <c r="B417" s="4"/>
      <c r="C417" s="4"/>
    </row>
    <row r="418" spans="1:3" ht="15.75" customHeight="1">
      <c r="A418" s="4"/>
      <c r="B418" s="4"/>
      <c r="C418" s="4"/>
    </row>
    <row r="419" spans="1:3" ht="15.75" customHeight="1">
      <c r="A419" s="4"/>
      <c r="B419" s="4"/>
      <c r="C419" s="4"/>
    </row>
    <row r="420" spans="1:3" ht="15.75" customHeight="1">
      <c r="A420" s="4"/>
      <c r="B420" s="4"/>
      <c r="C420" s="4"/>
    </row>
    <row r="421" spans="1:3" ht="15.75" customHeight="1">
      <c r="A421" s="4"/>
      <c r="B421" s="4"/>
      <c r="C421" s="4"/>
    </row>
    <row r="422" spans="1:3" ht="15.75" customHeight="1">
      <c r="A422" s="4"/>
      <c r="B422" s="4"/>
      <c r="C422" s="4"/>
    </row>
    <row r="423" spans="1:3" ht="15.75" customHeight="1">
      <c r="A423" s="4"/>
      <c r="B423" s="4"/>
      <c r="C423" s="4"/>
    </row>
    <row r="424" spans="1:3" ht="15.75" customHeight="1">
      <c r="A424" s="4"/>
      <c r="B424" s="4"/>
      <c r="C424" s="4"/>
    </row>
    <row r="425" spans="1:3" ht="15.75" customHeight="1">
      <c r="A425" s="4"/>
      <c r="B425" s="4"/>
      <c r="C425" s="4"/>
    </row>
    <row r="426" spans="1:3" ht="15.75" customHeight="1">
      <c r="A426" s="4"/>
      <c r="B426" s="4"/>
      <c r="C426" s="4"/>
    </row>
    <row r="427" spans="1:3" ht="15.75" customHeight="1">
      <c r="A427" s="4"/>
      <c r="B427" s="4"/>
      <c r="C427" s="4"/>
    </row>
    <row r="428" spans="1:3" ht="15.75" customHeight="1">
      <c r="A428" s="4"/>
      <c r="B428" s="4"/>
      <c r="C428" s="4"/>
    </row>
    <row r="429" spans="1:3" ht="15.75" customHeight="1">
      <c r="A429" s="4"/>
      <c r="B429" s="4"/>
      <c r="C429" s="4"/>
    </row>
    <row r="430" spans="1:3" ht="15.75" customHeight="1">
      <c r="A430" s="4"/>
      <c r="B430" s="4"/>
      <c r="C430" s="4"/>
    </row>
    <row r="431" spans="1:3" ht="15.75" customHeight="1">
      <c r="A431" s="4"/>
      <c r="B431" s="4"/>
      <c r="C431" s="4"/>
    </row>
    <row r="432" spans="1:3" ht="15.75" customHeight="1">
      <c r="A432" s="4"/>
      <c r="B432" s="4"/>
      <c r="C432" s="4"/>
    </row>
    <row r="433" spans="1:3" ht="15.75" customHeight="1">
      <c r="A433" s="4"/>
      <c r="B433" s="4"/>
      <c r="C433" s="4"/>
    </row>
    <row r="434" spans="1:3" ht="15.75" customHeight="1">
      <c r="A434" s="4"/>
      <c r="B434" s="4"/>
      <c r="C434" s="4"/>
    </row>
    <row r="435" spans="1:3" ht="15.75" customHeight="1">
      <c r="A435" s="4"/>
      <c r="B435" s="4"/>
      <c r="C435" s="4"/>
    </row>
    <row r="436" spans="1:3" ht="15.75" customHeight="1">
      <c r="A436" s="4"/>
      <c r="B436" s="4"/>
      <c r="C436" s="4"/>
    </row>
    <row r="437" spans="1:3" ht="15.75" customHeight="1">
      <c r="A437" s="4"/>
      <c r="B437" s="4"/>
      <c r="C437" s="4"/>
    </row>
    <row r="438" spans="1:3" ht="15.75" customHeight="1">
      <c r="A438" s="4"/>
      <c r="B438" s="4"/>
      <c r="C438" s="4"/>
    </row>
    <row r="439" spans="1:3" ht="15.75" customHeight="1">
      <c r="A439" s="4"/>
      <c r="B439" s="4"/>
      <c r="C439" s="4"/>
    </row>
    <row r="440" spans="1:3" ht="15.75" customHeight="1">
      <c r="A440" s="4"/>
      <c r="B440" s="4"/>
      <c r="C440" s="4"/>
    </row>
    <row r="441" spans="1:3" ht="15.75" customHeight="1">
      <c r="A441" s="4"/>
      <c r="B441" s="4"/>
      <c r="C441" s="4"/>
    </row>
    <row r="442" spans="1:3" ht="15.75" customHeight="1">
      <c r="A442" s="4"/>
      <c r="B442" s="4"/>
      <c r="C442" s="4"/>
    </row>
    <row r="443" spans="1:3" ht="15.75" customHeight="1">
      <c r="A443" s="4"/>
      <c r="B443" s="4"/>
      <c r="C443" s="4"/>
    </row>
    <row r="444" spans="1:3" ht="15.75" customHeight="1">
      <c r="A444" s="4"/>
      <c r="B444" s="4"/>
      <c r="C444" s="4"/>
    </row>
    <row r="445" spans="1:3" ht="15.75" customHeight="1">
      <c r="A445" s="4"/>
      <c r="B445" s="4"/>
      <c r="C445" s="4"/>
    </row>
    <row r="446" spans="1:3" ht="15.75" customHeight="1">
      <c r="A446" s="4"/>
      <c r="B446" s="4"/>
      <c r="C446" s="4"/>
    </row>
    <row r="447" spans="1:3" ht="15.75" customHeight="1">
      <c r="A447" s="4"/>
      <c r="B447" s="4"/>
      <c r="C447" s="4"/>
    </row>
    <row r="448" spans="1:3" ht="15.75" customHeight="1">
      <c r="A448" s="4"/>
      <c r="B448" s="4"/>
      <c r="C448" s="4"/>
    </row>
    <row r="449" spans="1:3" ht="15.75" customHeight="1">
      <c r="A449" s="4"/>
      <c r="B449" s="4"/>
      <c r="C449" s="4"/>
    </row>
    <row r="450" spans="1:3" ht="15.75" customHeight="1">
      <c r="A450" s="4"/>
      <c r="B450" s="4"/>
      <c r="C450" s="4"/>
    </row>
    <row r="451" spans="1:3" ht="15.75" customHeight="1">
      <c r="A451" s="4"/>
      <c r="B451" s="4"/>
      <c r="C451" s="4"/>
    </row>
    <row r="452" spans="1:3" ht="15.75" customHeight="1">
      <c r="A452" s="4"/>
      <c r="B452" s="4"/>
      <c r="C452" s="4"/>
    </row>
    <row r="453" spans="1:3" ht="15.75" customHeight="1">
      <c r="A453" s="4"/>
      <c r="B453" s="4"/>
      <c r="C453" s="4"/>
    </row>
    <row r="454" spans="1:3" ht="15.75" customHeight="1">
      <c r="A454" s="4"/>
      <c r="B454" s="4"/>
      <c r="C454" s="4"/>
    </row>
    <row r="455" spans="1:3" ht="15.75" customHeight="1">
      <c r="A455" s="4"/>
      <c r="B455" s="4"/>
      <c r="C455" s="4"/>
    </row>
    <row r="456" spans="1:3" ht="15.75" customHeight="1">
      <c r="A456" s="4"/>
      <c r="B456" s="4"/>
      <c r="C456" s="4"/>
    </row>
    <row r="457" spans="1:3" ht="15.75" customHeight="1">
      <c r="A457" s="4"/>
      <c r="B457" s="4"/>
      <c r="C457" s="4"/>
    </row>
    <row r="458" spans="1:3" ht="15.75" customHeight="1">
      <c r="A458" s="4"/>
      <c r="B458" s="4"/>
      <c r="C458" s="4"/>
    </row>
    <row r="459" spans="1:3" ht="15.75" customHeight="1">
      <c r="A459" s="4"/>
      <c r="B459" s="4"/>
      <c r="C459" s="4"/>
    </row>
    <row r="460" spans="1:3" ht="15.75" customHeight="1">
      <c r="A460" s="4"/>
      <c r="B460" s="4"/>
      <c r="C460" s="4"/>
    </row>
    <row r="461" spans="1:3" ht="15.75" customHeight="1">
      <c r="A461" s="4"/>
      <c r="B461" s="4"/>
      <c r="C461" s="4"/>
    </row>
    <row r="462" spans="1:3" ht="15.75" customHeight="1">
      <c r="A462" s="4"/>
      <c r="B462" s="4"/>
      <c r="C462" s="4"/>
    </row>
    <row r="463" spans="1:3" ht="15.75" customHeight="1">
      <c r="A463" s="4"/>
      <c r="B463" s="4"/>
      <c r="C463" s="4"/>
    </row>
    <row r="464" spans="1:3" ht="15.75" customHeight="1">
      <c r="A464" s="4"/>
      <c r="B464" s="4"/>
      <c r="C464" s="4"/>
    </row>
    <row r="465" spans="1:3" ht="15.75" customHeight="1">
      <c r="A465" s="4"/>
      <c r="B465" s="4"/>
      <c r="C465" s="4"/>
    </row>
    <row r="466" spans="1:3" ht="15.75" customHeight="1">
      <c r="A466" s="4"/>
      <c r="B466" s="4"/>
      <c r="C466" s="4"/>
    </row>
    <row r="467" spans="1:3" ht="15.75" customHeight="1">
      <c r="A467" s="4"/>
      <c r="B467" s="4"/>
      <c r="C467" s="4"/>
    </row>
    <row r="468" spans="1:3" ht="15.75" customHeight="1">
      <c r="A468" s="4"/>
      <c r="B468" s="4"/>
      <c r="C468" s="4"/>
    </row>
    <row r="469" spans="1:3" ht="15.75" customHeight="1">
      <c r="A469" s="4"/>
      <c r="B469" s="4"/>
      <c r="C469" s="4"/>
    </row>
    <row r="470" spans="1:3" ht="15.75" customHeight="1">
      <c r="A470" s="4"/>
      <c r="B470" s="4"/>
      <c r="C470" s="4"/>
    </row>
    <row r="471" spans="1:3" ht="15.75" customHeight="1">
      <c r="A471" s="4"/>
      <c r="B471" s="4"/>
      <c r="C471" s="4"/>
    </row>
    <row r="472" spans="1:3" ht="15.75" customHeight="1">
      <c r="A472" s="4"/>
      <c r="B472" s="4"/>
      <c r="C472" s="4"/>
    </row>
    <row r="473" spans="1:3" ht="15.75" customHeight="1">
      <c r="A473" s="4"/>
      <c r="B473" s="4"/>
      <c r="C473" s="4"/>
    </row>
    <row r="474" spans="1:3" ht="15.75" customHeight="1">
      <c r="A474" s="4"/>
      <c r="B474" s="4"/>
      <c r="C474" s="4"/>
    </row>
    <row r="475" spans="1:3" ht="15.75" customHeight="1">
      <c r="A475" s="4"/>
      <c r="B475" s="4"/>
      <c r="C475" s="4"/>
    </row>
    <row r="476" spans="1:3" ht="15.75" customHeight="1">
      <c r="A476" s="4"/>
      <c r="B476" s="4"/>
      <c r="C476" s="4"/>
    </row>
    <row r="477" spans="1:3" ht="15.75" customHeight="1">
      <c r="A477" s="4"/>
      <c r="B477" s="4"/>
      <c r="C477" s="4"/>
    </row>
    <row r="478" spans="1:3" ht="15.75" customHeight="1">
      <c r="A478" s="4"/>
      <c r="B478" s="4"/>
      <c r="C478" s="4"/>
    </row>
    <row r="479" spans="1:3" ht="15.75" customHeight="1">
      <c r="A479" s="4"/>
      <c r="B479" s="4"/>
      <c r="C479" s="4"/>
    </row>
    <row r="480" spans="1:3" ht="15.75" customHeight="1">
      <c r="A480" s="4"/>
      <c r="B480" s="4"/>
      <c r="C480" s="4"/>
    </row>
    <row r="481" spans="1:3" ht="15.75" customHeight="1">
      <c r="A481" s="4"/>
      <c r="B481" s="4"/>
      <c r="C481" s="4"/>
    </row>
    <row r="482" spans="1:3" ht="15.75" customHeight="1">
      <c r="A482" s="4"/>
      <c r="B482" s="4"/>
      <c r="C482" s="4"/>
    </row>
    <row r="483" spans="1:3" ht="15.75" customHeight="1">
      <c r="A483" s="4"/>
      <c r="B483" s="4"/>
      <c r="C483" s="4"/>
    </row>
    <row r="484" spans="1:3" ht="15.75" customHeight="1">
      <c r="A484" s="4"/>
      <c r="B484" s="4"/>
      <c r="C484" s="4"/>
    </row>
    <row r="485" spans="1:3" ht="15.75" customHeight="1">
      <c r="A485" s="4"/>
      <c r="B485" s="4"/>
      <c r="C485" s="4"/>
    </row>
    <row r="486" spans="1:3" ht="15.75" customHeight="1">
      <c r="A486" s="4"/>
      <c r="B486" s="4"/>
      <c r="C486" s="4"/>
    </row>
    <row r="487" spans="1:3" ht="15.75" customHeight="1">
      <c r="A487" s="4"/>
      <c r="B487" s="4"/>
      <c r="C487" s="4"/>
    </row>
    <row r="488" spans="1:3" ht="15.75" customHeight="1">
      <c r="A488" s="4"/>
      <c r="B488" s="4"/>
      <c r="C488" s="4"/>
    </row>
    <row r="489" spans="1:3" ht="15.75" customHeight="1">
      <c r="A489" s="4"/>
      <c r="B489" s="4"/>
      <c r="C489" s="4"/>
    </row>
    <row r="490" spans="1:3" ht="15.75" customHeight="1">
      <c r="A490" s="4"/>
      <c r="B490" s="4"/>
      <c r="C490" s="4"/>
    </row>
    <row r="491" spans="1:3" ht="15.75" customHeight="1">
      <c r="A491" s="4"/>
      <c r="B491" s="4"/>
      <c r="C491" s="4"/>
    </row>
    <row r="492" spans="1:3" ht="15.75" customHeight="1">
      <c r="A492" s="4"/>
      <c r="B492" s="4"/>
      <c r="C492" s="4"/>
    </row>
    <row r="493" spans="1:3" ht="15.75" customHeight="1">
      <c r="A493" s="4"/>
      <c r="B493" s="4"/>
      <c r="C493" s="4"/>
    </row>
    <row r="494" spans="1:3" ht="15.75" customHeight="1">
      <c r="A494" s="4"/>
      <c r="B494" s="4"/>
      <c r="C494" s="4"/>
    </row>
    <row r="495" spans="1:3" ht="15.75" customHeight="1">
      <c r="A495" s="4"/>
      <c r="B495" s="4"/>
      <c r="C495" s="4"/>
    </row>
    <row r="496" spans="1:3" ht="15.75" customHeight="1">
      <c r="A496" s="4"/>
      <c r="B496" s="4"/>
      <c r="C496" s="4"/>
    </row>
    <row r="497" spans="1:3" ht="15.75" customHeight="1">
      <c r="A497" s="4"/>
      <c r="B497" s="4"/>
      <c r="C497" s="4"/>
    </row>
    <row r="498" spans="1:3" ht="15.75" customHeight="1">
      <c r="A498" s="4"/>
      <c r="B498" s="4"/>
      <c r="C498" s="4"/>
    </row>
    <row r="499" spans="1:3" ht="15.75" customHeight="1">
      <c r="A499" s="4"/>
      <c r="B499" s="4"/>
      <c r="C499" s="4"/>
    </row>
    <row r="500" spans="1:3" ht="15.75" customHeight="1">
      <c r="A500" s="4"/>
      <c r="B500" s="4"/>
      <c r="C500" s="4"/>
    </row>
    <row r="501" spans="1:3" ht="15.75" customHeight="1">
      <c r="A501" s="4"/>
      <c r="B501" s="4"/>
      <c r="C501" s="4"/>
    </row>
    <row r="502" spans="1:3" ht="15.75" customHeight="1">
      <c r="A502" s="4"/>
      <c r="B502" s="4"/>
      <c r="C502" s="4"/>
    </row>
    <row r="503" spans="1:3" ht="15.75" customHeight="1">
      <c r="A503" s="4"/>
      <c r="B503" s="4"/>
      <c r="C503" s="4"/>
    </row>
    <row r="504" spans="1:3" ht="15.75" customHeight="1">
      <c r="A504" s="4"/>
      <c r="B504" s="4"/>
      <c r="C504" s="4"/>
    </row>
    <row r="505" spans="1:3" ht="15.75" customHeight="1">
      <c r="A505" s="4"/>
      <c r="B505" s="4"/>
      <c r="C505" s="4"/>
    </row>
    <row r="506" spans="1:3" ht="15.75" customHeight="1">
      <c r="A506" s="4"/>
      <c r="B506" s="4"/>
      <c r="C506" s="4"/>
    </row>
    <row r="507" spans="1:3" ht="15.75" customHeight="1">
      <c r="A507" s="4"/>
      <c r="B507" s="4"/>
      <c r="C507" s="4"/>
    </row>
    <row r="508" spans="1:3" ht="15.75" customHeight="1">
      <c r="A508" s="4"/>
      <c r="B508" s="4"/>
      <c r="C508" s="4"/>
    </row>
    <row r="509" spans="1:3" ht="15.75" customHeight="1">
      <c r="A509" s="4"/>
      <c r="B509" s="4"/>
      <c r="C509" s="4"/>
    </row>
    <row r="510" spans="1:3" ht="15.75" customHeight="1">
      <c r="A510" s="4"/>
      <c r="B510" s="4"/>
      <c r="C510" s="4"/>
    </row>
    <row r="511" spans="1:3" ht="15.75" customHeight="1">
      <c r="A511" s="4"/>
      <c r="B511" s="4"/>
      <c r="C511" s="4"/>
    </row>
    <row r="512" spans="1:3" ht="15.75" customHeight="1">
      <c r="A512" s="4"/>
      <c r="B512" s="4"/>
      <c r="C512" s="4"/>
    </row>
    <row r="513" spans="1:3" ht="15.75" customHeight="1">
      <c r="A513" s="4"/>
      <c r="B513" s="4"/>
      <c r="C513" s="4"/>
    </row>
    <row r="514" spans="1:3" ht="15.75" customHeight="1">
      <c r="A514" s="4"/>
      <c r="B514" s="4"/>
      <c r="C514" s="4"/>
    </row>
    <row r="515" spans="1:3" ht="15.75" customHeight="1">
      <c r="A515" s="4"/>
      <c r="B515" s="4"/>
      <c r="C515" s="4"/>
    </row>
    <row r="516" spans="1:3" ht="15.75" customHeight="1">
      <c r="A516" s="4"/>
      <c r="B516" s="4"/>
      <c r="C516" s="4"/>
    </row>
    <row r="517" spans="1:3" ht="15.75" customHeight="1">
      <c r="A517" s="4"/>
      <c r="B517" s="4"/>
      <c r="C517" s="4"/>
    </row>
    <row r="518" spans="1:3" ht="15.75" customHeight="1">
      <c r="A518" s="4"/>
      <c r="B518" s="4"/>
      <c r="C518" s="4"/>
    </row>
    <row r="519" spans="1:3" ht="15.75" customHeight="1">
      <c r="A519" s="4"/>
      <c r="B519" s="4"/>
      <c r="C519" s="4"/>
    </row>
    <row r="520" spans="1:3" ht="15.75" customHeight="1">
      <c r="A520" s="4"/>
      <c r="B520" s="4"/>
      <c r="C520" s="4"/>
    </row>
    <row r="521" spans="1:3" ht="15.75" customHeight="1">
      <c r="A521" s="4"/>
      <c r="B521" s="4"/>
      <c r="C521" s="4"/>
    </row>
    <row r="522" spans="1:3" ht="15.75" customHeight="1">
      <c r="A522" s="4"/>
      <c r="B522" s="4"/>
      <c r="C522" s="4"/>
    </row>
    <row r="523" spans="1:3" ht="15.75" customHeight="1">
      <c r="A523" s="4"/>
      <c r="B523" s="4"/>
      <c r="C523" s="4"/>
    </row>
    <row r="524" spans="1:3" ht="15.75" customHeight="1">
      <c r="A524" s="4"/>
      <c r="B524" s="4"/>
      <c r="C524" s="4"/>
    </row>
    <row r="525" spans="1:3" ht="15.75" customHeight="1">
      <c r="A525" s="4"/>
      <c r="B525" s="4"/>
      <c r="C525" s="4"/>
    </row>
    <row r="526" spans="1:3" ht="15.75" customHeight="1">
      <c r="A526" s="4"/>
      <c r="B526" s="4"/>
      <c r="C526" s="4"/>
    </row>
    <row r="527" spans="1:3" ht="15.75" customHeight="1">
      <c r="A527" s="4"/>
      <c r="B527" s="4"/>
      <c r="C527" s="4"/>
    </row>
    <row r="528" spans="1:3" ht="15.75" customHeight="1">
      <c r="A528" s="4"/>
      <c r="B528" s="4"/>
      <c r="C528" s="4"/>
    </row>
    <row r="529" spans="1:3" ht="15.75" customHeight="1">
      <c r="A529" s="4"/>
      <c r="B529" s="4"/>
      <c r="C529" s="4"/>
    </row>
    <row r="530" spans="1:3" ht="15.75" customHeight="1">
      <c r="A530" s="4"/>
      <c r="B530" s="4"/>
      <c r="C530" s="4"/>
    </row>
    <row r="531" spans="1:3" ht="15.75" customHeight="1">
      <c r="A531" s="4"/>
      <c r="B531" s="4"/>
      <c r="C531" s="4"/>
    </row>
    <row r="532" spans="1:3" ht="15.75" customHeight="1">
      <c r="A532" s="4"/>
      <c r="B532" s="4"/>
      <c r="C532" s="4"/>
    </row>
    <row r="533" spans="1:3" ht="15.75" customHeight="1">
      <c r="A533" s="4"/>
      <c r="B533" s="4"/>
      <c r="C533" s="4"/>
    </row>
    <row r="534" spans="1:3" ht="15.75" customHeight="1">
      <c r="A534" s="4"/>
      <c r="B534" s="4"/>
      <c r="C534" s="4"/>
    </row>
    <row r="535" spans="1:3" ht="15.75" customHeight="1">
      <c r="A535" s="4"/>
      <c r="B535" s="4"/>
      <c r="C535" s="4"/>
    </row>
    <row r="536" spans="1:3" ht="15.75" customHeight="1">
      <c r="A536" s="4"/>
      <c r="B536" s="4"/>
      <c r="C536" s="4"/>
    </row>
    <row r="537" spans="1:3" ht="15.75" customHeight="1">
      <c r="A537" s="4"/>
      <c r="B537" s="4"/>
      <c r="C537" s="4"/>
    </row>
    <row r="538" spans="1:3" ht="15.75" customHeight="1">
      <c r="A538" s="4"/>
      <c r="B538" s="4"/>
      <c r="C538" s="4"/>
    </row>
    <row r="539" spans="1:3" ht="15.75" customHeight="1">
      <c r="A539" s="4"/>
      <c r="B539" s="4"/>
      <c r="C539" s="4"/>
    </row>
    <row r="540" spans="1:3" ht="15.75" customHeight="1">
      <c r="A540" s="4"/>
      <c r="B540" s="4"/>
      <c r="C540" s="4"/>
    </row>
    <row r="541" spans="1:3" ht="15.75" customHeight="1">
      <c r="A541" s="4"/>
      <c r="B541" s="4"/>
      <c r="C541" s="4"/>
    </row>
    <row r="542" spans="1:3" ht="15.75" customHeight="1">
      <c r="A542" s="4"/>
      <c r="B542" s="4"/>
      <c r="C542" s="4"/>
    </row>
    <row r="543" spans="1:3" ht="15.75" customHeight="1">
      <c r="A543" s="4"/>
      <c r="B543" s="4"/>
      <c r="C543" s="4"/>
    </row>
    <row r="544" spans="1:3" ht="15.75" customHeight="1">
      <c r="A544" s="4"/>
      <c r="B544" s="4"/>
      <c r="C544" s="4"/>
    </row>
    <row r="545" spans="1:3" ht="15.75" customHeight="1">
      <c r="A545" s="4"/>
      <c r="B545" s="4"/>
      <c r="C545" s="4"/>
    </row>
    <row r="546" spans="1:3" ht="15.75" customHeight="1">
      <c r="A546" s="4"/>
      <c r="B546" s="4"/>
      <c r="C546" s="4"/>
    </row>
    <row r="547" spans="1:3" ht="15.75" customHeight="1">
      <c r="A547" s="4"/>
      <c r="B547" s="4"/>
      <c r="C547" s="4"/>
    </row>
    <row r="548" spans="1:3" ht="15.75" customHeight="1">
      <c r="A548" s="4"/>
      <c r="B548" s="4"/>
      <c r="C548" s="4"/>
    </row>
    <row r="549" spans="1:3" ht="15.75" customHeight="1">
      <c r="A549" s="4"/>
      <c r="B549" s="4"/>
      <c r="C549" s="4"/>
    </row>
    <row r="550" spans="1:3" ht="15.75" customHeight="1">
      <c r="A550" s="4"/>
      <c r="B550" s="4"/>
      <c r="C550" s="4"/>
    </row>
    <row r="551" spans="1:3" ht="15.75" customHeight="1">
      <c r="A551" s="4"/>
      <c r="B551" s="4"/>
      <c r="C551" s="4"/>
    </row>
    <row r="552" spans="1:3" ht="15.75" customHeight="1">
      <c r="A552" s="4"/>
      <c r="B552" s="4"/>
      <c r="C552" s="4"/>
    </row>
    <row r="553" spans="1:3" ht="15.75" customHeight="1">
      <c r="A553" s="4"/>
      <c r="B553" s="4"/>
      <c r="C553" s="4"/>
    </row>
    <row r="554" spans="1:3" ht="15.75" customHeight="1">
      <c r="A554" s="4"/>
      <c r="B554" s="4"/>
      <c r="C554" s="4"/>
    </row>
    <row r="555" spans="1:3" ht="15.75" customHeight="1">
      <c r="A555" s="4"/>
      <c r="B555" s="4"/>
      <c r="C555" s="4"/>
    </row>
    <row r="556" spans="1:3" ht="15.75" customHeight="1">
      <c r="A556" s="4"/>
      <c r="B556" s="4"/>
      <c r="C556" s="4"/>
    </row>
    <row r="557" spans="1:3" ht="15.75" customHeight="1">
      <c r="A557" s="4"/>
      <c r="B557" s="4"/>
      <c r="C557" s="4"/>
    </row>
    <row r="558" spans="1:3" ht="15.75" customHeight="1">
      <c r="A558" s="4"/>
      <c r="B558" s="4"/>
      <c r="C558" s="4"/>
    </row>
    <row r="559" spans="1:3" ht="15.75" customHeight="1">
      <c r="A559" s="4"/>
      <c r="B559" s="4"/>
      <c r="C559" s="4"/>
    </row>
    <row r="560" spans="1:3" ht="15.75" customHeight="1">
      <c r="A560" s="4"/>
      <c r="B560" s="4"/>
      <c r="C560" s="4"/>
    </row>
    <row r="561" spans="1:3" ht="15.75" customHeight="1">
      <c r="A561" s="4"/>
      <c r="B561" s="4"/>
      <c r="C561" s="4"/>
    </row>
    <row r="562" spans="1:3" ht="15.75" customHeight="1">
      <c r="A562" s="4"/>
      <c r="B562" s="4"/>
      <c r="C562" s="4"/>
    </row>
    <row r="563" spans="1:3" ht="15.75" customHeight="1">
      <c r="A563" s="4"/>
      <c r="B563" s="4"/>
      <c r="C563" s="4"/>
    </row>
    <row r="564" spans="1:3" ht="15.75" customHeight="1">
      <c r="A564" s="4"/>
      <c r="B564" s="4"/>
      <c r="C564" s="4"/>
    </row>
    <row r="565" spans="1:3" ht="15.75" customHeight="1">
      <c r="A565" s="4"/>
      <c r="B565" s="4"/>
      <c r="C565" s="4"/>
    </row>
    <row r="566" spans="1:3" ht="15.75" customHeight="1">
      <c r="A566" s="4"/>
      <c r="B566" s="4"/>
      <c r="C566" s="4"/>
    </row>
    <row r="567" spans="1:3" ht="15.75" customHeight="1">
      <c r="A567" s="4"/>
      <c r="B567" s="4"/>
      <c r="C567" s="4"/>
    </row>
    <row r="568" spans="1:3" ht="15.75" customHeight="1">
      <c r="A568" s="4"/>
      <c r="B568" s="4"/>
      <c r="C568" s="4"/>
    </row>
    <row r="569" spans="1:3" ht="15.75" customHeight="1">
      <c r="A569" s="4"/>
      <c r="B569" s="4"/>
      <c r="C569" s="4"/>
    </row>
    <row r="570" spans="1:3" ht="15.75" customHeight="1">
      <c r="A570" s="4"/>
      <c r="B570" s="4"/>
      <c r="C570" s="4"/>
    </row>
    <row r="571" spans="1:3" ht="15.75" customHeight="1">
      <c r="A571" s="4"/>
      <c r="B571" s="4"/>
      <c r="C571" s="4"/>
    </row>
    <row r="572" spans="1:3" ht="15.75" customHeight="1">
      <c r="A572" s="4"/>
      <c r="B572" s="4"/>
      <c r="C572" s="4"/>
    </row>
    <row r="573" spans="1:3" ht="15.75" customHeight="1">
      <c r="A573" s="4"/>
      <c r="B573" s="4"/>
      <c r="C573" s="4"/>
    </row>
    <row r="574" spans="1:3" ht="15.75" customHeight="1">
      <c r="A574" s="4"/>
      <c r="B574" s="4"/>
      <c r="C574" s="4"/>
    </row>
    <row r="575" spans="1:3" ht="15.75" customHeight="1">
      <c r="A575" s="4"/>
      <c r="B575" s="4"/>
      <c r="C575" s="4"/>
    </row>
    <row r="576" spans="1:3" ht="15.75" customHeight="1">
      <c r="A576" s="4"/>
      <c r="B576" s="4"/>
      <c r="C576" s="4"/>
    </row>
    <row r="577" spans="1:3" ht="15.75" customHeight="1">
      <c r="A577" s="4"/>
      <c r="B577" s="4"/>
      <c r="C577" s="4"/>
    </row>
    <row r="578" spans="1:3" ht="15.75" customHeight="1">
      <c r="A578" s="4"/>
      <c r="B578" s="4"/>
      <c r="C578" s="4"/>
    </row>
    <row r="579" spans="1:3" ht="15.75" customHeight="1">
      <c r="A579" s="4"/>
      <c r="B579" s="4"/>
      <c r="C579" s="4"/>
    </row>
    <row r="580" spans="1:3" ht="15.75" customHeight="1">
      <c r="A580" s="4"/>
      <c r="B580" s="4"/>
      <c r="C580" s="4"/>
    </row>
    <row r="581" spans="1:3" ht="15.75" customHeight="1">
      <c r="A581" s="4"/>
      <c r="B581" s="4"/>
      <c r="C581" s="4"/>
    </row>
    <row r="582" spans="1:3" ht="15.75" customHeight="1">
      <c r="A582" s="4"/>
      <c r="B582" s="4"/>
      <c r="C582" s="4"/>
    </row>
    <row r="583" spans="1:3" ht="15.75" customHeight="1">
      <c r="A583" s="4"/>
      <c r="B583" s="4"/>
      <c r="C583" s="4"/>
    </row>
    <row r="584" spans="1:3" ht="15.75" customHeight="1">
      <c r="A584" s="4"/>
      <c r="B584" s="4"/>
      <c r="C584" s="4"/>
    </row>
    <row r="585" spans="1:3" ht="15.75" customHeight="1">
      <c r="A585" s="4"/>
      <c r="B585" s="4"/>
      <c r="C585" s="4"/>
    </row>
    <row r="586" spans="1:3" ht="15.75" customHeight="1">
      <c r="A586" s="4"/>
      <c r="B586" s="4"/>
      <c r="C586" s="4"/>
    </row>
    <row r="587" spans="1:3" ht="15.75" customHeight="1">
      <c r="A587" s="4"/>
      <c r="B587" s="4"/>
      <c r="C587" s="4"/>
    </row>
    <row r="588" spans="1:3" ht="15.75" customHeight="1">
      <c r="A588" s="4"/>
      <c r="B588" s="4"/>
      <c r="C588" s="4"/>
    </row>
    <row r="589" spans="1:3" ht="15.75" customHeight="1">
      <c r="A589" s="4"/>
      <c r="B589" s="4"/>
      <c r="C589" s="4"/>
    </row>
    <row r="590" spans="1:3" ht="15.75" customHeight="1">
      <c r="A590" s="4"/>
      <c r="B590" s="4"/>
      <c r="C590" s="4"/>
    </row>
    <row r="591" spans="1:3" ht="15.75" customHeight="1">
      <c r="A591" s="4"/>
      <c r="B591" s="4"/>
      <c r="C591" s="4"/>
    </row>
    <row r="592" spans="1:3" ht="15.75" customHeight="1">
      <c r="A592" s="4"/>
      <c r="B592" s="4"/>
      <c r="C592" s="4"/>
    </row>
    <row r="593" spans="1:3" ht="15.75" customHeight="1">
      <c r="A593" s="4"/>
      <c r="B593" s="4"/>
      <c r="C593" s="4"/>
    </row>
    <row r="594" spans="1:3" ht="15.75" customHeight="1">
      <c r="A594" s="4"/>
      <c r="B594" s="4"/>
      <c r="C594" s="4"/>
    </row>
    <row r="595" spans="1:3" ht="15.75" customHeight="1">
      <c r="A595" s="4"/>
      <c r="B595" s="4"/>
      <c r="C595" s="4"/>
    </row>
    <row r="596" spans="1:3" ht="15.75" customHeight="1">
      <c r="A596" s="4"/>
      <c r="B596" s="4"/>
      <c r="C596" s="4"/>
    </row>
    <row r="597" spans="1:3" ht="15.75" customHeight="1">
      <c r="A597" s="4"/>
      <c r="B597" s="4"/>
      <c r="C597" s="4"/>
    </row>
    <row r="598" spans="1:3" ht="15.75" customHeight="1">
      <c r="A598" s="4"/>
      <c r="B598" s="4"/>
      <c r="C598" s="4"/>
    </row>
    <row r="599" spans="1:3" ht="15.75" customHeight="1">
      <c r="A599" s="4"/>
      <c r="B599" s="4"/>
      <c r="C599" s="4"/>
    </row>
    <row r="600" spans="1:3" ht="15.75" customHeight="1">
      <c r="A600" s="4"/>
      <c r="B600" s="4"/>
      <c r="C600" s="4"/>
    </row>
    <row r="601" spans="1:3" ht="15.75" customHeight="1">
      <c r="A601" s="4"/>
      <c r="B601" s="4"/>
      <c r="C601" s="4"/>
    </row>
    <row r="602" spans="1:3" ht="15.75" customHeight="1">
      <c r="A602" s="4"/>
      <c r="B602" s="4"/>
      <c r="C602" s="4"/>
    </row>
    <row r="603" spans="1:3" ht="15.75" customHeight="1">
      <c r="A603" s="4"/>
      <c r="B603" s="4"/>
      <c r="C603" s="4"/>
    </row>
    <row r="604" spans="1:3" ht="15.75" customHeight="1">
      <c r="A604" s="4"/>
      <c r="B604" s="4"/>
      <c r="C604" s="4"/>
    </row>
    <row r="605" spans="1:3" ht="15.75" customHeight="1">
      <c r="A605" s="4"/>
      <c r="B605" s="4"/>
      <c r="C605" s="4"/>
    </row>
    <row r="606" spans="1:3" ht="15.75" customHeight="1">
      <c r="A606" s="4"/>
      <c r="B606" s="4"/>
      <c r="C606" s="4"/>
    </row>
    <row r="607" spans="1:3" ht="15.75" customHeight="1">
      <c r="A607" s="4"/>
      <c r="B607" s="4"/>
      <c r="C607" s="4"/>
    </row>
    <row r="608" spans="1:3" ht="15.75" customHeight="1">
      <c r="A608" s="4"/>
      <c r="B608" s="4"/>
      <c r="C608" s="4"/>
    </row>
    <row r="609" spans="1:3" ht="15.75" customHeight="1">
      <c r="A609" s="4"/>
      <c r="B609" s="4"/>
      <c r="C609" s="4"/>
    </row>
    <row r="610" spans="1:3" ht="15.75" customHeight="1">
      <c r="A610" s="4"/>
      <c r="B610" s="4"/>
      <c r="C610" s="4"/>
    </row>
    <row r="611" spans="1:3" ht="15.75" customHeight="1">
      <c r="A611" s="4"/>
      <c r="B611" s="4"/>
      <c r="C611" s="4"/>
    </row>
    <row r="612" spans="1:3" ht="15.75" customHeight="1">
      <c r="A612" s="4"/>
      <c r="B612" s="4"/>
      <c r="C612" s="4"/>
    </row>
    <row r="613" spans="1:3" ht="15.75" customHeight="1">
      <c r="A613" s="4"/>
      <c r="B613" s="4"/>
      <c r="C613" s="4"/>
    </row>
    <row r="614" spans="1:3" ht="15.75" customHeight="1">
      <c r="A614" s="4"/>
      <c r="B614" s="4"/>
      <c r="C614" s="4"/>
    </row>
    <row r="615" spans="1:3" ht="15.75" customHeight="1">
      <c r="A615" s="4"/>
      <c r="B615" s="4"/>
      <c r="C615" s="4"/>
    </row>
    <row r="616" spans="1:3" ht="15.75" customHeight="1">
      <c r="A616" s="4"/>
      <c r="B616" s="4"/>
      <c r="C616" s="4"/>
    </row>
    <row r="617" spans="1:3" ht="15.75" customHeight="1">
      <c r="A617" s="4"/>
      <c r="B617" s="4"/>
      <c r="C617" s="4"/>
    </row>
    <row r="618" spans="1:3" ht="15.75" customHeight="1">
      <c r="A618" s="4"/>
      <c r="B618" s="4"/>
      <c r="C618" s="4"/>
    </row>
    <row r="619" spans="1:3" ht="15.75" customHeight="1">
      <c r="A619" s="4"/>
      <c r="B619" s="4"/>
      <c r="C619" s="4"/>
    </row>
    <row r="620" spans="1:3" ht="15.75" customHeight="1">
      <c r="A620" s="4"/>
      <c r="B620" s="4"/>
      <c r="C620" s="4"/>
    </row>
    <row r="621" spans="1:3" ht="15.75" customHeight="1">
      <c r="A621" s="4"/>
      <c r="B621" s="4"/>
      <c r="C621" s="4"/>
    </row>
    <row r="622" spans="1:3" ht="15.75" customHeight="1">
      <c r="A622" s="4"/>
      <c r="B622" s="4"/>
      <c r="C622" s="4"/>
    </row>
    <row r="623" spans="1:3" ht="15.75" customHeight="1">
      <c r="A623" s="4"/>
      <c r="B623" s="4"/>
      <c r="C623" s="4"/>
    </row>
    <row r="624" spans="1:3" ht="15.75" customHeight="1">
      <c r="A624" s="4"/>
      <c r="B624" s="4"/>
      <c r="C624" s="4"/>
    </row>
    <row r="625" spans="1:3" ht="15.75" customHeight="1">
      <c r="A625" s="4"/>
      <c r="B625" s="4"/>
      <c r="C625" s="4"/>
    </row>
    <row r="626" spans="1:3" ht="15.75" customHeight="1">
      <c r="A626" s="4"/>
      <c r="B626" s="4"/>
      <c r="C626" s="4"/>
    </row>
    <row r="627" spans="1:3" ht="15.75" customHeight="1">
      <c r="A627" s="4"/>
      <c r="B627" s="4"/>
      <c r="C627" s="4"/>
    </row>
    <row r="628" spans="1:3" ht="15.75" customHeight="1">
      <c r="A628" s="4"/>
      <c r="B628" s="4"/>
      <c r="C628" s="4"/>
    </row>
    <row r="629" spans="1:3" ht="15.75" customHeight="1">
      <c r="A629" s="4"/>
      <c r="B629" s="4"/>
      <c r="C629" s="4"/>
    </row>
    <row r="630" spans="1:3" ht="15.75" customHeight="1">
      <c r="A630" s="4"/>
      <c r="B630" s="4"/>
      <c r="C630" s="4"/>
    </row>
    <row r="631" spans="1:3" ht="15.75" customHeight="1">
      <c r="A631" s="4"/>
      <c r="B631" s="4"/>
      <c r="C631" s="4"/>
    </row>
    <row r="632" spans="1:3" ht="15.75" customHeight="1">
      <c r="A632" s="4"/>
      <c r="B632" s="4"/>
      <c r="C632" s="4"/>
    </row>
    <row r="633" spans="1:3" ht="15.75" customHeight="1">
      <c r="A633" s="4"/>
      <c r="B633" s="4"/>
      <c r="C633" s="4"/>
    </row>
    <row r="634" spans="1:3" ht="15.75" customHeight="1">
      <c r="A634" s="4"/>
      <c r="B634" s="4"/>
      <c r="C634" s="4"/>
    </row>
    <row r="635" spans="1:3" ht="15.75" customHeight="1">
      <c r="A635" s="4"/>
      <c r="B635" s="4"/>
      <c r="C635" s="4"/>
    </row>
    <row r="636" spans="1:3" ht="15.75" customHeight="1">
      <c r="A636" s="4"/>
      <c r="B636" s="4"/>
      <c r="C636" s="4"/>
    </row>
    <row r="637" spans="1:3" ht="15.75" customHeight="1">
      <c r="A637" s="4"/>
      <c r="B637" s="4"/>
      <c r="C637" s="4"/>
    </row>
    <row r="638" spans="1:3" ht="15.75" customHeight="1">
      <c r="A638" s="4"/>
      <c r="B638" s="4"/>
      <c r="C638" s="4"/>
    </row>
    <row r="639" spans="1:3" ht="15.75" customHeight="1">
      <c r="A639" s="4"/>
      <c r="B639" s="4"/>
      <c r="C639" s="4"/>
    </row>
    <row r="640" spans="1:3" ht="15.75" customHeight="1">
      <c r="A640" s="4"/>
      <c r="B640" s="4"/>
      <c r="C640" s="4"/>
    </row>
    <row r="641" spans="1:3" ht="15.75" customHeight="1">
      <c r="A641" s="4"/>
      <c r="B641" s="4"/>
      <c r="C641" s="4"/>
    </row>
    <row r="642" spans="1:3" ht="15.75" customHeight="1">
      <c r="A642" s="4"/>
      <c r="B642" s="4"/>
      <c r="C642" s="4"/>
    </row>
    <row r="643" spans="1:3" ht="15.75" customHeight="1">
      <c r="A643" s="4"/>
      <c r="B643" s="4"/>
      <c r="C643" s="4"/>
    </row>
    <row r="644" spans="1:3" ht="15.75" customHeight="1">
      <c r="A644" s="4"/>
      <c r="B644" s="4"/>
      <c r="C644" s="4"/>
    </row>
    <row r="645" spans="1:3" ht="15.75" customHeight="1">
      <c r="A645" s="4"/>
      <c r="B645" s="4"/>
      <c r="C645" s="4"/>
    </row>
    <row r="646" spans="1:3" ht="15.75" customHeight="1">
      <c r="A646" s="4"/>
      <c r="B646" s="4"/>
      <c r="C646" s="4"/>
    </row>
    <row r="647" spans="1:3" ht="15.75" customHeight="1">
      <c r="A647" s="4"/>
      <c r="B647" s="4"/>
      <c r="C647" s="4"/>
    </row>
    <row r="648" spans="1:3" ht="15.75" customHeight="1">
      <c r="A648" s="4"/>
      <c r="B648" s="4"/>
      <c r="C648" s="4"/>
    </row>
    <row r="649" spans="1:3" ht="15.75" customHeight="1">
      <c r="A649" s="4"/>
      <c r="B649" s="4"/>
      <c r="C649" s="4"/>
    </row>
    <row r="650" spans="1:3" ht="15.75" customHeight="1">
      <c r="A650" s="4"/>
      <c r="B650" s="4"/>
      <c r="C650" s="4"/>
    </row>
    <row r="651" spans="1:3" ht="15.75" customHeight="1">
      <c r="A651" s="4"/>
      <c r="B651" s="4"/>
      <c r="C651" s="4"/>
    </row>
    <row r="652" spans="1:3" ht="15.75" customHeight="1">
      <c r="A652" s="4"/>
      <c r="B652" s="4"/>
      <c r="C652" s="4"/>
    </row>
    <row r="653" spans="1:3" ht="15.75" customHeight="1">
      <c r="A653" s="4"/>
      <c r="B653" s="4"/>
      <c r="C653" s="4"/>
    </row>
    <row r="654" spans="1:3" ht="15.75" customHeight="1">
      <c r="A654" s="4"/>
      <c r="B654" s="4"/>
      <c r="C654" s="4"/>
    </row>
    <row r="655" spans="1:3" ht="15.75" customHeight="1">
      <c r="A655" s="4"/>
      <c r="B655" s="4"/>
      <c r="C655" s="4"/>
    </row>
    <row r="656" spans="1:3" ht="15.75" customHeight="1">
      <c r="A656" s="4"/>
      <c r="B656" s="4"/>
      <c r="C656" s="4"/>
    </row>
    <row r="657" spans="1:3" ht="15.75" customHeight="1">
      <c r="A657" s="4"/>
      <c r="B657" s="4"/>
      <c r="C657" s="4"/>
    </row>
    <row r="658" spans="1:3" ht="15.75" customHeight="1">
      <c r="A658" s="4"/>
      <c r="B658" s="4"/>
      <c r="C658" s="4"/>
    </row>
    <row r="659" spans="1:3" ht="15.75" customHeight="1">
      <c r="A659" s="4"/>
      <c r="B659" s="4"/>
      <c r="C659" s="4"/>
    </row>
    <row r="660" spans="1:3" ht="15.75" customHeight="1">
      <c r="A660" s="4"/>
      <c r="B660" s="4"/>
      <c r="C660" s="4"/>
    </row>
    <row r="661" spans="1:3" ht="15.75" customHeight="1">
      <c r="A661" s="4"/>
      <c r="B661" s="4"/>
      <c r="C661" s="4"/>
    </row>
    <row r="662" spans="1:3" ht="15.75" customHeight="1">
      <c r="A662" s="4"/>
      <c r="B662" s="4"/>
      <c r="C662" s="4"/>
    </row>
    <row r="663" spans="1:3" ht="15.75" customHeight="1">
      <c r="A663" s="4"/>
      <c r="B663" s="4"/>
      <c r="C663" s="4"/>
    </row>
    <row r="664" spans="1:3" ht="15.75" customHeight="1">
      <c r="A664" s="4"/>
      <c r="B664" s="4"/>
      <c r="C664" s="4"/>
    </row>
    <row r="665" spans="1:3" ht="15.75" customHeight="1">
      <c r="A665" s="4"/>
      <c r="B665" s="4"/>
      <c r="C665" s="4"/>
    </row>
    <row r="666" spans="1:3" ht="15.75" customHeight="1">
      <c r="A666" s="4"/>
      <c r="B666" s="4"/>
      <c r="C666" s="4"/>
    </row>
    <row r="667" spans="1:3" ht="15.75" customHeight="1">
      <c r="A667" s="4"/>
      <c r="B667" s="4"/>
      <c r="C667" s="4"/>
    </row>
    <row r="668" spans="1:3" ht="15.75" customHeight="1">
      <c r="A668" s="4"/>
      <c r="B668" s="4"/>
      <c r="C668" s="4"/>
    </row>
    <row r="669" spans="1:3" ht="15.75" customHeight="1">
      <c r="A669" s="4"/>
      <c r="B669" s="4"/>
      <c r="C669" s="4"/>
    </row>
    <row r="670" spans="1:3" ht="15.75" customHeight="1">
      <c r="A670" s="4"/>
      <c r="B670" s="4"/>
      <c r="C670" s="4"/>
    </row>
    <row r="671" spans="1:3" ht="15.75" customHeight="1">
      <c r="A671" s="4"/>
      <c r="B671" s="4"/>
      <c r="C671" s="4"/>
    </row>
    <row r="672" spans="1:3" ht="15.75" customHeight="1">
      <c r="A672" s="4"/>
      <c r="B672" s="4"/>
      <c r="C672" s="4"/>
    </row>
    <row r="673" spans="1:3" ht="15.75" customHeight="1">
      <c r="A673" s="4"/>
      <c r="B673" s="4"/>
      <c r="C673" s="4"/>
    </row>
    <row r="674" spans="1:3" ht="15.75" customHeight="1">
      <c r="A674" s="4"/>
      <c r="B674" s="4"/>
      <c r="C674" s="4"/>
    </row>
    <row r="675" spans="1:3" ht="15.75" customHeight="1">
      <c r="A675" s="4"/>
      <c r="B675" s="4"/>
      <c r="C675" s="4"/>
    </row>
    <row r="676" spans="1:3" ht="15.75" customHeight="1">
      <c r="A676" s="4"/>
      <c r="B676" s="4"/>
      <c r="C676" s="4"/>
    </row>
    <row r="677" spans="1:3" ht="15.75" customHeight="1">
      <c r="A677" s="4"/>
      <c r="B677" s="4"/>
      <c r="C677" s="4"/>
    </row>
    <row r="678" spans="1:3" ht="15.75" customHeight="1">
      <c r="A678" s="4"/>
      <c r="B678" s="4"/>
      <c r="C678" s="4"/>
    </row>
    <row r="679" spans="1:3" ht="15.75" customHeight="1">
      <c r="A679" s="4"/>
      <c r="B679" s="4"/>
      <c r="C679" s="4"/>
    </row>
    <row r="680" spans="1:3" ht="15.75" customHeight="1">
      <c r="A680" s="4"/>
      <c r="B680" s="4"/>
      <c r="C680" s="4"/>
    </row>
    <row r="681" spans="1:3" ht="15.75" customHeight="1">
      <c r="A681" s="4"/>
      <c r="B681" s="4"/>
      <c r="C681" s="4"/>
    </row>
    <row r="682" spans="1:3" ht="15.75" customHeight="1">
      <c r="A682" s="4"/>
      <c r="B682" s="4"/>
      <c r="C682" s="4"/>
    </row>
    <row r="683" spans="1:3" ht="15.75" customHeight="1">
      <c r="A683" s="4"/>
      <c r="B683" s="4"/>
      <c r="C683" s="4"/>
    </row>
    <row r="684" spans="1:3" ht="15.75" customHeight="1">
      <c r="A684" s="4"/>
      <c r="B684" s="4"/>
      <c r="C684" s="4"/>
    </row>
    <row r="685" spans="1:3" ht="15.75" customHeight="1">
      <c r="A685" s="4"/>
      <c r="B685" s="4"/>
      <c r="C685" s="4"/>
    </row>
    <row r="686" spans="1:3" ht="15.75" customHeight="1">
      <c r="A686" s="4"/>
      <c r="B686" s="4"/>
      <c r="C686" s="4"/>
    </row>
    <row r="687" spans="1:3" ht="15.75" customHeight="1">
      <c r="A687" s="4"/>
      <c r="B687" s="4"/>
      <c r="C687" s="4"/>
    </row>
    <row r="688" spans="1:3" ht="15.75" customHeight="1">
      <c r="A688" s="4"/>
      <c r="B688" s="4"/>
      <c r="C688" s="4"/>
    </row>
    <row r="689" spans="1:3" ht="15.75" customHeight="1">
      <c r="A689" s="4"/>
      <c r="B689" s="4"/>
      <c r="C689" s="4"/>
    </row>
    <row r="690" spans="1:3" ht="15.75" customHeight="1">
      <c r="A690" s="4"/>
      <c r="B690" s="4"/>
      <c r="C690" s="4"/>
    </row>
    <row r="691" spans="1:3" ht="15.75" customHeight="1">
      <c r="A691" s="4"/>
      <c r="B691" s="4"/>
      <c r="C691" s="4"/>
    </row>
    <row r="692" spans="1:3" ht="15.75" customHeight="1">
      <c r="A692" s="4"/>
      <c r="B692" s="4"/>
      <c r="C692" s="4"/>
    </row>
    <row r="693" spans="1:3" ht="15.75" customHeight="1">
      <c r="A693" s="4"/>
      <c r="B693" s="4"/>
      <c r="C693" s="4"/>
    </row>
    <row r="694" spans="1:3" ht="15.75" customHeight="1">
      <c r="A694" s="4"/>
      <c r="B694" s="4"/>
      <c r="C694" s="4"/>
    </row>
    <row r="695" spans="1:3" ht="15.75" customHeight="1">
      <c r="A695" s="4"/>
      <c r="B695" s="4"/>
      <c r="C695" s="4"/>
    </row>
    <row r="696" spans="1:3" ht="15.75" customHeight="1">
      <c r="A696" s="4"/>
      <c r="B696" s="4"/>
      <c r="C696" s="4"/>
    </row>
    <row r="697" spans="1:3" ht="15.75" customHeight="1">
      <c r="A697" s="4"/>
      <c r="B697" s="4"/>
      <c r="C697" s="4"/>
    </row>
    <row r="698" spans="1:3" ht="15.75" customHeight="1">
      <c r="A698" s="4"/>
      <c r="B698" s="4"/>
      <c r="C698" s="4"/>
    </row>
    <row r="699" spans="1:3" ht="15.75" customHeight="1">
      <c r="A699" s="4"/>
      <c r="B699" s="4"/>
      <c r="C699" s="4"/>
    </row>
    <row r="700" spans="1:3" ht="15.75" customHeight="1">
      <c r="A700" s="4"/>
      <c r="B700" s="4"/>
      <c r="C700" s="4"/>
    </row>
    <row r="701" spans="1:3" ht="15.75" customHeight="1">
      <c r="A701" s="4"/>
      <c r="B701" s="4"/>
      <c r="C701" s="4"/>
    </row>
    <row r="702" spans="1:3" ht="15.75" customHeight="1">
      <c r="A702" s="4"/>
      <c r="B702" s="4"/>
      <c r="C702" s="4"/>
    </row>
    <row r="703" spans="1:3" ht="15.75" customHeight="1">
      <c r="A703" s="4"/>
      <c r="B703" s="4"/>
      <c r="C703" s="4"/>
    </row>
    <row r="704" spans="1:3" ht="15.75" customHeight="1">
      <c r="A704" s="4"/>
      <c r="B704" s="4"/>
      <c r="C704" s="4"/>
    </row>
    <row r="705" spans="1:3" ht="15.75" customHeight="1">
      <c r="A705" s="4"/>
      <c r="B705" s="4"/>
      <c r="C705" s="4"/>
    </row>
    <row r="706" spans="1:3" ht="15.75" customHeight="1">
      <c r="A706" s="4"/>
      <c r="B706" s="4"/>
      <c r="C706" s="4"/>
    </row>
    <row r="707" spans="1:3" ht="15.75" customHeight="1">
      <c r="A707" s="4"/>
      <c r="B707" s="4"/>
      <c r="C707" s="4"/>
    </row>
    <row r="708" spans="1:3" ht="15.75" customHeight="1">
      <c r="A708" s="4"/>
      <c r="B708" s="4"/>
      <c r="C708" s="4"/>
    </row>
    <row r="709" spans="1:3" ht="15.75" customHeight="1">
      <c r="A709" s="4"/>
      <c r="B709" s="4"/>
      <c r="C709" s="4"/>
    </row>
    <row r="710" spans="1:3" ht="15.75" customHeight="1">
      <c r="A710" s="4"/>
      <c r="B710" s="4"/>
      <c r="C710" s="4"/>
    </row>
    <row r="711" spans="1:3" ht="15.75" customHeight="1">
      <c r="A711" s="4"/>
      <c r="B711" s="4"/>
      <c r="C711" s="4"/>
    </row>
    <row r="712" spans="1:3" ht="15.75" customHeight="1">
      <c r="A712" s="4"/>
      <c r="B712" s="4"/>
      <c r="C712" s="4"/>
    </row>
    <row r="713" spans="1:3" ht="15.75" customHeight="1">
      <c r="A713" s="4"/>
      <c r="B713" s="4"/>
      <c r="C713" s="4"/>
    </row>
    <row r="714" spans="1:3" ht="15.75" customHeight="1">
      <c r="A714" s="4"/>
      <c r="B714" s="4"/>
      <c r="C714" s="4"/>
    </row>
    <row r="715" spans="1:3" ht="15.75" customHeight="1">
      <c r="A715" s="4"/>
      <c r="B715" s="4"/>
      <c r="C715" s="4"/>
    </row>
    <row r="716" spans="1:3" ht="15.75" customHeight="1">
      <c r="A716" s="4"/>
      <c r="B716" s="4"/>
      <c r="C716" s="4"/>
    </row>
    <row r="717" spans="1:3" ht="15.75" customHeight="1">
      <c r="A717" s="4"/>
      <c r="B717" s="4"/>
      <c r="C717" s="4"/>
    </row>
    <row r="718" spans="1:3" ht="15.75" customHeight="1">
      <c r="A718" s="4"/>
      <c r="B718" s="4"/>
      <c r="C718" s="4"/>
    </row>
    <row r="719" spans="1:3" ht="15.75" customHeight="1">
      <c r="A719" s="4"/>
      <c r="B719" s="4"/>
      <c r="C719" s="4"/>
    </row>
    <row r="720" spans="1:3" ht="15.75" customHeight="1">
      <c r="A720" s="4"/>
      <c r="B720" s="4"/>
      <c r="C720" s="4"/>
    </row>
    <row r="721" spans="1:3" ht="15.75" customHeight="1">
      <c r="A721" s="4"/>
      <c r="B721" s="4"/>
      <c r="C721" s="4"/>
    </row>
    <row r="722" spans="1:3" ht="15.75" customHeight="1">
      <c r="A722" s="4"/>
      <c r="B722" s="4"/>
      <c r="C722" s="4"/>
    </row>
    <row r="723" spans="1:3" ht="15.75" customHeight="1">
      <c r="A723" s="4"/>
      <c r="B723" s="4"/>
      <c r="C723" s="4"/>
    </row>
    <row r="724" spans="1:3" ht="15.75" customHeight="1">
      <c r="A724" s="4"/>
      <c r="B724" s="4"/>
      <c r="C724" s="4"/>
    </row>
    <row r="725" spans="1:3" ht="15.75" customHeight="1">
      <c r="A725" s="4"/>
      <c r="B725" s="4"/>
      <c r="C725" s="4"/>
    </row>
    <row r="726" spans="1:3" ht="15.75" customHeight="1">
      <c r="A726" s="4"/>
      <c r="B726" s="4"/>
      <c r="C726" s="4"/>
    </row>
    <row r="727" spans="1:3" ht="15.75" customHeight="1">
      <c r="A727" s="4"/>
      <c r="B727" s="4"/>
      <c r="C727" s="4"/>
    </row>
    <row r="728" spans="1:3" ht="15.75" customHeight="1">
      <c r="A728" s="4"/>
      <c r="B728" s="4"/>
      <c r="C728" s="4"/>
    </row>
    <row r="729" spans="1:3" ht="15.75" customHeight="1">
      <c r="A729" s="4"/>
      <c r="B729" s="4"/>
      <c r="C729" s="4"/>
    </row>
    <row r="730" spans="1:3" ht="15.75" customHeight="1">
      <c r="A730" s="4"/>
      <c r="B730" s="4"/>
      <c r="C730" s="4"/>
    </row>
    <row r="731" spans="1:3" ht="15.75" customHeight="1">
      <c r="A731" s="4"/>
      <c r="B731" s="4"/>
      <c r="C731" s="4"/>
    </row>
    <row r="732" spans="1:3" ht="15.75" customHeight="1">
      <c r="A732" s="4"/>
      <c r="B732" s="4"/>
      <c r="C732" s="4"/>
    </row>
    <row r="733" spans="1:3" ht="15.75" customHeight="1">
      <c r="A733" s="4"/>
      <c r="B733" s="4"/>
      <c r="C733" s="4"/>
    </row>
    <row r="734" spans="1:3" ht="15.75" customHeight="1">
      <c r="A734" s="4"/>
      <c r="B734" s="4"/>
      <c r="C734" s="4"/>
    </row>
    <row r="735" spans="1:3" ht="15.75" customHeight="1">
      <c r="A735" s="4"/>
      <c r="B735" s="4"/>
      <c r="C735" s="4"/>
    </row>
    <row r="736" spans="1:3" ht="15.75" customHeight="1">
      <c r="A736" s="4"/>
      <c r="B736" s="4"/>
      <c r="C736" s="4"/>
    </row>
    <row r="737" spans="1:3" ht="15.75" customHeight="1">
      <c r="A737" s="4"/>
      <c r="B737" s="4"/>
      <c r="C737" s="4"/>
    </row>
    <row r="738" spans="1:3" ht="15.75" customHeight="1">
      <c r="A738" s="4"/>
      <c r="B738" s="4"/>
      <c r="C738" s="4"/>
    </row>
    <row r="739" spans="1:3" ht="15.75" customHeight="1">
      <c r="A739" s="4"/>
      <c r="B739" s="4"/>
      <c r="C739" s="4"/>
    </row>
    <row r="740" spans="1:3" ht="15.75" customHeight="1">
      <c r="A740" s="4"/>
      <c r="B740" s="4"/>
      <c r="C740" s="4"/>
    </row>
    <row r="741" spans="1:3" ht="15.75" customHeight="1">
      <c r="A741" s="4"/>
      <c r="B741" s="4"/>
      <c r="C741" s="4"/>
    </row>
    <row r="742" spans="1:3" ht="15.75" customHeight="1">
      <c r="A742" s="4"/>
      <c r="B742" s="4"/>
      <c r="C742" s="4"/>
    </row>
    <row r="743" spans="1:3" ht="15.75" customHeight="1">
      <c r="A743" s="4"/>
      <c r="B743" s="4"/>
      <c r="C743" s="4"/>
    </row>
    <row r="744" spans="1:3" ht="15.75" customHeight="1">
      <c r="A744" s="4"/>
      <c r="B744" s="4"/>
      <c r="C744" s="4"/>
    </row>
    <row r="745" spans="1:3" ht="15.75" customHeight="1">
      <c r="A745" s="4"/>
      <c r="B745" s="4"/>
      <c r="C745" s="4"/>
    </row>
    <row r="746" spans="1:3" ht="15.75" customHeight="1">
      <c r="A746" s="4"/>
      <c r="B746" s="4"/>
      <c r="C746" s="4"/>
    </row>
    <row r="747" spans="1:3" ht="15.75" customHeight="1">
      <c r="A747" s="4"/>
      <c r="B747" s="4"/>
      <c r="C747" s="4"/>
    </row>
    <row r="748" spans="1:3" ht="15.75" customHeight="1">
      <c r="A748" s="4"/>
      <c r="B748" s="4"/>
      <c r="C748" s="4"/>
    </row>
    <row r="749" spans="1:3" ht="15.75" customHeight="1">
      <c r="A749" s="4"/>
      <c r="B749" s="4"/>
      <c r="C749" s="4"/>
    </row>
    <row r="750" spans="1:3" ht="15.75" customHeight="1">
      <c r="A750" s="4"/>
      <c r="B750" s="4"/>
      <c r="C750" s="4"/>
    </row>
    <row r="751" spans="1:3" ht="15.75" customHeight="1">
      <c r="A751" s="4"/>
      <c r="B751" s="4"/>
      <c r="C751" s="4"/>
    </row>
    <row r="752" spans="1:3" ht="15.75" customHeight="1">
      <c r="A752" s="4"/>
      <c r="B752" s="4"/>
      <c r="C752" s="4"/>
    </row>
    <row r="753" spans="1:3" ht="15.75" customHeight="1">
      <c r="A753" s="4"/>
      <c r="B753" s="4"/>
      <c r="C753" s="4"/>
    </row>
    <row r="754" spans="1:3" ht="15.75" customHeight="1">
      <c r="A754" s="4"/>
      <c r="B754" s="4"/>
      <c r="C754" s="4"/>
    </row>
    <row r="755" spans="1:3" ht="15.75" customHeight="1">
      <c r="A755" s="4"/>
      <c r="B755" s="4"/>
      <c r="C755" s="4"/>
    </row>
    <row r="756" spans="1:3" ht="15.75" customHeight="1">
      <c r="A756" s="4"/>
      <c r="B756" s="4"/>
      <c r="C756" s="4"/>
    </row>
    <row r="757" spans="1:3" ht="15.75" customHeight="1">
      <c r="A757" s="4"/>
      <c r="B757" s="4"/>
      <c r="C757" s="4"/>
    </row>
    <row r="758" spans="1:3" ht="15.75" customHeight="1">
      <c r="A758" s="4"/>
      <c r="B758" s="4"/>
      <c r="C758" s="4"/>
    </row>
    <row r="759" spans="1:3" ht="15.75" customHeight="1">
      <c r="A759" s="4"/>
      <c r="B759" s="4"/>
      <c r="C759" s="4"/>
    </row>
    <row r="760" spans="1:3" ht="15.75" customHeight="1">
      <c r="A760" s="4"/>
      <c r="B760" s="4"/>
      <c r="C760" s="4"/>
    </row>
    <row r="761" spans="1:3" ht="15.75" customHeight="1">
      <c r="A761" s="4"/>
      <c r="B761" s="4"/>
      <c r="C761" s="4"/>
    </row>
    <row r="762" spans="1:3" ht="15.75" customHeight="1">
      <c r="A762" s="4"/>
      <c r="B762" s="4"/>
      <c r="C762" s="4"/>
    </row>
    <row r="763" spans="1:3" ht="15.75" customHeight="1">
      <c r="A763" s="4"/>
      <c r="B763" s="4"/>
      <c r="C763" s="4"/>
    </row>
    <row r="764" spans="1:3" ht="15.75" customHeight="1">
      <c r="A764" s="4"/>
      <c r="B764" s="4"/>
      <c r="C764" s="4"/>
    </row>
    <row r="765" spans="1:3" ht="15.75" customHeight="1">
      <c r="A765" s="4"/>
      <c r="B765" s="4"/>
      <c r="C765" s="4"/>
    </row>
    <row r="766" spans="1:3" ht="15.75" customHeight="1">
      <c r="A766" s="4"/>
      <c r="B766" s="4"/>
      <c r="C766" s="4"/>
    </row>
    <row r="767" spans="1:3" ht="15.75" customHeight="1">
      <c r="A767" s="4"/>
      <c r="B767" s="4"/>
      <c r="C767" s="4"/>
    </row>
    <row r="768" spans="1:3" ht="15.75" customHeight="1">
      <c r="A768" s="4"/>
      <c r="B768" s="4"/>
      <c r="C768" s="4"/>
    </row>
    <row r="769" spans="1:3" ht="15.75" customHeight="1">
      <c r="A769" s="4"/>
      <c r="B769" s="4"/>
      <c r="C769" s="4"/>
    </row>
    <row r="770" spans="1:3" ht="15.75" customHeight="1">
      <c r="A770" s="4"/>
      <c r="B770" s="4"/>
      <c r="C770" s="4"/>
    </row>
    <row r="771" spans="1:3" ht="15.75" customHeight="1">
      <c r="A771" s="4"/>
      <c r="B771" s="4"/>
      <c r="C771" s="4"/>
    </row>
    <row r="772" spans="1:3" ht="15.75" customHeight="1">
      <c r="A772" s="4"/>
      <c r="B772" s="4"/>
      <c r="C772" s="4"/>
    </row>
    <row r="773" spans="1:3" ht="15.75" customHeight="1">
      <c r="A773" s="4"/>
      <c r="B773" s="4"/>
      <c r="C773" s="4"/>
    </row>
    <row r="774" spans="1:3" ht="15.75" customHeight="1">
      <c r="A774" s="4"/>
      <c r="B774" s="4"/>
      <c r="C774" s="4"/>
    </row>
    <row r="775" spans="1:3" ht="15.75" customHeight="1">
      <c r="A775" s="4"/>
      <c r="B775" s="4"/>
      <c r="C775" s="4"/>
    </row>
    <row r="776" spans="1:3" ht="15.75" customHeight="1">
      <c r="A776" s="4"/>
      <c r="B776" s="4"/>
      <c r="C776" s="4"/>
    </row>
    <row r="777" spans="1:3" ht="15.75" customHeight="1">
      <c r="A777" s="4"/>
      <c r="B777" s="4"/>
      <c r="C777" s="4"/>
    </row>
    <row r="778" spans="1:3" ht="15.75" customHeight="1">
      <c r="A778" s="4"/>
      <c r="B778" s="4"/>
      <c r="C778" s="4"/>
    </row>
    <row r="779" spans="1:3" ht="15.75" customHeight="1">
      <c r="A779" s="4"/>
      <c r="B779" s="4"/>
      <c r="C779" s="4"/>
    </row>
    <row r="780" spans="1:3" ht="15.75" customHeight="1">
      <c r="A780" s="4"/>
      <c r="B780" s="4"/>
      <c r="C780" s="4"/>
    </row>
    <row r="781" spans="1:3" ht="15.75" customHeight="1">
      <c r="A781" s="4"/>
      <c r="B781" s="4"/>
      <c r="C781" s="4"/>
    </row>
    <row r="782" spans="1:3" ht="15.75" customHeight="1">
      <c r="A782" s="4"/>
      <c r="B782" s="4"/>
      <c r="C782" s="4"/>
    </row>
    <row r="783" spans="1:3" ht="15.75" customHeight="1">
      <c r="A783" s="4"/>
      <c r="B783" s="4"/>
      <c r="C783" s="4"/>
    </row>
    <row r="784" spans="1:3" ht="15.75" customHeight="1">
      <c r="A784" s="4"/>
      <c r="B784" s="4"/>
      <c r="C784" s="4"/>
    </row>
    <row r="785" spans="1:3" ht="15.75" customHeight="1">
      <c r="A785" s="4"/>
      <c r="B785" s="4"/>
      <c r="C785" s="4"/>
    </row>
    <row r="786" spans="1:3" ht="15.75" customHeight="1">
      <c r="A786" s="4"/>
      <c r="B786" s="4"/>
      <c r="C786" s="4"/>
    </row>
    <row r="787" spans="1:3" ht="15.75" customHeight="1">
      <c r="A787" s="4"/>
      <c r="B787" s="4"/>
      <c r="C787" s="4"/>
    </row>
    <row r="788" spans="1:3" ht="15.75" customHeight="1">
      <c r="A788" s="4"/>
      <c r="B788" s="4"/>
      <c r="C788" s="4"/>
    </row>
    <row r="789" spans="1:3" ht="15.75" customHeight="1">
      <c r="A789" s="4"/>
      <c r="B789" s="4"/>
      <c r="C789" s="4"/>
    </row>
    <row r="790" spans="1:3" ht="15.75" customHeight="1">
      <c r="A790" s="4"/>
      <c r="B790" s="4"/>
      <c r="C790" s="4"/>
    </row>
    <row r="791" spans="1:3" ht="15.75" customHeight="1">
      <c r="A791" s="4"/>
      <c r="B791" s="4"/>
      <c r="C791" s="4"/>
    </row>
    <row r="792" spans="1:3" ht="15.75" customHeight="1">
      <c r="A792" s="4"/>
      <c r="B792" s="4"/>
      <c r="C792" s="4"/>
    </row>
    <row r="793" spans="1:3" ht="15.75" customHeight="1">
      <c r="A793" s="4"/>
      <c r="B793" s="4"/>
      <c r="C793" s="4"/>
    </row>
    <row r="794" spans="1:3" ht="15.75" customHeight="1">
      <c r="A794" s="4"/>
      <c r="B794" s="4"/>
      <c r="C794" s="4"/>
    </row>
    <row r="795" spans="1:3" ht="15.75" customHeight="1">
      <c r="A795" s="4"/>
      <c r="B795" s="4"/>
      <c r="C795" s="4"/>
    </row>
    <row r="796" spans="1:3" ht="15.75" customHeight="1">
      <c r="A796" s="4"/>
      <c r="B796" s="4"/>
      <c r="C796" s="4"/>
    </row>
    <row r="797" spans="1:3" ht="15.75" customHeight="1">
      <c r="A797" s="4"/>
      <c r="B797" s="4"/>
      <c r="C797" s="4"/>
    </row>
    <row r="798" spans="1:3" ht="15.75" customHeight="1">
      <c r="A798" s="4"/>
      <c r="B798" s="4"/>
      <c r="C798" s="4"/>
    </row>
    <row r="799" spans="1:3" ht="15.75" customHeight="1">
      <c r="A799" s="4"/>
      <c r="B799" s="4"/>
      <c r="C799" s="4"/>
    </row>
    <row r="800" spans="1:3" ht="15.75" customHeight="1">
      <c r="A800" s="4"/>
      <c r="B800" s="4"/>
      <c r="C800" s="4"/>
    </row>
    <row r="801" spans="1:3" ht="15.75" customHeight="1">
      <c r="A801" s="4"/>
      <c r="B801" s="4"/>
      <c r="C801" s="4"/>
    </row>
    <row r="802" spans="1:3" ht="15.75" customHeight="1">
      <c r="A802" s="4"/>
      <c r="B802" s="4"/>
      <c r="C802" s="4"/>
    </row>
    <row r="803" spans="1:3" ht="15.75" customHeight="1">
      <c r="A803" s="4"/>
      <c r="B803" s="4"/>
      <c r="C803" s="4"/>
    </row>
    <row r="804" spans="1:3" ht="15.75" customHeight="1">
      <c r="A804" s="4"/>
      <c r="B804" s="4"/>
      <c r="C804" s="4"/>
    </row>
    <row r="805" spans="1:3" ht="15.75" customHeight="1">
      <c r="A805" s="4"/>
      <c r="B805" s="4"/>
      <c r="C805" s="4"/>
    </row>
    <row r="806" spans="1:3" ht="15.75" customHeight="1">
      <c r="A806" s="4"/>
      <c r="B806" s="4"/>
      <c r="C806" s="4"/>
    </row>
    <row r="807" spans="1:3" ht="15.75" customHeight="1">
      <c r="A807" s="4"/>
      <c r="B807" s="4"/>
      <c r="C807" s="4"/>
    </row>
    <row r="808" spans="1:3" ht="15.75" customHeight="1">
      <c r="A808" s="4"/>
      <c r="B808" s="4"/>
      <c r="C808" s="4"/>
    </row>
    <row r="809" spans="1:3" ht="15.75" customHeight="1">
      <c r="A809" s="4"/>
      <c r="B809" s="4"/>
      <c r="C809" s="4"/>
    </row>
    <row r="810" spans="1:3" ht="15.75" customHeight="1">
      <c r="A810" s="4"/>
      <c r="B810" s="4"/>
      <c r="C810" s="4"/>
    </row>
    <row r="811" spans="1:3" ht="15.75" customHeight="1">
      <c r="A811" s="4"/>
      <c r="B811" s="4"/>
      <c r="C811" s="4"/>
    </row>
    <row r="812" spans="1:3" ht="15.75" customHeight="1">
      <c r="A812" s="4"/>
      <c r="B812" s="4"/>
      <c r="C812" s="4"/>
    </row>
    <row r="813" spans="1:3" ht="15.75" customHeight="1">
      <c r="A813" s="4"/>
      <c r="B813" s="4"/>
      <c r="C813" s="4"/>
    </row>
    <row r="814" spans="1:3" ht="15.75" customHeight="1">
      <c r="A814" s="4"/>
      <c r="B814" s="4"/>
      <c r="C814" s="4"/>
    </row>
    <row r="815" spans="1:3" ht="15.75" customHeight="1">
      <c r="A815" s="4"/>
      <c r="B815" s="4"/>
      <c r="C815" s="4"/>
    </row>
    <row r="816" spans="1:3" ht="15.75" customHeight="1">
      <c r="A816" s="4"/>
      <c r="B816" s="4"/>
      <c r="C816" s="4"/>
    </row>
    <row r="817" spans="1:3" ht="15.75" customHeight="1">
      <c r="A817" s="4"/>
      <c r="B817" s="4"/>
      <c r="C817" s="4"/>
    </row>
    <row r="818" spans="1:3" ht="15.75" customHeight="1">
      <c r="A818" s="4"/>
      <c r="B818" s="4"/>
      <c r="C818" s="4"/>
    </row>
    <row r="819" spans="1:3" ht="15.75" customHeight="1">
      <c r="A819" s="4"/>
      <c r="B819" s="4"/>
      <c r="C819" s="4"/>
    </row>
    <row r="820" spans="1:3" ht="15.75" customHeight="1">
      <c r="A820" s="4"/>
      <c r="B820" s="4"/>
      <c r="C820" s="4"/>
    </row>
    <row r="821" spans="1:3" ht="15.75" customHeight="1">
      <c r="A821" s="4"/>
      <c r="B821" s="4"/>
      <c r="C821" s="4"/>
    </row>
    <row r="822" spans="1:3" ht="15.75" customHeight="1">
      <c r="A822" s="4"/>
      <c r="B822" s="4"/>
      <c r="C822" s="4"/>
    </row>
    <row r="823" spans="1:3" ht="15.75" customHeight="1">
      <c r="A823" s="4"/>
      <c r="B823" s="4"/>
      <c r="C823" s="4"/>
    </row>
    <row r="824" spans="1:3" ht="15.75" customHeight="1">
      <c r="A824" s="4"/>
      <c r="B824" s="4"/>
      <c r="C824" s="4"/>
    </row>
    <row r="825" spans="1:3" ht="15.75" customHeight="1">
      <c r="A825" s="4"/>
      <c r="B825" s="4"/>
      <c r="C825" s="4"/>
    </row>
    <row r="826" spans="1:3" ht="15.75" customHeight="1">
      <c r="A826" s="4"/>
      <c r="B826" s="4"/>
      <c r="C826" s="4"/>
    </row>
    <row r="827" spans="1:3" ht="15.75" customHeight="1">
      <c r="A827" s="4"/>
      <c r="B827" s="4"/>
      <c r="C827" s="4"/>
    </row>
    <row r="828" spans="1:3" ht="15.75" customHeight="1">
      <c r="A828" s="4"/>
      <c r="B828" s="4"/>
      <c r="C828" s="4"/>
    </row>
    <row r="829" spans="1:3" ht="15.75" customHeight="1">
      <c r="A829" s="4"/>
      <c r="B829" s="4"/>
      <c r="C829" s="4"/>
    </row>
    <row r="830" spans="1:3" ht="15.75" customHeight="1">
      <c r="A830" s="4"/>
      <c r="B830" s="4"/>
      <c r="C830" s="4"/>
    </row>
    <row r="831" spans="1:3" ht="15.75" customHeight="1">
      <c r="A831" s="4"/>
      <c r="B831" s="4"/>
      <c r="C831" s="4"/>
    </row>
    <row r="832" spans="1:3" ht="15.75" customHeight="1">
      <c r="A832" s="4"/>
      <c r="B832" s="4"/>
      <c r="C832" s="4"/>
    </row>
    <row r="833" spans="1:3" ht="15.75" customHeight="1">
      <c r="A833" s="4"/>
      <c r="B833" s="4"/>
      <c r="C833" s="4"/>
    </row>
    <row r="834" spans="1:3" ht="15.75" customHeight="1">
      <c r="A834" s="4"/>
      <c r="B834" s="4"/>
      <c r="C834" s="4"/>
    </row>
    <row r="835" spans="1:3" ht="15.75" customHeight="1">
      <c r="A835" s="4"/>
      <c r="B835" s="4"/>
      <c r="C835" s="4"/>
    </row>
    <row r="836" spans="1:3" ht="15.75" customHeight="1">
      <c r="A836" s="4"/>
      <c r="B836" s="4"/>
      <c r="C836" s="4"/>
    </row>
    <row r="837" spans="1:3" ht="15.75" customHeight="1">
      <c r="A837" s="4"/>
      <c r="B837" s="4"/>
      <c r="C837" s="4"/>
    </row>
    <row r="838" spans="1:3" ht="15.75" customHeight="1">
      <c r="A838" s="4"/>
      <c r="B838" s="4"/>
      <c r="C838" s="4"/>
    </row>
    <row r="839" spans="1:3" ht="15.75" customHeight="1">
      <c r="A839" s="4"/>
      <c r="B839" s="4"/>
      <c r="C839" s="4"/>
    </row>
    <row r="840" spans="1:3" ht="15.75" customHeight="1">
      <c r="A840" s="4"/>
      <c r="B840" s="4"/>
      <c r="C840" s="4"/>
    </row>
    <row r="841" spans="1:3" ht="15.75" customHeight="1">
      <c r="A841" s="4"/>
      <c r="B841" s="4"/>
      <c r="C841" s="4"/>
    </row>
    <row r="842" spans="1:3" ht="15.75" customHeight="1">
      <c r="A842" s="4"/>
      <c r="B842" s="4"/>
      <c r="C842" s="4"/>
    </row>
    <row r="843" spans="1:3" ht="15.75" customHeight="1">
      <c r="A843" s="4"/>
      <c r="B843" s="4"/>
      <c r="C843" s="4"/>
    </row>
    <row r="844" spans="1:3" ht="15.75" customHeight="1">
      <c r="A844" s="4"/>
      <c r="B844" s="4"/>
      <c r="C844" s="4"/>
    </row>
    <row r="845" spans="1:3" ht="15.75" customHeight="1">
      <c r="A845" s="4"/>
      <c r="B845" s="4"/>
      <c r="C845" s="4"/>
    </row>
    <row r="846" spans="1:3" ht="15.75" customHeight="1">
      <c r="A846" s="4"/>
      <c r="B846" s="4"/>
      <c r="C846" s="4"/>
    </row>
    <row r="847" spans="1:3" ht="15.75" customHeight="1">
      <c r="A847" s="4"/>
      <c r="B847" s="4"/>
      <c r="C847" s="4"/>
    </row>
    <row r="848" spans="1:3" ht="15.75" customHeight="1">
      <c r="A848" s="4"/>
      <c r="B848" s="4"/>
      <c r="C848" s="4"/>
    </row>
    <row r="849" spans="1:3" ht="15.75" customHeight="1">
      <c r="A849" s="4"/>
      <c r="B849" s="4"/>
      <c r="C849" s="4"/>
    </row>
    <row r="850" spans="1:3" ht="15.75" customHeight="1">
      <c r="A850" s="4"/>
      <c r="B850" s="4"/>
      <c r="C850" s="4"/>
    </row>
    <row r="851" spans="1:3" ht="15.75" customHeight="1">
      <c r="A851" s="4"/>
      <c r="B851" s="4"/>
      <c r="C851" s="4"/>
    </row>
    <row r="852" spans="1:3" ht="15.75" customHeight="1">
      <c r="A852" s="4"/>
      <c r="B852" s="4"/>
      <c r="C852" s="4"/>
    </row>
    <row r="853" spans="1:3" ht="15.75" customHeight="1">
      <c r="A853" s="4"/>
      <c r="B853" s="4"/>
      <c r="C853" s="4"/>
    </row>
    <row r="854" spans="1:3" ht="15.75" customHeight="1">
      <c r="A854" s="4"/>
      <c r="B854" s="4"/>
      <c r="C854" s="4"/>
    </row>
    <row r="855" spans="1:3" ht="15.75" customHeight="1">
      <c r="A855" s="4"/>
      <c r="B855" s="4"/>
      <c r="C855" s="4"/>
    </row>
    <row r="856" spans="1:3" ht="15.75" customHeight="1">
      <c r="A856" s="4"/>
      <c r="B856" s="4"/>
      <c r="C856" s="4"/>
    </row>
    <row r="857" spans="1:3" ht="15.75" customHeight="1">
      <c r="A857" s="4"/>
      <c r="B857" s="4"/>
      <c r="C857" s="4"/>
    </row>
    <row r="858" spans="1:3" ht="15.75" customHeight="1">
      <c r="A858" s="4"/>
      <c r="B858" s="4"/>
      <c r="C858" s="4"/>
    </row>
    <row r="859" spans="1:3" ht="15.75" customHeight="1">
      <c r="A859" s="4"/>
      <c r="B859" s="4"/>
      <c r="C859" s="4"/>
    </row>
    <row r="860" spans="1:3" ht="15.75" customHeight="1">
      <c r="A860" s="4"/>
      <c r="B860" s="4"/>
      <c r="C860" s="4"/>
    </row>
    <row r="861" spans="1:3" ht="15.75" customHeight="1">
      <c r="A861" s="4"/>
      <c r="B861" s="4"/>
      <c r="C861" s="4"/>
    </row>
    <row r="862" spans="1:3" ht="15.75" customHeight="1">
      <c r="A862" s="4"/>
      <c r="B862" s="4"/>
      <c r="C862" s="4"/>
    </row>
    <row r="863" spans="1:3" ht="15.75" customHeight="1">
      <c r="A863" s="4"/>
      <c r="B863" s="4"/>
      <c r="C863" s="4"/>
    </row>
    <row r="864" spans="1:3" ht="15.75" customHeight="1">
      <c r="A864" s="4"/>
      <c r="B864" s="4"/>
      <c r="C864" s="4"/>
    </row>
    <row r="865" spans="1:3" ht="15.75" customHeight="1">
      <c r="A865" s="4"/>
      <c r="B865" s="4"/>
      <c r="C865" s="4"/>
    </row>
    <row r="866" spans="1:3" ht="15.75" customHeight="1">
      <c r="A866" s="4"/>
      <c r="B866" s="4"/>
      <c r="C866" s="4"/>
    </row>
    <row r="867" spans="1:3" ht="15.75" customHeight="1">
      <c r="A867" s="4"/>
      <c r="B867" s="4"/>
      <c r="C867" s="4"/>
    </row>
    <row r="868" spans="1:3" ht="15.75" customHeight="1">
      <c r="A868" s="4"/>
      <c r="B868" s="4"/>
      <c r="C868" s="4"/>
    </row>
    <row r="869" spans="1:3" ht="15.75" customHeight="1">
      <c r="A869" s="4"/>
      <c r="B869" s="4"/>
      <c r="C869" s="4"/>
    </row>
    <row r="870" spans="1:3" ht="15.75" customHeight="1">
      <c r="A870" s="4"/>
      <c r="B870" s="4"/>
      <c r="C870" s="4"/>
    </row>
    <row r="871" spans="1:3" ht="15.75" customHeight="1">
      <c r="A871" s="4"/>
      <c r="B871" s="4"/>
      <c r="C871" s="4"/>
    </row>
    <row r="872" spans="1:3" ht="15.75" customHeight="1">
      <c r="A872" s="4"/>
      <c r="B872" s="4"/>
      <c r="C872" s="4"/>
    </row>
    <row r="873" spans="1:3" ht="15.75" customHeight="1">
      <c r="A873" s="4"/>
      <c r="B873" s="4"/>
      <c r="C873" s="4"/>
    </row>
    <row r="874" spans="1:3" ht="15.75" customHeight="1">
      <c r="A874" s="4"/>
      <c r="B874" s="4"/>
      <c r="C874" s="4"/>
    </row>
    <row r="875" spans="1:3" ht="15.75" customHeight="1">
      <c r="A875" s="4"/>
      <c r="B875" s="4"/>
      <c r="C875" s="4"/>
    </row>
    <row r="876" spans="1:3" ht="15.75" customHeight="1">
      <c r="A876" s="4"/>
      <c r="B876" s="4"/>
      <c r="C876" s="4"/>
    </row>
    <row r="877" spans="1:3" ht="15.75" customHeight="1">
      <c r="A877" s="4"/>
      <c r="B877" s="4"/>
      <c r="C877" s="4"/>
    </row>
    <row r="878" spans="1:3" ht="15.75" customHeight="1">
      <c r="A878" s="4"/>
      <c r="B878" s="4"/>
      <c r="C878" s="4"/>
    </row>
    <row r="879" spans="1:3" ht="15.75" customHeight="1">
      <c r="A879" s="4"/>
      <c r="B879" s="4"/>
      <c r="C879" s="4"/>
    </row>
    <row r="880" spans="1:3" ht="15.75" customHeight="1">
      <c r="A880" s="4"/>
      <c r="B880" s="4"/>
      <c r="C880" s="4"/>
    </row>
    <row r="881" spans="1:3" ht="15.75" customHeight="1">
      <c r="A881" s="4"/>
      <c r="B881" s="4"/>
      <c r="C881" s="4"/>
    </row>
    <row r="882" spans="1:3" ht="15.75" customHeight="1">
      <c r="A882" s="4"/>
      <c r="B882" s="4"/>
      <c r="C882" s="4"/>
    </row>
    <row r="883" spans="1:3" ht="15.75" customHeight="1">
      <c r="A883" s="4"/>
      <c r="B883" s="4"/>
      <c r="C883" s="4"/>
    </row>
    <row r="884" spans="1:3" ht="15.75" customHeight="1">
      <c r="A884" s="4"/>
      <c r="B884" s="4"/>
      <c r="C884" s="4"/>
    </row>
    <row r="885" spans="1:3" ht="15.75" customHeight="1">
      <c r="A885" s="4"/>
      <c r="B885" s="4"/>
      <c r="C885" s="4"/>
    </row>
    <row r="886" spans="1:3" ht="15.75" customHeight="1">
      <c r="A886" s="4"/>
      <c r="B886" s="4"/>
      <c r="C886" s="4"/>
    </row>
    <row r="887" spans="1:3" ht="15.75" customHeight="1">
      <c r="A887" s="4"/>
      <c r="B887" s="4"/>
      <c r="C887" s="4"/>
    </row>
    <row r="888" spans="1:3" ht="15.75" customHeight="1">
      <c r="A888" s="4"/>
      <c r="B888" s="4"/>
      <c r="C888" s="4"/>
    </row>
    <row r="889" spans="1:3" ht="15.75" customHeight="1">
      <c r="A889" s="4"/>
      <c r="B889" s="4"/>
      <c r="C889" s="4"/>
    </row>
    <row r="890" spans="1:3" ht="15.75" customHeight="1">
      <c r="A890" s="4"/>
      <c r="B890" s="4"/>
      <c r="C890" s="4"/>
    </row>
    <row r="891" spans="1:3" ht="15.75" customHeight="1">
      <c r="A891" s="4"/>
      <c r="B891" s="4"/>
      <c r="C891" s="4"/>
    </row>
    <row r="892" spans="1:3" ht="15.75" customHeight="1">
      <c r="A892" s="4"/>
      <c r="B892" s="4"/>
      <c r="C892" s="4"/>
    </row>
    <row r="893" spans="1:3" ht="15.75" customHeight="1">
      <c r="A893" s="4"/>
      <c r="B893" s="4"/>
      <c r="C893" s="4"/>
    </row>
    <row r="894" spans="1:3" ht="15.75" customHeight="1">
      <c r="A894" s="4"/>
      <c r="B894" s="4"/>
      <c r="C894" s="4"/>
    </row>
    <row r="895" spans="1:3" ht="15.75" customHeight="1">
      <c r="A895" s="4"/>
      <c r="B895" s="4"/>
      <c r="C895" s="4"/>
    </row>
    <row r="896" spans="1:3" ht="15.75" customHeight="1">
      <c r="A896" s="4"/>
      <c r="B896" s="4"/>
      <c r="C896" s="4"/>
    </row>
    <row r="897" spans="1:3" ht="15.75" customHeight="1">
      <c r="A897" s="4"/>
      <c r="B897" s="4"/>
      <c r="C897" s="4"/>
    </row>
    <row r="898" spans="1:3" ht="15.75" customHeight="1">
      <c r="A898" s="4"/>
      <c r="B898" s="4"/>
      <c r="C898" s="4"/>
    </row>
    <row r="899" spans="1:3" ht="15.75" customHeight="1">
      <c r="A899" s="4"/>
      <c r="B899" s="4"/>
      <c r="C899" s="4"/>
    </row>
    <row r="900" spans="1:3" ht="15.75" customHeight="1">
      <c r="A900" s="4"/>
      <c r="B900" s="4"/>
      <c r="C900" s="4"/>
    </row>
    <row r="901" spans="1:3" ht="15.75" customHeight="1">
      <c r="A901" s="4"/>
      <c r="B901" s="4"/>
      <c r="C901" s="4"/>
    </row>
    <row r="902" spans="1:3" ht="15.75" customHeight="1">
      <c r="A902" s="4"/>
      <c r="B902" s="4"/>
      <c r="C902" s="4"/>
    </row>
    <row r="903" spans="1:3" ht="15.75" customHeight="1">
      <c r="A903" s="4"/>
      <c r="B903" s="4"/>
      <c r="C903" s="4"/>
    </row>
    <row r="904" spans="1:3" ht="15.75" customHeight="1">
      <c r="A904" s="4"/>
      <c r="B904" s="4"/>
      <c r="C904" s="4"/>
    </row>
    <row r="905" spans="1:3" ht="15.75" customHeight="1">
      <c r="A905" s="4"/>
      <c r="B905" s="4"/>
      <c r="C905" s="4"/>
    </row>
    <row r="906" spans="1:3" ht="15.75" customHeight="1">
      <c r="A906" s="4"/>
      <c r="B906" s="4"/>
      <c r="C906" s="4"/>
    </row>
    <row r="907" spans="1:3" ht="15.75" customHeight="1">
      <c r="A907" s="4"/>
      <c r="B907" s="4"/>
      <c r="C907" s="4"/>
    </row>
    <row r="908" spans="1:3" ht="15.75" customHeight="1">
      <c r="A908" s="4"/>
      <c r="B908" s="4"/>
      <c r="C908" s="4"/>
    </row>
    <row r="909" spans="1:3" ht="15.75" customHeight="1">
      <c r="A909" s="4"/>
      <c r="B909" s="4"/>
      <c r="C909" s="4"/>
    </row>
    <row r="910" spans="1:3" ht="15.75" customHeight="1">
      <c r="A910" s="4"/>
      <c r="B910" s="4"/>
      <c r="C910" s="4"/>
    </row>
    <row r="911" spans="1:3" ht="15.75" customHeight="1">
      <c r="A911" s="4"/>
      <c r="B911" s="4"/>
      <c r="C911" s="4"/>
    </row>
    <row r="912" spans="1:3" ht="15.75" customHeight="1">
      <c r="A912" s="4"/>
      <c r="B912" s="4"/>
      <c r="C912" s="4"/>
    </row>
    <row r="913" spans="1:3" ht="15.75" customHeight="1">
      <c r="A913" s="4"/>
      <c r="B913" s="4"/>
      <c r="C913" s="4"/>
    </row>
    <row r="914" spans="1:3" ht="15.75" customHeight="1">
      <c r="A914" s="4"/>
      <c r="B914" s="4"/>
      <c r="C914" s="4"/>
    </row>
    <row r="915" spans="1:3" ht="15.75" customHeight="1">
      <c r="A915" s="4"/>
      <c r="B915" s="4"/>
      <c r="C915" s="4"/>
    </row>
    <row r="916" spans="1:3" ht="15.75" customHeight="1">
      <c r="A916" s="4"/>
      <c r="B916" s="4"/>
      <c r="C916" s="4"/>
    </row>
    <row r="917" spans="1:3" ht="15.75" customHeight="1">
      <c r="A917" s="4"/>
      <c r="B917" s="4"/>
      <c r="C917" s="4"/>
    </row>
    <row r="918" spans="1:3" ht="15.75" customHeight="1">
      <c r="A918" s="4"/>
      <c r="B918" s="4"/>
      <c r="C918" s="4"/>
    </row>
    <row r="919" spans="1:3" ht="15.75" customHeight="1">
      <c r="A919" s="4"/>
      <c r="B919" s="4"/>
      <c r="C919" s="4"/>
    </row>
    <row r="920" spans="1:3" ht="15.75" customHeight="1">
      <c r="A920" s="4"/>
      <c r="B920" s="4"/>
      <c r="C920" s="4"/>
    </row>
    <row r="921" spans="1:3" ht="15.75" customHeight="1">
      <c r="A921" s="4"/>
      <c r="B921" s="4"/>
      <c r="C921" s="4"/>
    </row>
    <row r="922" spans="1:3" ht="15.75" customHeight="1">
      <c r="A922" s="4"/>
      <c r="B922" s="4"/>
      <c r="C922" s="4"/>
    </row>
    <row r="923" spans="1:3" ht="15.75" customHeight="1">
      <c r="A923" s="4"/>
      <c r="B923" s="4"/>
      <c r="C923" s="4"/>
    </row>
    <row r="924" spans="1:3" ht="15.75" customHeight="1">
      <c r="A924" s="4"/>
      <c r="B924" s="4"/>
      <c r="C924" s="4"/>
    </row>
    <row r="925" spans="1:3" ht="15.75" customHeight="1">
      <c r="A925" s="4"/>
      <c r="B925" s="4"/>
      <c r="C925" s="4"/>
    </row>
    <row r="926" spans="1:3" ht="15.75" customHeight="1">
      <c r="A926" s="4"/>
      <c r="B926" s="4"/>
      <c r="C926" s="4"/>
    </row>
    <row r="927" spans="1:3" ht="15.75" customHeight="1">
      <c r="A927" s="4"/>
      <c r="B927" s="4"/>
      <c r="C927" s="4"/>
    </row>
    <row r="928" spans="1:3" ht="15.75" customHeight="1">
      <c r="A928" s="4"/>
      <c r="B928" s="4"/>
      <c r="C928" s="4"/>
    </row>
    <row r="929" spans="1:3" ht="15.75" customHeight="1">
      <c r="A929" s="4"/>
      <c r="B929" s="4"/>
      <c r="C929" s="4"/>
    </row>
    <row r="930" spans="1:3" ht="15.75" customHeight="1">
      <c r="A930" s="4"/>
      <c r="B930" s="4"/>
      <c r="C930" s="4"/>
    </row>
    <row r="931" spans="1:3" ht="15.75" customHeight="1">
      <c r="A931" s="4"/>
      <c r="B931" s="4"/>
      <c r="C931" s="4"/>
    </row>
    <row r="932" spans="1:3" ht="15.75" customHeight="1">
      <c r="A932" s="4"/>
      <c r="B932" s="4"/>
      <c r="C932" s="4"/>
    </row>
    <row r="933" spans="1:3" ht="15.75" customHeight="1">
      <c r="A933" s="4"/>
      <c r="B933" s="4"/>
      <c r="C933" s="4"/>
    </row>
    <row r="934" spans="1:3" ht="15.75" customHeight="1">
      <c r="A934" s="4"/>
      <c r="B934" s="4"/>
      <c r="C934" s="4"/>
    </row>
    <row r="935" spans="1:3" ht="15.75" customHeight="1">
      <c r="A935" s="4"/>
      <c r="B935" s="4"/>
      <c r="C935" s="4"/>
    </row>
    <row r="936" spans="1:3" ht="15.75" customHeight="1">
      <c r="A936" s="4"/>
      <c r="B936" s="4"/>
      <c r="C936" s="4"/>
    </row>
    <row r="937" spans="1:3" ht="15.75" customHeight="1">
      <c r="A937" s="4"/>
      <c r="B937" s="4"/>
      <c r="C937" s="4"/>
    </row>
    <row r="938" spans="1:3" ht="15.75" customHeight="1">
      <c r="A938" s="4"/>
      <c r="B938" s="4"/>
      <c r="C938" s="4"/>
    </row>
    <row r="939" spans="1:3" ht="15.75" customHeight="1">
      <c r="A939" s="4"/>
      <c r="B939" s="4"/>
      <c r="C939" s="4"/>
    </row>
    <row r="940" spans="1:3" ht="15.75" customHeight="1">
      <c r="A940" s="4"/>
      <c r="B940" s="4"/>
      <c r="C940" s="4"/>
    </row>
    <row r="941" spans="1:3" ht="15.75" customHeight="1">
      <c r="A941" s="4"/>
      <c r="B941" s="4"/>
      <c r="C941" s="4"/>
    </row>
    <row r="942" spans="1:3" ht="15.75" customHeight="1">
      <c r="A942" s="4"/>
      <c r="B942" s="4"/>
      <c r="C942" s="4"/>
    </row>
    <row r="943" spans="1:3" ht="15.75" customHeight="1">
      <c r="A943" s="4"/>
      <c r="B943" s="4"/>
      <c r="C943" s="4"/>
    </row>
    <row r="944" spans="1:3" ht="15.75" customHeight="1">
      <c r="A944" s="4"/>
      <c r="B944" s="4"/>
      <c r="C944" s="4"/>
    </row>
    <row r="945" spans="1:3" ht="15.75" customHeight="1">
      <c r="A945" s="4"/>
      <c r="B945" s="4"/>
      <c r="C945" s="4"/>
    </row>
    <row r="946" spans="1:3" ht="15.75" customHeight="1">
      <c r="A946" s="4"/>
      <c r="B946" s="4"/>
      <c r="C946" s="4"/>
    </row>
    <row r="947" spans="1:3" ht="15.75" customHeight="1">
      <c r="A947" s="4"/>
      <c r="B947" s="4"/>
      <c r="C947" s="4"/>
    </row>
    <row r="948" spans="1:3" ht="15.75" customHeight="1">
      <c r="A948" s="4"/>
      <c r="B948" s="4"/>
      <c r="C948" s="4"/>
    </row>
    <row r="949" spans="1:3" ht="15.75" customHeight="1">
      <c r="A949" s="4"/>
      <c r="B949" s="4"/>
      <c r="C949" s="4"/>
    </row>
    <row r="950" spans="1:3" ht="15.75" customHeight="1">
      <c r="A950" s="4"/>
      <c r="B950" s="4"/>
      <c r="C950" s="4"/>
    </row>
    <row r="951" spans="1:3" ht="15.75" customHeight="1">
      <c r="A951" s="4"/>
      <c r="B951" s="4"/>
      <c r="C951" s="4"/>
    </row>
    <row r="952" spans="1:3" ht="15.75" customHeight="1">
      <c r="A952" s="4"/>
      <c r="B952" s="4"/>
      <c r="C952" s="4"/>
    </row>
    <row r="953" spans="1:3" ht="15.75" customHeight="1">
      <c r="A953" s="4"/>
      <c r="B953" s="4"/>
      <c r="C953" s="4"/>
    </row>
    <row r="954" spans="1:3" ht="15.75" customHeight="1">
      <c r="A954" s="4"/>
      <c r="B954" s="4"/>
      <c r="C954" s="4"/>
    </row>
    <row r="955" spans="1:3" ht="15.75" customHeight="1">
      <c r="A955" s="4"/>
      <c r="B955" s="4"/>
      <c r="C955" s="4"/>
    </row>
    <row r="956" spans="1:3" ht="15.75" customHeight="1">
      <c r="A956" s="4"/>
      <c r="B956" s="4"/>
      <c r="C956" s="4"/>
    </row>
    <row r="957" spans="1:3" ht="15.75" customHeight="1">
      <c r="A957" s="4"/>
      <c r="B957" s="4"/>
      <c r="C957" s="4"/>
    </row>
    <row r="958" spans="1:3" ht="15.75" customHeight="1">
      <c r="A958" s="4"/>
      <c r="B958" s="4"/>
      <c r="C958" s="4"/>
    </row>
    <row r="959" spans="1:3" ht="15.75" customHeight="1">
      <c r="A959" s="4"/>
      <c r="B959" s="4"/>
      <c r="C959" s="4"/>
    </row>
    <row r="960" spans="1:3" ht="15.75" customHeight="1">
      <c r="A960" s="4"/>
      <c r="B960" s="4"/>
      <c r="C960" s="4"/>
    </row>
    <row r="961" spans="1:3" ht="15.75" customHeight="1">
      <c r="A961" s="4"/>
      <c r="B961" s="4"/>
      <c r="C961" s="4"/>
    </row>
    <row r="962" spans="1:3" ht="15.75" customHeight="1">
      <c r="A962" s="4"/>
      <c r="B962" s="4"/>
      <c r="C962" s="4"/>
    </row>
    <row r="963" spans="1:3" ht="15.75" customHeight="1">
      <c r="A963" s="4"/>
      <c r="B963" s="4"/>
      <c r="C963" s="4"/>
    </row>
    <row r="964" spans="1:3" ht="15.75" customHeight="1">
      <c r="A964" s="4"/>
      <c r="B964" s="4"/>
      <c r="C964" s="4"/>
    </row>
    <row r="965" spans="1:3" ht="15.75" customHeight="1">
      <c r="A965" s="4"/>
      <c r="B965" s="4"/>
      <c r="C965" s="4"/>
    </row>
    <row r="966" spans="1:3" ht="15.75" customHeight="1">
      <c r="A966" s="4"/>
      <c r="B966" s="4"/>
      <c r="C966" s="4"/>
    </row>
    <row r="967" spans="1:3" ht="15.75" customHeight="1">
      <c r="A967" s="4"/>
      <c r="B967" s="4"/>
      <c r="C967" s="4"/>
    </row>
    <row r="968" spans="1:3" ht="15.75" customHeight="1">
      <c r="A968" s="4"/>
      <c r="B968" s="4"/>
      <c r="C968" s="4"/>
    </row>
    <row r="969" spans="1:3" ht="15.75" customHeight="1">
      <c r="A969" s="4"/>
      <c r="B969" s="4"/>
      <c r="C969" s="4"/>
    </row>
    <row r="970" spans="1:3" ht="15.75" customHeight="1">
      <c r="A970" s="4"/>
      <c r="B970" s="4"/>
      <c r="C970" s="4"/>
    </row>
    <row r="971" spans="1:3" ht="15.75" customHeight="1">
      <c r="A971" s="4"/>
      <c r="B971" s="4"/>
      <c r="C971" s="4"/>
    </row>
    <row r="972" spans="1:3" ht="15.75" customHeight="1">
      <c r="A972" s="4"/>
      <c r="B972" s="4"/>
      <c r="C972" s="4"/>
    </row>
    <row r="973" spans="1:3" ht="15.75" customHeight="1">
      <c r="A973" s="4"/>
      <c r="B973" s="4"/>
      <c r="C973" s="4"/>
    </row>
    <row r="974" spans="1:3" ht="15.75" customHeight="1">
      <c r="A974" s="4"/>
      <c r="B974" s="4"/>
      <c r="C974" s="4"/>
    </row>
    <row r="975" spans="1:3" ht="15.75" customHeight="1">
      <c r="A975" s="4"/>
      <c r="B975" s="4"/>
      <c r="C975" s="4"/>
    </row>
    <row r="976" spans="1:3" ht="15.75" customHeight="1">
      <c r="A976" s="4"/>
      <c r="B976" s="4"/>
      <c r="C976" s="4"/>
    </row>
    <row r="977" spans="1:3" ht="15.75" customHeight="1">
      <c r="A977" s="4"/>
      <c r="B977" s="4"/>
      <c r="C977" s="4"/>
    </row>
    <row r="978" spans="1:3" ht="15.75" customHeight="1">
      <c r="A978" s="4"/>
      <c r="B978" s="4"/>
      <c r="C978" s="4"/>
    </row>
    <row r="979" spans="1:3" ht="15.75" customHeight="1">
      <c r="A979" s="4"/>
      <c r="B979" s="4"/>
      <c r="C979" s="4"/>
    </row>
    <row r="980" spans="1:3" ht="15.75" customHeight="1">
      <c r="A980" s="4"/>
      <c r="B980" s="4"/>
      <c r="C980" s="4"/>
    </row>
    <row r="981" spans="1:3" ht="15.75" customHeight="1">
      <c r="A981" s="4"/>
      <c r="B981" s="4"/>
      <c r="C981" s="4"/>
    </row>
    <row r="982" spans="1:3" ht="15.75" customHeight="1">
      <c r="A982" s="4"/>
      <c r="B982" s="4"/>
      <c r="C982" s="4"/>
    </row>
    <row r="983" spans="1:3" ht="15.75" customHeight="1">
      <c r="A983" s="4"/>
      <c r="B983" s="4"/>
      <c r="C983" s="4"/>
    </row>
    <row r="984" spans="1:3" ht="15.75" customHeight="1">
      <c r="A984" s="4"/>
      <c r="B984" s="4"/>
      <c r="C984" s="4"/>
    </row>
    <row r="985" spans="1:3" ht="15.75" customHeight="1">
      <c r="A985" s="4"/>
      <c r="B985" s="4"/>
      <c r="C985" s="4"/>
    </row>
    <row r="986" spans="1:3" ht="15.75" customHeight="1">
      <c r="A986" s="4"/>
      <c r="B986" s="4"/>
      <c r="C986" s="4"/>
    </row>
    <row r="987" spans="1:3" ht="15.75" customHeight="1">
      <c r="A987" s="4"/>
      <c r="B987" s="4"/>
      <c r="C987" s="4"/>
    </row>
    <row r="988" spans="1:3" ht="15.75" customHeight="1">
      <c r="A988" s="4"/>
      <c r="B988" s="4"/>
      <c r="C988" s="4"/>
    </row>
    <row r="989" spans="1:3" ht="15.75" customHeight="1">
      <c r="A989" s="4"/>
      <c r="B989" s="4"/>
      <c r="C989" s="4"/>
    </row>
    <row r="990" spans="1:3" ht="15.75" customHeight="1">
      <c r="A990" s="4"/>
      <c r="B990" s="4"/>
      <c r="C990" s="4"/>
    </row>
    <row r="991" spans="1:3" ht="15.75" customHeight="1">
      <c r="A991" s="4"/>
      <c r="B991" s="4"/>
      <c r="C991" s="4"/>
    </row>
    <row r="992" spans="1:3" ht="15.75" customHeight="1">
      <c r="A992" s="4"/>
      <c r="B992" s="4"/>
      <c r="C992" s="4"/>
    </row>
    <row r="993" spans="1:3" ht="15.75" customHeight="1">
      <c r="A993" s="4"/>
      <c r="B993" s="4"/>
      <c r="C993" s="4"/>
    </row>
    <row r="994" spans="1:3" ht="15.75" customHeight="1">
      <c r="A994" s="4"/>
      <c r="B994" s="4"/>
      <c r="C994" s="4"/>
    </row>
    <row r="995" spans="1:3" ht="15.75" customHeight="1">
      <c r="A995" s="4"/>
      <c r="B995" s="4"/>
      <c r="C995" s="4"/>
    </row>
    <row r="996" spans="1:3" ht="15.75" customHeight="1">
      <c r="A996" s="4"/>
      <c r="B996" s="4"/>
      <c r="C996" s="4"/>
    </row>
    <row r="997" spans="1:3" ht="15.75" customHeight="1">
      <c r="A997" s="4"/>
      <c r="B997" s="4"/>
      <c r="C997" s="4"/>
    </row>
    <row r="998" spans="1:3" ht="15.75" customHeight="1">
      <c r="A998" s="4"/>
      <c r="B998" s="4"/>
      <c r="C998" s="4"/>
    </row>
    <row r="999" spans="1:3" ht="15.75" customHeight="1">
      <c r="A999" s="4"/>
      <c r="B999" s="4"/>
      <c r="C999" s="4"/>
    </row>
    <row r="1000" spans="1:3" ht="15.75" customHeight="1">
      <c r="A1000" s="4"/>
      <c r="B1000" s="4"/>
      <c r="C1000"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 Sheet - Transportation</vt:lpstr>
      <vt:lpstr>Cost Calculations</vt:lpstr>
      <vt:lpstr>Budget</vt:lpstr>
      <vt:lpstr>Road data</vt:lpstr>
      <vt:lpstr>Variables</vt:lpstr>
      <vt:lpstr>Population</vt:lpstr>
      <vt:lpstr>Household Information</vt:lpstr>
      <vt:lpstr>Area</vt:lpstr>
      <vt:lpstr>CPI</vt:lpstr>
      <vt:lpstr>Road Pavement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Mihir</dc:creator>
  <cp:lastModifiedBy>Suzanne Schadel</cp:lastModifiedBy>
  <dcterms:created xsi:type="dcterms:W3CDTF">2019-07-15T11:45:00Z</dcterms:created>
  <dcterms:modified xsi:type="dcterms:W3CDTF">2020-01-28T22:10:06Z</dcterms:modified>
</cp:coreProperties>
</file>