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uzan\OneDrive\DOCUME~1\Adulting\Jobs\AIDDAT~1\UNHABI~1\Report\INDIAB~1\"/>
    </mc:Choice>
  </mc:AlternateContent>
  <xr:revisionPtr revIDLastSave="0" documentId="8_{89AD71CA-1898-406A-8513-C2858DF3D62C}" xr6:coauthVersionLast="44" xr6:coauthVersionMax="44" xr10:uidLastSave="{00000000-0000-0000-0000-000000000000}"/>
  <bookViews>
    <workbookView xWindow="28680" yWindow="-120" windowWidth="19440" windowHeight="15000" activeTab="1" xr2:uid="{00000000-000D-0000-FFFF-FFFF00000000}"/>
  </bookViews>
  <sheets>
    <sheet name="Summary Sheet - Open Spaces" sheetId="1" r:id="rId1"/>
    <sheet name="Cost Calculations" sheetId="8" r:id="rId2"/>
    <sheet name="Variables" sheetId="3" r:id="rId3"/>
    <sheet name="Land costs" sheetId="15" state="hidden" r:id="rId4"/>
    <sheet name="Existing Open Space" sheetId="16" state="hidden" r:id="rId5"/>
    <sheet name="Capital costs &amp; Budget" sheetId="11" state="hidden" r:id="rId6"/>
    <sheet name="Population" sheetId="12" state="hidden" r:id="rId7"/>
    <sheet name="Area" sheetId="14" state="hidden" r:id="rId8"/>
  </sheets>
  <definedNames>
    <definedName name="_xlnm._FilterDatabase" localSheetId="3" hidden="1">'Land costs'!$A$1:$I$1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8" l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" i="8"/>
  <c r="C3" i="16"/>
  <c r="D2" i="12" l="1"/>
  <c r="J5" i="8" l="1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4" i="8"/>
  <c r="E95" i="15"/>
  <c r="E92" i="15"/>
  <c r="E31" i="15"/>
  <c r="E29" i="15"/>
  <c r="E15" i="15"/>
  <c r="L6" i="15"/>
  <c r="L5" i="15"/>
  <c r="E62" i="15" s="1"/>
  <c r="L4" i="15"/>
  <c r="E73" i="15" s="1"/>
  <c r="E89" i="15"/>
  <c r="E25" i="8"/>
  <c r="E70" i="15" l="1"/>
  <c r="E72" i="15"/>
  <c r="E20" i="15"/>
  <c r="E23" i="15"/>
  <c r="E71" i="15"/>
  <c r="E32" i="15"/>
  <c r="E4" i="15"/>
  <c r="E9" i="15"/>
  <c r="E30" i="15"/>
  <c r="E10" i="15"/>
  <c r="C38" i="16"/>
  <c r="C31" i="16"/>
  <c r="C29" i="16"/>
  <c r="C27" i="16"/>
  <c r="C22" i="16"/>
  <c r="C20" i="16"/>
  <c r="C17" i="16"/>
  <c r="C16" i="16"/>
  <c r="C14" i="16"/>
  <c r="C6" i="16"/>
  <c r="C5" i="16"/>
  <c r="C4" i="16"/>
  <c r="C10" i="16"/>
  <c r="C21" i="16"/>
  <c r="D467" i="8" l="1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466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24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382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40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298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56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14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172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30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H94" i="15" l="1"/>
  <c r="G94" i="15" s="1"/>
  <c r="F94" i="15" s="1"/>
  <c r="H91" i="15"/>
  <c r="G91" i="15" s="1"/>
  <c r="F91" i="15" s="1"/>
  <c r="H73" i="15"/>
  <c r="H71" i="15"/>
  <c r="H97" i="15" l="1"/>
  <c r="G97" i="15" s="1"/>
  <c r="F97" i="15" s="1"/>
  <c r="H96" i="15"/>
  <c r="H93" i="15"/>
  <c r="H90" i="15"/>
  <c r="G90" i="15" s="1"/>
  <c r="F90" i="15" s="1"/>
  <c r="H89" i="15"/>
  <c r="G88" i="15"/>
  <c r="F88" i="15" s="1"/>
  <c r="H87" i="15"/>
  <c r="H86" i="15"/>
  <c r="G86" i="15" s="1"/>
  <c r="F86" i="15" s="1"/>
  <c r="H85" i="15"/>
  <c r="G85" i="15" s="1"/>
  <c r="F85" i="15" s="1"/>
  <c r="H84" i="15"/>
  <c r="G84" i="15" s="1"/>
  <c r="F84" i="15" s="1"/>
  <c r="H83" i="15"/>
  <c r="H82" i="15"/>
  <c r="G82" i="15" s="1"/>
  <c r="F82" i="15" s="1"/>
  <c r="H81" i="15"/>
  <c r="H80" i="15"/>
  <c r="G80" i="15" s="1"/>
  <c r="F80" i="15" s="1"/>
  <c r="H79" i="15"/>
  <c r="H78" i="15"/>
  <c r="G78" i="15" s="1"/>
  <c r="F78" i="15" s="1"/>
  <c r="H77" i="15"/>
  <c r="G77" i="15" s="1"/>
  <c r="F77" i="15" s="1"/>
  <c r="H76" i="15"/>
  <c r="G76" i="15" s="1"/>
  <c r="F76" i="15" s="1"/>
  <c r="H75" i="15"/>
  <c r="G75" i="15" s="1"/>
  <c r="F75" i="15" s="1"/>
  <c r="H74" i="15"/>
  <c r="H69" i="15" l="1"/>
  <c r="G69" i="15" s="1"/>
  <c r="F69" i="15" s="1"/>
  <c r="H68" i="15"/>
  <c r="G68" i="15" s="1"/>
  <c r="F68" i="15" s="1"/>
  <c r="H67" i="15"/>
  <c r="G67" i="15" s="1"/>
  <c r="F67" i="15" s="1"/>
  <c r="H66" i="15"/>
  <c r="H65" i="15"/>
  <c r="G65" i="15" s="1"/>
  <c r="F65" i="15" s="1"/>
  <c r="H64" i="15"/>
  <c r="G64" i="15" s="1"/>
  <c r="F64" i="15" s="1"/>
  <c r="H63" i="15"/>
  <c r="H62" i="15"/>
  <c r="H61" i="15"/>
  <c r="G61" i="15" s="1"/>
  <c r="F61" i="15" s="1"/>
  <c r="H60" i="15"/>
  <c r="G60" i="15" s="1"/>
  <c r="F60" i="15" s="1"/>
  <c r="H59" i="15"/>
  <c r="H58" i="15"/>
  <c r="G58" i="15" s="1"/>
  <c r="F58" i="15" s="1"/>
  <c r="H57" i="15"/>
  <c r="G57" i="15" s="1"/>
  <c r="F57" i="15" s="1"/>
  <c r="H56" i="15"/>
  <c r="G56" i="15" s="1"/>
  <c r="F56" i="15" s="1"/>
  <c r="H55" i="15"/>
  <c r="G55" i="15" s="1"/>
  <c r="F55" i="15" s="1"/>
  <c r="H54" i="15"/>
  <c r="H53" i="15"/>
  <c r="G53" i="15" s="1"/>
  <c r="F53" i="15" s="1"/>
  <c r="H52" i="15"/>
  <c r="G52" i="15" s="1"/>
  <c r="F52" i="15" s="1"/>
  <c r="H51" i="15"/>
  <c r="H45" i="15"/>
  <c r="G45" i="15" s="1"/>
  <c r="F45" i="15" s="1"/>
  <c r="H44" i="15"/>
  <c r="G44" i="15" s="1"/>
  <c r="F44" i="15" s="1"/>
  <c r="H43" i="15"/>
  <c r="G43" i="15" s="1"/>
  <c r="F43" i="15" s="1"/>
  <c r="H42" i="15"/>
  <c r="H50" i="15"/>
  <c r="G50" i="15" s="1"/>
  <c r="F50" i="15" s="1"/>
  <c r="H49" i="15"/>
  <c r="G49" i="15" s="1"/>
  <c r="F49" i="15" s="1"/>
  <c r="H48" i="15"/>
  <c r="G48" i="15" s="1"/>
  <c r="F48" i="15" s="1"/>
  <c r="H47" i="15"/>
  <c r="G47" i="15" s="1"/>
  <c r="F47" i="15" s="1"/>
  <c r="H46" i="15"/>
  <c r="G41" i="15"/>
  <c r="F41" i="15" s="1"/>
  <c r="G40" i="15"/>
  <c r="F40" i="15" s="1"/>
  <c r="G39" i="15"/>
  <c r="F39" i="15" s="1"/>
  <c r="G37" i="15"/>
  <c r="F37" i="15" s="1"/>
  <c r="G38" i="15"/>
  <c r="F38" i="15" s="1"/>
  <c r="H36" i="15"/>
  <c r="G36" i="15" s="1"/>
  <c r="F36" i="15" s="1"/>
  <c r="E36" i="15" s="1"/>
  <c r="H35" i="15"/>
  <c r="G35" i="15" s="1"/>
  <c r="F35" i="15" s="1"/>
  <c r="H34" i="15"/>
  <c r="G34" i="15" s="1"/>
  <c r="F34" i="15" s="1"/>
  <c r="H33" i="15"/>
  <c r="H32" i="15"/>
  <c r="H30" i="15"/>
  <c r="G30" i="15" s="1"/>
  <c r="F30" i="15" s="1"/>
  <c r="G29" i="15"/>
  <c r="F29" i="15" s="1"/>
  <c r="H28" i="15"/>
  <c r="G28" i="15" s="1"/>
  <c r="F28" i="15" s="1"/>
  <c r="H27" i="15"/>
  <c r="H26" i="15"/>
  <c r="G26" i="15" s="1"/>
  <c r="F26" i="15" s="1"/>
  <c r="H24" i="15"/>
  <c r="H25" i="15"/>
  <c r="G25" i="15" s="1"/>
  <c r="F25" i="15" s="1"/>
  <c r="H22" i="15"/>
  <c r="G22" i="15" s="1"/>
  <c r="F22" i="15" s="1"/>
  <c r="H21" i="15"/>
  <c r="H19" i="15"/>
  <c r="G19" i="15" s="1"/>
  <c r="F19" i="15" s="1"/>
  <c r="H18" i="15"/>
  <c r="G18" i="15" s="1"/>
  <c r="F18" i="15" s="1"/>
  <c r="H17" i="15"/>
  <c r="G17" i="15" s="1"/>
  <c r="F17" i="15" s="1"/>
  <c r="H16" i="15"/>
  <c r="H14" i="15"/>
  <c r="G14" i="15" s="1"/>
  <c r="F14" i="15" s="1"/>
  <c r="H13" i="15"/>
  <c r="H12" i="15"/>
  <c r="G12" i="15" s="1"/>
  <c r="F12" i="15" s="1"/>
  <c r="H11" i="15"/>
  <c r="G11" i="15" s="1"/>
  <c r="F11" i="15" s="1"/>
  <c r="H10" i="15"/>
  <c r="H9" i="15"/>
  <c r="H8" i="15"/>
  <c r="G8" i="15" s="1"/>
  <c r="F8" i="15" s="1"/>
  <c r="H7" i="15"/>
  <c r="G7" i="15" s="1"/>
  <c r="F7" i="15" s="1"/>
  <c r="H6" i="15"/>
  <c r="G6" i="15" s="1"/>
  <c r="F6" i="15" s="1"/>
  <c r="H5" i="15"/>
  <c r="H3" i="15" l="1"/>
  <c r="G3" i="15" s="1"/>
  <c r="F3" i="15" s="1"/>
  <c r="G5" i="15"/>
  <c r="F5" i="15" s="1"/>
  <c r="G9" i="15"/>
  <c r="F9" i="15" s="1"/>
  <c r="G10" i="15"/>
  <c r="F10" i="15" s="1"/>
  <c r="G13" i="15"/>
  <c r="F13" i="15" s="1"/>
  <c r="G16" i="15"/>
  <c r="F16" i="15" s="1"/>
  <c r="G20" i="15"/>
  <c r="F20" i="15" s="1"/>
  <c r="G21" i="15"/>
  <c r="F21" i="15" s="1"/>
  <c r="G23" i="15"/>
  <c r="F23" i="15" s="1"/>
  <c r="G24" i="15"/>
  <c r="F24" i="15" s="1"/>
  <c r="E24" i="15" s="1"/>
  <c r="G27" i="15"/>
  <c r="F27" i="15" s="1"/>
  <c r="E27" i="15" s="1"/>
  <c r="G31" i="15"/>
  <c r="F31" i="15" s="1"/>
  <c r="G32" i="15"/>
  <c r="F32" i="15" s="1"/>
  <c r="G33" i="15"/>
  <c r="F33" i="15" s="1"/>
  <c r="E33" i="15" s="1"/>
  <c r="G42" i="15"/>
  <c r="F42" i="15" s="1"/>
  <c r="E42" i="15" s="1"/>
  <c r="G46" i="15"/>
  <c r="F46" i="15" s="1"/>
  <c r="E46" i="15" s="1"/>
  <c r="G51" i="15"/>
  <c r="F51" i="15" s="1"/>
  <c r="E51" i="15" s="1"/>
  <c r="G54" i="15"/>
  <c r="F54" i="15" s="1"/>
  <c r="E54" i="15" s="1"/>
  <c r="G59" i="15"/>
  <c r="F59" i="15" s="1"/>
  <c r="E59" i="15" s="1"/>
  <c r="G62" i="15"/>
  <c r="F62" i="15" s="1"/>
  <c r="G63" i="15"/>
  <c r="F63" i="15" s="1"/>
  <c r="E63" i="15" s="1"/>
  <c r="G66" i="15"/>
  <c r="F66" i="15" s="1"/>
  <c r="E66" i="15" s="1"/>
  <c r="G70" i="15"/>
  <c r="F70" i="15" s="1"/>
  <c r="G71" i="15"/>
  <c r="F71" i="15" s="1"/>
  <c r="G72" i="15"/>
  <c r="F72" i="15" s="1"/>
  <c r="G73" i="15"/>
  <c r="F73" i="15" s="1"/>
  <c r="G74" i="15"/>
  <c r="F74" i="15" s="1"/>
  <c r="E74" i="15" s="1"/>
  <c r="G79" i="15"/>
  <c r="F79" i="15" s="1"/>
  <c r="E79" i="15" s="1"/>
  <c r="G81" i="15"/>
  <c r="F81" i="15" s="1"/>
  <c r="G83" i="15"/>
  <c r="F83" i="15" s="1"/>
  <c r="E83" i="15" s="1"/>
  <c r="G87" i="15"/>
  <c r="F87" i="15" s="1"/>
  <c r="E87" i="15" s="1"/>
  <c r="G89" i="15"/>
  <c r="F89" i="15" s="1"/>
  <c r="G92" i="15"/>
  <c r="F92" i="15" s="1"/>
  <c r="G93" i="15"/>
  <c r="F93" i="15" s="1"/>
  <c r="G95" i="15"/>
  <c r="F95" i="15" s="1"/>
  <c r="G96" i="15"/>
  <c r="F96" i="15" s="1"/>
  <c r="E96" i="15" s="1"/>
  <c r="H2" i="15"/>
  <c r="G2" i="15" s="1"/>
  <c r="F2" i="15" s="1"/>
  <c r="E2" i="15" s="1"/>
  <c r="E11" i="15" l="1"/>
  <c r="E93" i="15"/>
  <c r="E16" i="15"/>
  <c r="E5" i="15"/>
  <c r="E81" i="15"/>
  <c r="E13" i="15"/>
  <c r="E21" i="15"/>
  <c r="F467" i="8" l="1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D22" i="14"/>
  <c r="E22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E35" i="14" s="1"/>
  <c r="F37" i="8" s="1"/>
  <c r="C36" i="14"/>
  <c r="C37" i="14"/>
  <c r="C38" i="14"/>
  <c r="C39" i="14"/>
  <c r="C40" i="14"/>
  <c r="C41" i="14"/>
  <c r="C42" i="14"/>
  <c r="C43" i="14"/>
  <c r="C23" i="14"/>
  <c r="C21" i="14"/>
  <c r="C19" i="14"/>
  <c r="C18" i="14"/>
  <c r="C16" i="14"/>
  <c r="C15" i="14"/>
  <c r="C3" i="14"/>
  <c r="C4" i="14"/>
  <c r="C5" i="14"/>
  <c r="C6" i="14"/>
  <c r="C7" i="14"/>
  <c r="C8" i="14"/>
  <c r="C9" i="14"/>
  <c r="C10" i="14"/>
  <c r="C11" i="14"/>
  <c r="C12" i="14"/>
  <c r="C13" i="14"/>
  <c r="C2" i="14"/>
  <c r="F38" i="8"/>
  <c r="F39" i="8"/>
  <c r="F40" i="8"/>
  <c r="F41" i="8"/>
  <c r="F42" i="8"/>
  <c r="F43" i="8"/>
  <c r="F44" i="8"/>
  <c r="F45" i="8"/>
  <c r="F20" i="8"/>
  <c r="F13" i="8"/>
  <c r="F9" i="8"/>
  <c r="F24" i="8" l="1"/>
  <c r="O42" i="12" l="1"/>
  <c r="E2" i="12"/>
  <c r="F2" i="12"/>
  <c r="G2" i="12"/>
  <c r="H2" i="12"/>
  <c r="I2" i="12"/>
  <c r="J2" i="12"/>
  <c r="K2" i="12"/>
  <c r="L2" i="12"/>
  <c r="M2" i="12"/>
  <c r="N2" i="12"/>
  <c r="O2" i="12"/>
  <c r="E3" i="12"/>
  <c r="F3" i="12"/>
  <c r="G3" i="12"/>
  <c r="H3" i="12"/>
  <c r="I3" i="12"/>
  <c r="J3" i="12"/>
  <c r="K3" i="12"/>
  <c r="L3" i="12"/>
  <c r="M3" i="12"/>
  <c r="N3" i="12"/>
  <c r="O3" i="12"/>
  <c r="E4" i="12"/>
  <c r="F4" i="12"/>
  <c r="G4" i="12"/>
  <c r="H4" i="12"/>
  <c r="I4" i="12"/>
  <c r="J4" i="12"/>
  <c r="K4" i="12"/>
  <c r="L4" i="12"/>
  <c r="M4" i="12"/>
  <c r="N4" i="12"/>
  <c r="O4" i="12"/>
  <c r="E5" i="12"/>
  <c r="F5" i="12"/>
  <c r="G5" i="12"/>
  <c r="H5" i="12"/>
  <c r="I5" i="12"/>
  <c r="J5" i="12"/>
  <c r="K5" i="12"/>
  <c r="L5" i="12"/>
  <c r="M5" i="12"/>
  <c r="N5" i="12"/>
  <c r="O5" i="12"/>
  <c r="E6" i="12"/>
  <c r="F6" i="12"/>
  <c r="G6" i="12"/>
  <c r="H6" i="12"/>
  <c r="I6" i="12"/>
  <c r="J6" i="12"/>
  <c r="K6" i="12"/>
  <c r="L6" i="12"/>
  <c r="M6" i="12"/>
  <c r="N6" i="12"/>
  <c r="O6" i="12"/>
  <c r="E7" i="12"/>
  <c r="F7" i="12"/>
  <c r="G7" i="12"/>
  <c r="H7" i="12"/>
  <c r="I7" i="12"/>
  <c r="J7" i="12"/>
  <c r="K7" i="12"/>
  <c r="L7" i="12"/>
  <c r="M7" i="12"/>
  <c r="N7" i="12"/>
  <c r="O7" i="12"/>
  <c r="E8" i="12"/>
  <c r="F8" i="12"/>
  <c r="G8" i="12"/>
  <c r="H8" i="12"/>
  <c r="I8" i="12"/>
  <c r="J8" i="12"/>
  <c r="K8" i="12"/>
  <c r="L8" i="12"/>
  <c r="M8" i="12"/>
  <c r="N8" i="12"/>
  <c r="O8" i="12"/>
  <c r="E9" i="12"/>
  <c r="F9" i="12"/>
  <c r="G9" i="12"/>
  <c r="H9" i="12"/>
  <c r="I9" i="12"/>
  <c r="J9" i="12"/>
  <c r="K9" i="12"/>
  <c r="L9" i="12"/>
  <c r="M9" i="12"/>
  <c r="N9" i="12"/>
  <c r="O9" i="12"/>
  <c r="E10" i="12"/>
  <c r="F10" i="12"/>
  <c r="G10" i="12"/>
  <c r="H10" i="12"/>
  <c r="I10" i="12"/>
  <c r="J10" i="12"/>
  <c r="K10" i="12"/>
  <c r="L10" i="12"/>
  <c r="M10" i="12"/>
  <c r="N10" i="12"/>
  <c r="O10" i="12"/>
  <c r="E11" i="12"/>
  <c r="F11" i="12"/>
  <c r="G11" i="12"/>
  <c r="H11" i="12"/>
  <c r="I11" i="12"/>
  <c r="J11" i="12"/>
  <c r="K11" i="12"/>
  <c r="L11" i="12"/>
  <c r="M11" i="12"/>
  <c r="N11" i="12"/>
  <c r="O11" i="12"/>
  <c r="E12" i="12"/>
  <c r="F12" i="12"/>
  <c r="G12" i="12"/>
  <c r="H12" i="12"/>
  <c r="I12" i="12"/>
  <c r="J12" i="12"/>
  <c r="K12" i="12"/>
  <c r="L12" i="12"/>
  <c r="M12" i="12"/>
  <c r="N12" i="12"/>
  <c r="O12" i="12"/>
  <c r="E13" i="12"/>
  <c r="F13" i="12"/>
  <c r="G13" i="12"/>
  <c r="H13" i="12"/>
  <c r="I13" i="12"/>
  <c r="J13" i="12"/>
  <c r="K13" i="12"/>
  <c r="L13" i="12"/>
  <c r="M13" i="12"/>
  <c r="N13" i="12"/>
  <c r="O13" i="12"/>
  <c r="E14" i="12"/>
  <c r="F14" i="12"/>
  <c r="G14" i="12"/>
  <c r="H14" i="12"/>
  <c r="I14" i="12"/>
  <c r="J14" i="12"/>
  <c r="K14" i="12"/>
  <c r="L14" i="12"/>
  <c r="M14" i="12"/>
  <c r="N14" i="12"/>
  <c r="O14" i="12"/>
  <c r="E15" i="12"/>
  <c r="F15" i="12"/>
  <c r="G15" i="12"/>
  <c r="H15" i="12"/>
  <c r="I15" i="12"/>
  <c r="J15" i="12"/>
  <c r="K15" i="12"/>
  <c r="L15" i="12"/>
  <c r="M15" i="12"/>
  <c r="N15" i="12"/>
  <c r="O15" i="12"/>
  <c r="E16" i="12"/>
  <c r="F16" i="12"/>
  <c r="G16" i="12"/>
  <c r="H16" i="12"/>
  <c r="I16" i="12"/>
  <c r="J16" i="12"/>
  <c r="K16" i="12"/>
  <c r="L16" i="12"/>
  <c r="M16" i="12"/>
  <c r="N16" i="12"/>
  <c r="O16" i="12"/>
  <c r="E17" i="12"/>
  <c r="F17" i="12"/>
  <c r="G17" i="12"/>
  <c r="H17" i="12"/>
  <c r="I17" i="12"/>
  <c r="J17" i="12"/>
  <c r="K17" i="12"/>
  <c r="L17" i="12"/>
  <c r="M17" i="12"/>
  <c r="N17" i="12"/>
  <c r="O17" i="12"/>
  <c r="E18" i="12"/>
  <c r="F18" i="12"/>
  <c r="G18" i="12"/>
  <c r="H18" i="12"/>
  <c r="I18" i="12"/>
  <c r="J18" i="12"/>
  <c r="K18" i="12"/>
  <c r="L18" i="12"/>
  <c r="M18" i="12"/>
  <c r="N18" i="12"/>
  <c r="O18" i="12"/>
  <c r="E19" i="12"/>
  <c r="F19" i="12"/>
  <c r="G19" i="12"/>
  <c r="H19" i="12"/>
  <c r="I19" i="12"/>
  <c r="J19" i="12"/>
  <c r="K19" i="12"/>
  <c r="L19" i="12"/>
  <c r="M19" i="12"/>
  <c r="N19" i="12"/>
  <c r="O19" i="12"/>
  <c r="E20" i="12"/>
  <c r="F20" i="12"/>
  <c r="G20" i="12"/>
  <c r="H20" i="12"/>
  <c r="I20" i="12"/>
  <c r="J20" i="12"/>
  <c r="K20" i="12"/>
  <c r="L20" i="12"/>
  <c r="M20" i="12"/>
  <c r="N20" i="12"/>
  <c r="O20" i="12"/>
  <c r="E21" i="12"/>
  <c r="F21" i="12"/>
  <c r="G21" i="12"/>
  <c r="H21" i="12"/>
  <c r="I21" i="12"/>
  <c r="J21" i="12"/>
  <c r="K21" i="12"/>
  <c r="L21" i="12"/>
  <c r="M21" i="12"/>
  <c r="N21" i="12"/>
  <c r="O21" i="12"/>
  <c r="E22" i="12"/>
  <c r="F22" i="12"/>
  <c r="G22" i="12"/>
  <c r="H22" i="12"/>
  <c r="I22" i="12"/>
  <c r="J22" i="12"/>
  <c r="K22" i="12"/>
  <c r="L22" i="12"/>
  <c r="M22" i="12"/>
  <c r="N22" i="12"/>
  <c r="O22" i="12"/>
  <c r="E23" i="12"/>
  <c r="F23" i="12"/>
  <c r="G23" i="12"/>
  <c r="H23" i="12"/>
  <c r="I23" i="12"/>
  <c r="J23" i="12"/>
  <c r="K23" i="12"/>
  <c r="L23" i="12"/>
  <c r="M23" i="12"/>
  <c r="N23" i="12"/>
  <c r="O23" i="12"/>
  <c r="E24" i="12"/>
  <c r="F24" i="12"/>
  <c r="G24" i="12"/>
  <c r="H24" i="12"/>
  <c r="I24" i="12"/>
  <c r="J24" i="12"/>
  <c r="K24" i="12"/>
  <c r="L24" i="12"/>
  <c r="M24" i="12"/>
  <c r="N24" i="12"/>
  <c r="O24" i="12"/>
  <c r="E25" i="12"/>
  <c r="F25" i="12"/>
  <c r="G25" i="12"/>
  <c r="H25" i="12"/>
  <c r="I25" i="12"/>
  <c r="J25" i="12"/>
  <c r="K25" i="12"/>
  <c r="L25" i="12"/>
  <c r="M25" i="12"/>
  <c r="N25" i="12"/>
  <c r="O25" i="12"/>
  <c r="E26" i="12"/>
  <c r="F26" i="12"/>
  <c r="G26" i="12"/>
  <c r="H26" i="12"/>
  <c r="I26" i="12"/>
  <c r="J26" i="12"/>
  <c r="K26" i="12"/>
  <c r="L26" i="12"/>
  <c r="M26" i="12"/>
  <c r="N26" i="12"/>
  <c r="O26" i="12"/>
  <c r="E27" i="12"/>
  <c r="F27" i="12"/>
  <c r="G27" i="12"/>
  <c r="H27" i="12"/>
  <c r="I27" i="12"/>
  <c r="J27" i="12"/>
  <c r="K27" i="12"/>
  <c r="L27" i="12"/>
  <c r="M27" i="12"/>
  <c r="N27" i="12"/>
  <c r="O27" i="12"/>
  <c r="E28" i="12"/>
  <c r="F28" i="12"/>
  <c r="G28" i="12"/>
  <c r="H28" i="12"/>
  <c r="I28" i="12"/>
  <c r="J28" i="12"/>
  <c r="K28" i="12"/>
  <c r="L28" i="12"/>
  <c r="M28" i="12"/>
  <c r="N28" i="12"/>
  <c r="O28" i="12"/>
  <c r="E29" i="12"/>
  <c r="F29" i="12"/>
  <c r="G29" i="12"/>
  <c r="H29" i="12"/>
  <c r="I29" i="12"/>
  <c r="J29" i="12"/>
  <c r="K29" i="12"/>
  <c r="L29" i="12"/>
  <c r="M29" i="12"/>
  <c r="N29" i="12"/>
  <c r="O29" i="12"/>
  <c r="E30" i="12"/>
  <c r="F30" i="12"/>
  <c r="G30" i="12"/>
  <c r="H30" i="12"/>
  <c r="I30" i="12"/>
  <c r="J30" i="12"/>
  <c r="K30" i="12"/>
  <c r="L30" i="12"/>
  <c r="M30" i="12"/>
  <c r="N30" i="12"/>
  <c r="O30" i="12"/>
  <c r="E31" i="12"/>
  <c r="F31" i="12"/>
  <c r="G31" i="12"/>
  <c r="H31" i="12"/>
  <c r="I31" i="12"/>
  <c r="J31" i="12"/>
  <c r="K31" i="12"/>
  <c r="L31" i="12"/>
  <c r="M31" i="12"/>
  <c r="N31" i="12"/>
  <c r="O31" i="12"/>
  <c r="E32" i="12"/>
  <c r="F32" i="12"/>
  <c r="G32" i="12"/>
  <c r="H32" i="12"/>
  <c r="I32" i="12"/>
  <c r="J32" i="12"/>
  <c r="K32" i="12"/>
  <c r="L32" i="12"/>
  <c r="M32" i="12"/>
  <c r="N32" i="12"/>
  <c r="O32" i="12"/>
  <c r="E33" i="12"/>
  <c r="F33" i="12"/>
  <c r="G33" i="12"/>
  <c r="H33" i="12"/>
  <c r="I33" i="12"/>
  <c r="J33" i="12"/>
  <c r="K33" i="12"/>
  <c r="L33" i="12"/>
  <c r="M33" i="12"/>
  <c r="N33" i="12"/>
  <c r="O33" i="12"/>
  <c r="E34" i="12"/>
  <c r="F34" i="12"/>
  <c r="G34" i="12"/>
  <c r="H34" i="12"/>
  <c r="I34" i="12"/>
  <c r="J34" i="12"/>
  <c r="K34" i="12"/>
  <c r="L34" i="12"/>
  <c r="M34" i="12"/>
  <c r="N34" i="12"/>
  <c r="O34" i="12"/>
  <c r="E35" i="12"/>
  <c r="F35" i="12"/>
  <c r="G35" i="12"/>
  <c r="H35" i="12"/>
  <c r="I35" i="12"/>
  <c r="J35" i="12"/>
  <c r="K35" i="12"/>
  <c r="L35" i="12"/>
  <c r="M35" i="12"/>
  <c r="N35" i="12"/>
  <c r="O35" i="12"/>
  <c r="E36" i="12"/>
  <c r="F36" i="12"/>
  <c r="G36" i="12"/>
  <c r="H36" i="12"/>
  <c r="I36" i="12"/>
  <c r="J36" i="12"/>
  <c r="K36" i="12"/>
  <c r="L36" i="12"/>
  <c r="M36" i="12"/>
  <c r="N36" i="12"/>
  <c r="O36" i="12"/>
  <c r="E37" i="12"/>
  <c r="F37" i="12"/>
  <c r="G37" i="12"/>
  <c r="H37" i="12"/>
  <c r="I37" i="12"/>
  <c r="J37" i="12"/>
  <c r="K37" i="12"/>
  <c r="L37" i="12"/>
  <c r="M37" i="12"/>
  <c r="N37" i="12"/>
  <c r="O37" i="12"/>
  <c r="E38" i="12"/>
  <c r="F38" i="12"/>
  <c r="G38" i="12"/>
  <c r="H38" i="12"/>
  <c r="I38" i="12"/>
  <c r="J38" i="12"/>
  <c r="K38" i="12"/>
  <c r="L38" i="12"/>
  <c r="M38" i="12"/>
  <c r="N38" i="12"/>
  <c r="O38" i="12"/>
  <c r="E39" i="12"/>
  <c r="F39" i="12"/>
  <c r="G39" i="12"/>
  <c r="H39" i="12"/>
  <c r="I39" i="12"/>
  <c r="J39" i="12"/>
  <c r="K39" i="12"/>
  <c r="L39" i="12"/>
  <c r="M39" i="12"/>
  <c r="N39" i="12"/>
  <c r="O39" i="12"/>
  <c r="E40" i="12"/>
  <c r="F40" i="12"/>
  <c r="G40" i="12"/>
  <c r="H40" i="12"/>
  <c r="I40" i="12"/>
  <c r="J40" i="12"/>
  <c r="K40" i="12"/>
  <c r="L40" i="12"/>
  <c r="M40" i="12"/>
  <c r="N40" i="12"/>
  <c r="O40" i="12"/>
  <c r="E41" i="12"/>
  <c r="F41" i="12"/>
  <c r="G41" i="12"/>
  <c r="H41" i="12"/>
  <c r="I41" i="12"/>
  <c r="J41" i="12"/>
  <c r="K41" i="12"/>
  <c r="L41" i="12"/>
  <c r="M41" i="12"/>
  <c r="N41" i="12"/>
  <c r="O41" i="12"/>
  <c r="E42" i="12"/>
  <c r="F42" i="12"/>
  <c r="G42" i="12"/>
  <c r="H42" i="12"/>
  <c r="I42" i="12"/>
  <c r="J42" i="12"/>
  <c r="K42" i="12"/>
  <c r="L42" i="12"/>
  <c r="M42" i="12"/>
  <c r="N42" i="12"/>
  <c r="E43" i="12"/>
  <c r="F43" i="12"/>
  <c r="G43" i="12"/>
  <c r="H43" i="12"/>
  <c r="I43" i="12"/>
  <c r="J43" i="12"/>
  <c r="K43" i="12"/>
  <c r="L43" i="12"/>
  <c r="M43" i="12"/>
  <c r="N43" i="12"/>
  <c r="O43" i="12"/>
  <c r="D29" i="12"/>
  <c r="D3" i="12"/>
  <c r="D4" i="12"/>
  <c r="D5" i="12"/>
  <c r="D6" i="12"/>
  <c r="E6" i="14" s="1"/>
  <c r="D7" i="12"/>
  <c r="G7" i="14" s="1"/>
  <c r="D8" i="12"/>
  <c r="D9" i="12"/>
  <c r="D10" i="12"/>
  <c r="D11" i="12"/>
  <c r="G11" i="14" s="1"/>
  <c r="D12" i="12"/>
  <c r="D13" i="12"/>
  <c r="D14" i="12"/>
  <c r="D15" i="12"/>
  <c r="D16" i="12"/>
  <c r="D17" i="12"/>
  <c r="D18" i="12"/>
  <c r="D19" i="12"/>
  <c r="D20" i="12"/>
  <c r="D21" i="12"/>
  <c r="D22" i="12"/>
  <c r="G22" i="14" s="1"/>
  <c r="H22" i="14" s="1"/>
  <c r="I22" i="14" s="1"/>
  <c r="J22" i="14" s="1"/>
  <c r="D23" i="12"/>
  <c r="D24" i="12"/>
  <c r="D25" i="12"/>
  <c r="D26" i="12"/>
  <c r="D27" i="12"/>
  <c r="D28" i="12"/>
  <c r="D30" i="12"/>
  <c r="D31" i="12"/>
  <c r="D32" i="12"/>
  <c r="D33" i="12"/>
  <c r="D34" i="12"/>
  <c r="D35" i="12"/>
  <c r="G35" i="14" s="1"/>
  <c r="D36" i="12"/>
  <c r="G36" i="14" s="1"/>
  <c r="H36" i="14" s="1"/>
  <c r="D37" i="12"/>
  <c r="G37" i="14" s="1"/>
  <c r="H37" i="14" s="1"/>
  <c r="I37" i="14" s="1"/>
  <c r="J37" i="14" s="1"/>
  <c r="K37" i="14" s="1"/>
  <c r="L37" i="14" s="1"/>
  <c r="M37" i="14" s="1"/>
  <c r="N37" i="14" s="1"/>
  <c r="O37" i="14" s="1"/>
  <c r="P37" i="14" s="1"/>
  <c r="Q37" i="14" s="1"/>
  <c r="D38" i="12"/>
  <c r="G38" i="14" s="1"/>
  <c r="H38" i="14" s="1"/>
  <c r="D39" i="12"/>
  <c r="G39" i="14" s="1"/>
  <c r="D40" i="12"/>
  <c r="G40" i="14" s="1"/>
  <c r="H40" i="14" s="1"/>
  <c r="D41" i="12"/>
  <c r="G41" i="14" s="1"/>
  <c r="H41" i="14" s="1"/>
  <c r="I41" i="14" s="1"/>
  <c r="J41" i="14" s="1"/>
  <c r="K41" i="14" s="1"/>
  <c r="L41" i="14" s="1"/>
  <c r="M41" i="14" s="1"/>
  <c r="N41" i="14" s="1"/>
  <c r="O41" i="14" s="1"/>
  <c r="P41" i="14" s="1"/>
  <c r="Q41" i="14" s="1"/>
  <c r="D42" i="12"/>
  <c r="G42" i="14" s="1"/>
  <c r="H42" i="14" s="1"/>
  <c r="D43" i="12"/>
  <c r="G43" i="14" s="1"/>
  <c r="H43" i="14" s="1"/>
  <c r="C4" i="15"/>
  <c r="D4" i="15" s="1"/>
  <c r="D7" i="8"/>
  <c r="E7" i="8" s="1"/>
  <c r="D8" i="8"/>
  <c r="E8" i="8" s="1"/>
  <c r="C11" i="15"/>
  <c r="D11" i="15" s="1"/>
  <c r="D10" i="8"/>
  <c r="E10" i="8" s="1"/>
  <c r="D12" i="8"/>
  <c r="E12" i="8" s="1"/>
  <c r="C20" i="15"/>
  <c r="D20" i="15" s="1"/>
  <c r="C21" i="15"/>
  <c r="D21" i="15" s="1"/>
  <c r="D16" i="8"/>
  <c r="E16" i="8" s="1"/>
  <c r="C27" i="15"/>
  <c r="D27" i="15" s="1"/>
  <c r="C29" i="15"/>
  <c r="D29" i="15" s="1"/>
  <c r="D19" i="8"/>
  <c r="E19" i="8" s="1"/>
  <c r="C32" i="15"/>
  <c r="D32" i="15" s="1"/>
  <c r="D22" i="8"/>
  <c r="E22" i="8" s="1"/>
  <c r="D23" i="8"/>
  <c r="E23" i="8" s="1"/>
  <c r="D24" i="8"/>
  <c r="E24" i="8" s="1"/>
  <c r="C46" i="15"/>
  <c r="D46" i="15" s="1"/>
  <c r="C51" i="15"/>
  <c r="D51" i="15" s="1"/>
  <c r="C62" i="15"/>
  <c r="D62" i="15" s="1"/>
  <c r="C63" i="15"/>
  <c r="D63" i="15" s="1"/>
  <c r="D32" i="8"/>
  <c r="E32" i="8" s="1"/>
  <c r="C71" i="15"/>
  <c r="D71" i="15" s="1"/>
  <c r="D34" i="8"/>
  <c r="E34" i="8" s="1"/>
  <c r="D35" i="8"/>
  <c r="E35" i="8" s="1"/>
  <c r="D36" i="8"/>
  <c r="E36" i="8" s="1"/>
  <c r="C79" i="15"/>
  <c r="D79" i="15" s="1"/>
  <c r="D39" i="8"/>
  <c r="E39" i="8" s="1"/>
  <c r="D40" i="8"/>
  <c r="E40" i="8" s="1"/>
  <c r="C89" i="15"/>
  <c r="D89" i="15" s="1"/>
  <c r="D42" i="8"/>
  <c r="E42" i="8" s="1"/>
  <c r="C96" i="15"/>
  <c r="D96" i="15" s="1"/>
  <c r="C2" i="15"/>
  <c r="D2" i="15" s="1"/>
  <c r="D30" i="8"/>
  <c r="E30" i="8" s="1"/>
  <c r="I43" i="14" l="1"/>
  <c r="J43" i="14" s="1"/>
  <c r="K43" i="14" s="1"/>
  <c r="L43" i="14" s="1"/>
  <c r="M43" i="14" s="1"/>
  <c r="N43" i="14" s="1"/>
  <c r="O43" i="14" s="1"/>
  <c r="P43" i="14" s="1"/>
  <c r="Q43" i="14" s="1"/>
  <c r="H39" i="14"/>
  <c r="I39" i="14" s="1"/>
  <c r="J39" i="14" s="1"/>
  <c r="K39" i="14" s="1"/>
  <c r="L39" i="14" s="1"/>
  <c r="M39" i="14" s="1"/>
  <c r="N39" i="14" s="1"/>
  <c r="O39" i="14" s="1"/>
  <c r="P39" i="14" s="1"/>
  <c r="Q39" i="14" s="1"/>
  <c r="H35" i="14"/>
  <c r="I35" i="14" s="1"/>
  <c r="J35" i="14" s="1"/>
  <c r="K35" i="14" s="1"/>
  <c r="L35" i="14" s="1"/>
  <c r="M35" i="14" s="1"/>
  <c r="N35" i="14" s="1"/>
  <c r="O35" i="14" s="1"/>
  <c r="P35" i="14" s="1"/>
  <c r="Q35" i="14" s="1"/>
  <c r="E31" i="14"/>
  <c r="F33" i="8" s="1"/>
  <c r="G31" i="14"/>
  <c r="H31" i="14" s="1"/>
  <c r="I31" i="14" s="1"/>
  <c r="J31" i="14" s="1"/>
  <c r="K31" i="14" s="1"/>
  <c r="L31" i="14" s="1"/>
  <c r="M31" i="14" s="1"/>
  <c r="N31" i="14" s="1"/>
  <c r="O31" i="14" s="1"/>
  <c r="P31" i="14" s="1"/>
  <c r="Q31" i="14" s="1"/>
  <c r="E26" i="14"/>
  <c r="F28" i="8" s="1"/>
  <c r="G26" i="14"/>
  <c r="H26" i="14" s="1"/>
  <c r="I26" i="14" s="1"/>
  <c r="J26" i="14" s="1"/>
  <c r="K26" i="14" s="1"/>
  <c r="L26" i="14" s="1"/>
  <c r="M26" i="14" s="1"/>
  <c r="N26" i="14" s="1"/>
  <c r="O26" i="14" s="1"/>
  <c r="P26" i="14" s="1"/>
  <c r="Q26" i="14" s="1"/>
  <c r="K22" i="14"/>
  <c r="L22" i="14" s="1"/>
  <c r="M22" i="14" s="1"/>
  <c r="N22" i="14" s="1"/>
  <c r="O22" i="14" s="1"/>
  <c r="P22" i="14" s="1"/>
  <c r="Q22" i="14" s="1"/>
  <c r="D20" i="8"/>
  <c r="E20" i="8" s="1"/>
  <c r="G18" i="14"/>
  <c r="H18" i="14" s="1"/>
  <c r="I18" i="14" s="1"/>
  <c r="J18" i="14" s="1"/>
  <c r="K18" i="14" s="1"/>
  <c r="L18" i="14" s="1"/>
  <c r="M18" i="14" s="1"/>
  <c r="N18" i="14" s="1"/>
  <c r="O18" i="14" s="1"/>
  <c r="P18" i="14" s="1"/>
  <c r="Q18" i="14" s="1"/>
  <c r="G14" i="14"/>
  <c r="H14" i="14" s="1"/>
  <c r="I14" i="14" s="1"/>
  <c r="J14" i="14" s="1"/>
  <c r="K14" i="14" s="1"/>
  <c r="L14" i="14" s="1"/>
  <c r="M14" i="14" s="1"/>
  <c r="N14" i="14" s="1"/>
  <c r="O14" i="14" s="1"/>
  <c r="P14" i="14" s="1"/>
  <c r="Q14" i="14" s="1"/>
  <c r="E14" i="14"/>
  <c r="F16" i="8" s="1"/>
  <c r="E10" i="14"/>
  <c r="F12" i="8" s="1"/>
  <c r="G6" i="14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F8" i="8"/>
  <c r="E29" i="14"/>
  <c r="F31" i="8" s="1"/>
  <c r="I42" i="14"/>
  <c r="J42" i="14" s="1"/>
  <c r="K42" i="14" s="1"/>
  <c r="L42" i="14" s="1"/>
  <c r="M42" i="14" s="1"/>
  <c r="N42" i="14" s="1"/>
  <c r="O42" i="14" s="1"/>
  <c r="P42" i="14" s="1"/>
  <c r="Q42" i="14" s="1"/>
  <c r="I38" i="14"/>
  <c r="J38" i="14" s="1"/>
  <c r="K38" i="14" s="1"/>
  <c r="L38" i="14" s="1"/>
  <c r="M38" i="14" s="1"/>
  <c r="N38" i="14" s="1"/>
  <c r="O38" i="14" s="1"/>
  <c r="P38" i="14" s="1"/>
  <c r="Q38" i="14" s="1"/>
  <c r="E34" i="14"/>
  <c r="F36" i="8" s="1"/>
  <c r="E30" i="14"/>
  <c r="F32" i="8" s="1"/>
  <c r="E25" i="14"/>
  <c r="F27" i="8" s="1"/>
  <c r="E21" i="14"/>
  <c r="F23" i="8" s="1"/>
  <c r="E17" i="14"/>
  <c r="F19" i="8" s="1"/>
  <c r="E13" i="14"/>
  <c r="F15" i="8" s="1"/>
  <c r="E9" i="14"/>
  <c r="F11" i="8" s="1"/>
  <c r="E5" i="14"/>
  <c r="F7" i="8" s="1"/>
  <c r="E33" i="14"/>
  <c r="F35" i="8" s="1"/>
  <c r="E28" i="14"/>
  <c r="F30" i="8" s="1"/>
  <c r="E24" i="14"/>
  <c r="F26" i="8" s="1"/>
  <c r="E20" i="14"/>
  <c r="F22" i="8" s="1"/>
  <c r="E16" i="14"/>
  <c r="F18" i="8" s="1"/>
  <c r="E12" i="14"/>
  <c r="F14" i="8" s="1"/>
  <c r="E8" i="14"/>
  <c r="F10" i="8" s="1"/>
  <c r="E4" i="14"/>
  <c r="F6" i="8" s="1"/>
  <c r="E2" i="14"/>
  <c r="F4" i="8" s="1"/>
  <c r="I40" i="14"/>
  <c r="J40" i="14" s="1"/>
  <c r="K40" i="14" s="1"/>
  <c r="L40" i="14" s="1"/>
  <c r="M40" i="14" s="1"/>
  <c r="N40" i="14" s="1"/>
  <c r="O40" i="14" s="1"/>
  <c r="P40" i="14" s="1"/>
  <c r="Q40" i="14" s="1"/>
  <c r="I36" i="14"/>
  <c r="J36" i="14" s="1"/>
  <c r="K36" i="14" s="1"/>
  <c r="L36" i="14" s="1"/>
  <c r="M36" i="14" s="1"/>
  <c r="N36" i="14" s="1"/>
  <c r="O36" i="14" s="1"/>
  <c r="P36" i="14" s="1"/>
  <c r="Q36" i="14" s="1"/>
  <c r="E32" i="14"/>
  <c r="F34" i="8" s="1"/>
  <c r="E27" i="14"/>
  <c r="F29" i="8" s="1"/>
  <c r="E23" i="14"/>
  <c r="F25" i="8" s="1"/>
  <c r="E19" i="14"/>
  <c r="F21" i="8" s="1"/>
  <c r="E15" i="14"/>
  <c r="F17" i="8" s="1"/>
  <c r="H11" i="14"/>
  <c r="I11" i="14" s="1"/>
  <c r="J11" i="14" s="1"/>
  <c r="K11" i="14" s="1"/>
  <c r="L11" i="14" s="1"/>
  <c r="M11" i="14" s="1"/>
  <c r="N11" i="14" s="1"/>
  <c r="O11" i="14" s="1"/>
  <c r="P11" i="14" s="1"/>
  <c r="Q11" i="14" s="1"/>
  <c r="H7" i="14"/>
  <c r="I7" i="14" s="1"/>
  <c r="J7" i="14" s="1"/>
  <c r="K7" i="14" s="1"/>
  <c r="L7" i="14" s="1"/>
  <c r="M7" i="14" s="1"/>
  <c r="N7" i="14" s="1"/>
  <c r="O7" i="14" s="1"/>
  <c r="P7" i="14" s="1"/>
  <c r="Q7" i="14" s="1"/>
  <c r="E3" i="14"/>
  <c r="F5" i="8" s="1"/>
  <c r="D33" i="8"/>
  <c r="E33" i="8" s="1"/>
  <c r="D13" i="8"/>
  <c r="E13" i="8" s="1"/>
  <c r="D21" i="8"/>
  <c r="E21" i="8" s="1"/>
  <c r="D45" i="8"/>
  <c r="E45" i="8" s="1"/>
  <c r="D25" i="8"/>
  <c r="D44" i="8"/>
  <c r="E44" i="8" s="1"/>
  <c r="C74" i="15"/>
  <c r="D74" i="15" s="1"/>
  <c r="D11" i="8"/>
  <c r="E11" i="8" s="1"/>
  <c r="D43" i="8"/>
  <c r="E43" i="8" s="1"/>
  <c r="C70" i="15"/>
  <c r="D70" i="15" s="1"/>
  <c r="D27" i="8"/>
  <c r="E27" i="8" s="1"/>
  <c r="C31" i="15"/>
  <c r="D31" i="15" s="1"/>
  <c r="D81" i="8"/>
  <c r="E81" i="8" s="1"/>
  <c r="D15" i="8"/>
  <c r="E15" i="8" s="1"/>
  <c r="C24" i="15"/>
  <c r="D24" i="15" s="1"/>
  <c r="D5" i="8"/>
  <c r="D37" i="8"/>
  <c r="E37" i="8" s="1"/>
  <c r="C95" i="15"/>
  <c r="D95" i="15" s="1"/>
  <c r="C59" i="15"/>
  <c r="D59" i="15" s="1"/>
  <c r="C16" i="15"/>
  <c r="D16" i="15" s="1"/>
  <c r="D9" i="8"/>
  <c r="E9" i="8" s="1"/>
  <c r="D17" i="8"/>
  <c r="E17" i="8" s="1"/>
  <c r="D29" i="8"/>
  <c r="E29" i="8" s="1"/>
  <c r="D41" i="8"/>
  <c r="E41" i="8" s="1"/>
  <c r="D54" i="8"/>
  <c r="E54" i="8" s="1"/>
  <c r="C87" i="15"/>
  <c r="D87" i="15" s="1"/>
  <c r="C42" i="15"/>
  <c r="D42" i="15" s="1"/>
  <c r="C10" i="15"/>
  <c r="D10" i="15" s="1"/>
  <c r="D86" i="8"/>
  <c r="E86" i="8" s="1"/>
  <c r="D70" i="8"/>
  <c r="E70" i="8" s="1"/>
  <c r="D62" i="8"/>
  <c r="E62" i="8" s="1"/>
  <c r="D85" i="8"/>
  <c r="E85" i="8" s="1"/>
  <c r="D69" i="8"/>
  <c r="E69" i="8" s="1"/>
  <c r="D57" i="8"/>
  <c r="E57" i="8" s="1"/>
  <c r="D53" i="8"/>
  <c r="E53" i="8" s="1"/>
  <c r="D6" i="8"/>
  <c r="E6" i="8" s="1"/>
  <c r="D18" i="8"/>
  <c r="E18" i="8" s="1"/>
  <c r="D26" i="8"/>
  <c r="E26" i="8" s="1"/>
  <c r="D31" i="8"/>
  <c r="E31" i="8" s="1"/>
  <c r="D38" i="8"/>
  <c r="E38" i="8" s="1"/>
  <c r="D28" i="8"/>
  <c r="E28" i="8" s="1"/>
  <c r="C93" i="15"/>
  <c r="D93" i="15" s="1"/>
  <c r="C83" i="15"/>
  <c r="D83" i="15" s="1"/>
  <c r="C73" i="15"/>
  <c r="D73" i="15" s="1"/>
  <c r="C66" i="15"/>
  <c r="D66" i="15" s="1"/>
  <c r="C54" i="15"/>
  <c r="D54" i="15" s="1"/>
  <c r="C36" i="15"/>
  <c r="D36" i="15" s="1"/>
  <c r="C30" i="15"/>
  <c r="D30" i="15" s="1"/>
  <c r="C23" i="15"/>
  <c r="D23" i="15" s="1"/>
  <c r="C15" i="15"/>
  <c r="D15" i="15" s="1"/>
  <c r="C9" i="15"/>
  <c r="D9" i="15" s="1"/>
  <c r="D14" i="8"/>
  <c r="E14" i="8" s="1"/>
  <c r="D4" i="8"/>
  <c r="E4" i="8" s="1"/>
  <c r="D50" i="8"/>
  <c r="E50" i="8" s="1"/>
  <c r="C92" i="15"/>
  <c r="D92" i="15" s="1"/>
  <c r="C81" i="15"/>
  <c r="D81" i="15" s="1"/>
  <c r="C72" i="15"/>
  <c r="D72" i="15" s="1"/>
  <c r="C33" i="15"/>
  <c r="D33" i="15" s="1"/>
  <c r="C13" i="15"/>
  <c r="D13" i="15" s="1"/>
  <c r="C5" i="15"/>
  <c r="D5" i="15" s="1"/>
  <c r="D48" i="8"/>
  <c r="E48" i="8" s="1"/>
  <c r="D80" i="8"/>
  <c r="E80" i="8" s="1"/>
  <c r="E238" i="8"/>
  <c r="D91" i="8"/>
  <c r="E91" i="8" s="1"/>
  <c r="E216" i="8"/>
  <c r="D79" i="8"/>
  <c r="E79" i="8" s="1"/>
  <c r="E206" i="8"/>
  <c r="D90" i="8"/>
  <c r="E90" i="8" s="1"/>
  <c r="D73" i="8"/>
  <c r="E73" i="8" s="1"/>
  <c r="E5" i="8"/>
  <c r="G19" i="14" l="1"/>
  <c r="H19" i="14" s="1"/>
  <c r="I19" i="14" s="1"/>
  <c r="J19" i="14" s="1"/>
  <c r="K19" i="14" s="1"/>
  <c r="L19" i="14" s="1"/>
  <c r="M19" i="14" s="1"/>
  <c r="N19" i="14" s="1"/>
  <c r="O19" i="14" s="1"/>
  <c r="P19" i="14" s="1"/>
  <c r="Q19" i="14" s="1"/>
  <c r="G27" i="14"/>
  <c r="H27" i="14" s="1"/>
  <c r="I27" i="14" s="1"/>
  <c r="J27" i="14" s="1"/>
  <c r="K27" i="14" s="1"/>
  <c r="L27" i="14" s="1"/>
  <c r="M27" i="14" s="1"/>
  <c r="N27" i="14" s="1"/>
  <c r="O27" i="14" s="1"/>
  <c r="P27" i="14" s="1"/>
  <c r="Q27" i="14" s="1"/>
  <c r="G4" i="14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G12" i="14"/>
  <c r="H12" i="14" s="1"/>
  <c r="I12" i="14" s="1"/>
  <c r="J12" i="14" s="1"/>
  <c r="K12" i="14" s="1"/>
  <c r="L12" i="14" s="1"/>
  <c r="M12" i="14" s="1"/>
  <c r="N12" i="14" s="1"/>
  <c r="O12" i="14" s="1"/>
  <c r="P12" i="14" s="1"/>
  <c r="Q12" i="14" s="1"/>
  <c r="G20" i="14"/>
  <c r="H20" i="14" s="1"/>
  <c r="I20" i="14" s="1"/>
  <c r="J20" i="14" s="1"/>
  <c r="K20" i="14" s="1"/>
  <c r="L20" i="14" s="1"/>
  <c r="M20" i="14" s="1"/>
  <c r="N20" i="14" s="1"/>
  <c r="O20" i="14" s="1"/>
  <c r="P20" i="14" s="1"/>
  <c r="Q20" i="14" s="1"/>
  <c r="G28" i="14"/>
  <c r="H28" i="14" s="1"/>
  <c r="I28" i="14" s="1"/>
  <c r="J28" i="14" s="1"/>
  <c r="K28" i="14" s="1"/>
  <c r="L28" i="14" s="1"/>
  <c r="M28" i="14" s="1"/>
  <c r="N28" i="14" s="1"/>
  <c r="O28" i="14" s="1"/>
  <c r="P28" i="14" s="1"/>
  <c r="Q28" i="14" s="1"/>
  <c r="G5" i="14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G13" i="14"/>
  <c r="H13" i="14" s="1"/>
  <c r="I13" i="14" s="1"/>
  <c r="J13" i="14" s="1"/>
  <c r="K13" i="14" s="1"/>
  <c r="L13" i="14" s="1"/>
  <c r="M13" i="14" s="1"/>
  <c r="N13" i="14" s="1"/>
  <c r="O13" i="14" s="1"/>
  <c r="P13" i="14" s="1"/>
  <c r="Q13" i="14" s="1"/>
  <c r="G21" i="14"/>
  <c r="H21" i="14" s="1"/>
  <c r="I21" i="14" s="1"/>
  <c r="J21" i="14" s="1"/>
  <c r="K21" i="14" s="1"/>
  <c r="L21" i="14" s="1"/>
  <c r="M21" i="14" s="1"/>
  <c r="N21" i="14" s="1"/>
  <c r="O21" i="14" s="1"/>
  <c r="P21" i="14" s="1"/>
  <c r="Q21" i="14" s="1"/>
  <c r="G30" i="14"/>
  <c r="H30" i="14" s="1"/>
  <c r="I30" i="14" s="1"/>
  <c r="J30" i="14" s="1"/>
  <c r="K30" i="14" s="1"/>
  <c r="L30" i="14" s="1"/>
  <c r="M30" i="14" s="1"/>
  <c r="N30" i="14" s="1"/>
  <c r="O30" i="14" s="1"/>
  <c r="P30" i="14" s="1"/>
  <c r="Q30" i="14" s="1"/>
  <c r="G3" i="14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G15" i="14"/>
  <c r="H15" i="14" s="1"/>
  <c r="I15" i="14" s="1"/>
  <c r="J15" i="14" s="1"/>
  <c r="K15" i="14" s="1"/>
  <c r="L15" i="14" s="1"/>
  <c r="M15" i="14" s="1"/>
  <c r="N15" i="14" s="1"/>
  <c r="O15" i="14" s="1"/>
  <c r="P15" i="14" s="1"/>
  <c r="Q15" i="14" s="1"/>
  <c r="G23" i="14"/>
  <c r="H23" i="14" s="1"/>
  <c r="I23" i="14" s="1"/>
  <c r="J23" i="14" s="1"/>
  <c r="K23" i="14" s="1"/>
  <c r="L23" i="14" s="1"/>
  <c r="M23" i="14" s="1"/>
  <c r="N23" i="14" s="1"/>
  <c r="O23" i="14" s="1"/>
  <c r="P23" i="14" s="1"/>
  <c r="Q23" i="14" s="1"/>
  <c r="G32" i="14"/>
  <c r="H32" i="14" s="1"/>
  <c r="I32" i="14" s="1"/>
  <c r="J32" i="14" s="1"/>
  <c r="K32" i="14" s="1"/>
  <c r="L32" i="14" s="1"/>
  <c r="M32" i="14" s="1"/>
  <c r="N32" i="14" s="1"/>
  <c r="O32" i="14" s="1"/>
  <c r="P32" i="14" s="1"/>
  <c r="Q32" i="14" s="1"/>
  <c r="G2" i="14"/>
  <c r="G8" i="14"/>
  <c r="H8" i="14" s="1"/>
  <c r="I8" i="14" s="1"/>
  <c r="J8" i="14" s="1"/>
  <c r="K8" i="14" s="1"/>
  <c r="L8" i="14" s="1"/>
  <c r="M8" i="14" s="1"/>
  <c r="N8" i="14" s="1"/>
  <c r="O8" i="14" s="1"/>
  <c r="P8" i="14" s="1"/>
  <c r="Q8" i="14" s="1"/>
  <c r="G16" i="14"/>
  <c r="H16" i="14" s="1"/>
  <c r="I16" i="14" s="1"/>
  <c r="J16" i="14" s="1"/>
  <c r="K16" i="14" s="1"/>
  <c r="L16" i="14" s="1"/>
  <c r="M16" i="14" s="1"/>
  <c r="N16" i="14" s="1"/>
  <c r="O16" i="14" s="1"/>
  <c r="P16" i="14" s="1"/>
  <c r="Q16" i="14" s="1"/>
  <c r="G24" i="14"/>
  <c r="H24" i="14" s="1"/>
  <c r="I24" i="14" s="1"/>
  <c r="J24" i="14" s="1"/>
  <c r="K24" i="14" s="1"/>
  <c r="L24" i="14" s="1"/>
  <c r="M24" i="14" s="1"/>
  <c r="N24" i="14" s="1"/>
  <c r="O24" i="14" s="1"/>
  <c r="P24" i="14" s="1"/>
  <c r="Q24" i="14" s="1"/>
  <c r="G33" i="14"/>
  <c r="H33" i="14" s="1"/>
  <c r="I33" i="14" s="1"/>
  <c r="J33" i="14" s="1"/>
  <c r="K33" i="14" s="1"/>
  <c r="L33" i="14" s="1"/>
  <c r="M33" i="14" s="1"/>
  <c r="N33" i="14" s="1"/>
  <c r="O33" i="14" s="1"/>
  <c r="P33" i="14" s="1"/>
  <c r="Q33" i="14" s="1"/>
  <c r="G9" i="14"/>
  <c r="H9" i="14" s="1"/>
  <c r="I9" i="14" s="1"/>
  <c r="J9" i="14" s="1"/>
  <c r="K9" i="14" s="1"/>
  <c r="L9" i="14" s="1"/>
  <c r="M9" i="14" s="1"/>
  <c r="N9" i="14" s="1"/>
  <c r="O9" i="14" s="1"/>
  <c r="P9" i="14" s="1"/>
  <c r="Q9" i="14" s="1"/>
  <c r="G17" i="14"/>
  <c r="H17" i="14" s="1"/>
  <c r="I17" i="14" s="1"/>
  <c r="J17" i="14" s="1"/>
  <c r="K17" i="14" s="1"/>
  <c r="L17" i="14" s="1"/>
  <c r="M17" i="14" s="1"/>
  <c r="N17" i="14" s="1"/>
  <c r="O17" i="14" s="1"/>
  <c r="P17" i="14" s="1"/>
  <c r="Q17" i="14" s="1"/>
  <c r="G25" i="14"/>
  <c r="H25" i="14" s="1"/>
  <c r="I25" i="14" s="1"/>
  <c r="J25" i="14" s="1"/>
  <c r="K25" i="14" s="1"/>
  <c r="L25" i="14" s="1"/>
  <c r="M25" i="14" s="1"/>
  <c r="N25" i="14" s="1"/>
  <c r="O25" i="14" s="1"/>
  <c r="P25" i="14" s="1"/>
  <c r="Q25" i="14" s="1"/>
  <c r="G34" i="14"/>
  <c r="H34" i="14" s="1"/>
  <c r="I34" i="14" s="1"/>
  <c r="J34" i="14" s="1"/>
  <c r="K34" i="14" s="1"/>
  <c r="L34" i="14" s="1"/>
  <c r="M34" i="14" s="1"/>
  <c r="N34" i="14" s="1"/>
  <c r="O34" i="14" s="1"/>
  <c r="P34" i="14" s="1"/>
  <c r="Q34" i="14" s="1"/>
  <c r="G29" i="14"/>
  <c r="H29" i="14" s="1"/>
  <c r="I29" i="14" s="1"/>
  <c r="J29" i="14" s="1"/>
  <c r="K29" i="14" s="1"/>
  <c r="L29" i="14" s="1"/>
  <c r="M29" i="14" s="1"/>
  <c r="N29" i="14" s="1"/>
  <c r="O29" i="14" s="1"/>
  <c r="P29" i="14" s="1"/>
  <c r="Q29" i="14" s="1"/>
  <c r="G10" i="14"/>
  <c r="H10" i="14" s="1"/>
  <c r="I10" i="14" s="1"/>
  <c r="J10" i="14" s="1"/>
  <c r="K10" i="14" s="1"/>
  <c r="L10" i="14" s="1"/>
  <c r="M10" i="14" s="1"/>
  <c r="N10" i="14" s="1"/>
  <c r="O10" i="14" s="1"/>
  <c r="P10" i="14" s="1"/>
  <c r="Q10" i="14" s="1"/>
  <c r="E272" i="8"/>
  <c r="E95" i="8"/>
  <c r="E293" i="8"/>
  <c r="E230" i="8"/>
  <c r="E424" i="8"/>
  <c r="E322" i="8"/>
  <c r="E280" i="8"/>
  <c r="E200" i="8"/>
  <c r="E274" i="8"/>
  <c r="D56" i="8"/>
  <c r="E56" i="8" s="1"/>
  <c r="D52" i="8"/>
  <c r="E52" i="8" s="1"/>
  <c r="E211" i="8"/>
  <c r="D64" i="8"/>
  <c r="E64" i="8" s="1"/>
  <c r="D84" i="8"/>
  <c r="E84" i="8" s="1"/>
  <c r="D49" i="8"/>
  <c r="E49" i="8" s="1"/>
  <c r="E316" i="8"/>
  <c r="D74" i="8"/>
  <c r="E74" i="8" s="1"/>
  <c r="E254" i="8"/>
  <c r="E212" i="8"/>
  <c r="E335" i="8"/>
  <c r="E240" i="8"/>
  <c r="E251" i="8"/>
  <c r="D72" i="8"/>
  <c r="E72" i="8" s="1"/>
  <c r="E209" i="8"/>
  <c r="E232" i="8"/>
  <c r="E94" i="8"/>
  <c r="D83" i="8"/>
  <c r="E83" i="8" s="1"/>
  <c r="D65" i="8"/>
  <c r="E65" i="8" s="1"/>
  <c r="D51" i="8"/>
  <c r="E51" i="8" s="1"/>
  <c r="D82" i="8"/>
  <c r="E82" i="8" s="1"/>
  <c r="E99" i="8"/>
  <c r="D46" i="8"/>
  <c r="E46" i="8" s="1"/>
  <c r="E331" i="8"/>
  <c r="E289" i="8"/>
  <c r="E415" i="8"/>
  <c r="D58" i="8"/>
  <c r="E58" i="8" s="1"/>
  <c r="E252" i="8"/>
  <c r="E210" i="8"/>
  <c r="D78" i="8"/>
  <c r="E78" i="8" s="1"/>
  <c r="D63" i="8"/>
  <c r="E63" i="8" s="1"/>
  <c r="D75" i="8"/>
  <c r="E75" i="8" s="1"/>
  <c r="D55" i="8"/>
  <c r="E55" i="8" s="1"/>
  <c r="D77" i="8"/>
  <c r="E77" i="8" s="1"/>
  <c r="E98" i="8"/>
  <c r="E100" i="8"/>
  <c r="D47" i="8"/>
  <c r="E47" i="8" s="1"/>
  <c r="D88" i="8"/>
  <c r="E88" i="8" s="1"/>
  <c r="E205" i="8"/>
  <c r="E270" i="8"/>
  <c r="E228" i="8"/>
  <c r="D60" i="8"/>
  <c r="E60" i="8" s="1"/>
  <c r="D71" i="8"/>
  <c r="E71" i="8" s="1"/>
  <c r="D61" i="8"/>
  <c r="E61" i="8" s="1"/>
  <c r="D87" i="8"/>
  <c r="E87" i="8" s="1"/>
  <c r="D68" i="8"/>
  <c r="E68" i="8" s="1"/>
  <c r="D67" i="8"/>
  <c r="E67" i="8" s="1"/>
  <c r="D59" i="8"/>
  <c r="E59" i="8" s="1"/>
  <c r="D76" i="8"/>
  <c r="E76" i="8" s="1"/>
  <c r="D66" i="8"/>
  <c r="E66" i="8" s="1"/>
  <c r="E237" i="8"/>
  <c r="E332" i="8"/>
  <c r="E373" i="8"/>
  <c r="E290" i="8"/>
  <c r="E364" i="8"/>
  <c r="E248" i="8"/>
  <c r="E247" i="8"/>
  <c r="E466" i="8"/>
  <c r="E220" i="8"/>
  <c r="E217" i="8"/>
  <c r="E221" i="8"/>
  <c r="E199" i="8"/>
  <c r="E242" i="8"/>
  <c r="E214" i="8"/>
  <c r="E122" i="8"/>
  <c r="H2" i="14" l="1"/>
  <c r="F46" i="8"/>
  <c r="E123" i="8"/>
  <c r="E112" i="8"/>
  <c r="E125" i="8"/>
  <c r="E182" i="8"/>
  <c r="E107" i="8"/>
  <c r="E109" i="8"/>
  <c r="E127" i="8"/>
  <c r="E115" i="8"/>
  <c r="E141" i="8"/>
  <c r="E126" i="8"/>
  <c r="E118" i="8"/>
  <c r="E102" i="8"/>
  <c r="E133" i="8"/>
  <c r="E119" i="8"/>
  <c r="E114" i="8"/>
  <c r="E111" i="8"/>
  <c r="E106" i="8"/>
  <c r="E103" i="8"/>
  <c r="E140" i="8"/>
  <c r="E137" i="8"/>
  <c r="E132" i="8"/>
  <c r="E130" i="8"/>
  <c r="E226" i="8"/>
  <c r="E96" i="8"/>
  <c r="E207" i="8"/>
  <c r="E249" i="8"/>
  <c r="E218" i="8"/>
  <c r="E279" i="8"/>
  <c r="D92" i="8"/>
  <c r="E92" i="8" s="1"/>
  <c r="E202" i="8"/>
  <c r="E296" i="8"/>
  <c r="D93" i="8"/>
  <c r="E93" i="8" s="1"/>
  <c r="E224" i="8"/>
  <c r="E235" i="8"/>
  <c r="E213" i="8"/>
  <c r="E239" i="8"/>
  <c r="E225" i="8"/>
  <c r="E229" i="8"/>
  <c r="E203" i="8"/>
  <c r="E201" i="8"/>
  <c r="E204" i="8"/>
  <c r="D89" i="8"/>
  <c r="E89" i="8" s="1"/>
  <c r="E97" i="8"/>
  <c r="E234" i="8"/>
  <c r="E227" i="8"/>
  <c r="E236" i="8"/>
  <c r="E231" i="8"/>
  <c r="E208" i="8"/>
  <c r="E233" i="8"/>
  <c r="E291" i="8"/>
  <c r="E282" i="8"/>
  <c r="E294" i="8"/>
  <c r="E321" i="8"/>
  <c r="E377" i="8"/>
  <c r="E499" i="8"/>
  <c r="E258" i="8"/>
  <c r="E358" i="8"/>
  <c r="E457" i="8"/>
  <c r="E314" i="8"/>
  <c r="E374" i="8"/>
  <c r="E253" i="8"/>
  <c r="E312" i="8"/>
  <c r="E406" i="8"/>
  <c r="E241" i="8"/>
  <c r="I2" i="14" l="1"/>
  <c r="F88" i="8"/>
  <c r="E168" i="8"/>
  <c r="E164" i="8"/>
  <c r="E148" i="8"/>
  <c r="E156" i="8"/>
  <c r="E160" i="8"/>
  <c r="E101" i="8"/>
  <c r="E116" i="8"/>
  <c r="E151" i="8"/>
  <c r="E149" i="8"/>
  <c r="E121" i="8"/>
  <c r="E134" i="8"/>
  <c r="E165" i="8"/>
  <c r="E144" i="8"/>
  <c r="E124" i="8"/>
  <c r="E113" i="8"/>
  <c r="E117" i="8"/>
  <c r="E169" i="8"/>
  <c r="E128" i="8"/>
  <c r="E167" i="8"/>
  <c r="E154" i="8"/>
  <c r="E104" i="8"/>
  <c r="E131" i="8"/>
  <c r="E174" i="8"/>
  <c r="E157" i="8"/>
  <c r="E110" i="8"/>
  <c r="E179" i="8"/>
  <c r="E145" i="8"/>
  <c r="E153" i="8"/>
  <c r="E161" i="8"/>
  <c r="E175" i="8"/>
  <c r="E108" i="8"/>
  <c r="E183" i="8"/>
  <c r="E120" i="8"/>
  <c r="E129" i="8"/>
  <c r="E105" i="8"/>
  <c r="E138" i="8"/>
  <c r="E172" i="8"/>
  <c r="E222" i="8"/>
  <c r="E338" i="8"/>
  <c r="E223" i="8"/>
  <c r="E215" i="8"/>
  <c r="E243" i="8"/>
  <c r="E363" i="8"/>
  <c r="E219" i="8"/>
  <c r="E256" i="8"/>
  <c r="E284" i="8"/>
  <c r="E400" i="8"/>
  <c r="E260" i="8"/>
  <c r="E262" i="8"/>
  <c r="E268" i="8"/>
  <c r="E263" i="8"/>
  <c r="E324" i="8"/>
  <c r="E448" i="8"/>
  <c r="E300" i="8"/>
  <c r="E354" i="8"/>
  <c r="E419" i="8"/>
  <c r="E295" i="8"/>
  <c r="E259" i="8"/>
  <c r="E244" i="8"/>
  <c r="E490" i="8"/>
  <c r="E333" i="8"/>
  <c r="E356" i="8"/>
  <c r="E416" i="8"/>
  <c r="E266" i="8"/>
  <c r="E336" i="8"/>
  <c r="C9" i="3"/>
  <c r="G256" i="8" s="1"/>
  <c r="B6" i="11"/>
  <c r="D6" i="11" s="1"/>
  <c r="C11" i="3" s="1"/>
  <c r="D18" i="11"/>
  <c r="G15" i="8"/>
  <c r="I15" i="8" s="1"/>
  <c r="G31" i="8"/>
  <c r="I31" i="8" s="1"/>
  <c r="G43" i="8"/>
  <c r="I43" i="8" s="1"/>
  <c r="G49" i="8"/>
  <c r="G54" i="8"/>
  <c r="G59" i="8"/>
  <c r="G65" i="8"/>
  <c r="G70" i="8"/>
  <c r="G75" i="8"/>
  <c r="G81" i="8"/>
  <c r="G86" i="8"/>
  <c r="G91" i="8"/>
  <c r="G97" i="8"/>
  <c r="G102" i="8"/>
  <c r="G107" i="8"/>
  <c r="G111" i="8"/>
  <c r="G118" i="8"/>
  <c r="G122" i="8"/>
  <c r="G123" i="8"/>
  <c r="G127" i="8"/>
  <c r="G133" i="8"/>
  <c r="G182" i="8"/>
  <c r="G202" i="8"/>
  <c r="G203" i="8"/>
  <c r="G207" i="8"/>
  <c r="G209" i="8"/>
  <c r="G213" i="8"/>
  <c r="G214" i="8"/>
  <c r="G218" i="8"/>
  <c r="G225" i="8"/>
  <c r="G229" i="8"/>
  <c r="G230" i="8"/>
  <c r="G234" i="8"/>
  <c r="G235" i="8"/>
  <c r="G239" i="8"/>
  <c r="G241" i="8"/>
  <c r="B3" i="11"/>
  <c r="D3" i="11" s="1"/>
  <c r="C10" i="3" s="1"/>
  <c r="C19" i="11"/>
  <c r="D19" i="11" s="1"/>
  <c r="E19" i="11" s="1"/>
  <c r="C20" i="11"/>
  <c r="D20" i="11" s="1"/>
  <c r="E20" i="11" s="1"/>
  <c r="D21" i="11"/>
  <c r="E21" i="11" s="1"/>
  <c r="J2" i="14" l="1"/>
  <c r="F130" i="8"/>
  <c r="G145" i="8"/>
  <c r="G154" i="8"/>
  <c r="G134" i="8"/>
  <c r="G219" i="8"/>
  <c r="G129" i="8"/>
  <c r="G175" i="8"/>
  <c r="G138" i="8"/>
  <c r="G113" i="8"/>
  <c r="G165" i="8"/>
  <c r="E180" i="8"/>
  <c r="E195" i="8"/>
  <c r="E190" i="8"/>
  <c r="E162" i="8"/>
  <c r="E152" i="8"/>
  <c r="E142" i="8"/>
  <c r="G161" i="8"/>
  <c r="E147" i="8"/>
  <c r="E135" i="8"/>
  <c r="E173" i="8"/>
  <c r="E196" i="8"/>
  <c r="E136" i="8"/>
  <c r="E163" i="8"/>
  <c r="G149" i="8"/>
  <c r="G117" i="8"/>
  <c r="E146" i="8"/>
  <c r="E176" i="8"/>
  <c r="E158" i="8"/>
  <c r="G260" i="8"/>
  <c r="E264" i="8"/>
  <c r="G266" i="8"/>
  <c r="G295" i="8"/>
  <c r="G101" i="8"/>
  <c r="G90" i="8"/>
  <c r="G79" i="8"/>
  <c r="G69" i="8"/>
  <c r="G58" i="8"/>
  <c r="G47" i="8"/>
  <c r="G23" i="8"/>
  <c r="I23" i="8" s="1"/>
  <c r="G333" i="8"/>
  <c r="G268" i="8"/>
  <c r="G416" i="8"/>
  <c r="G223" i="8"/>
  <c r="G106" i="8"/>
  <c r="G95" i="8"/>
  <c r="G85" i="8"/>
  <c r="G74" i="8"/>
  <c r="G63" i="8"/>
  <c r="G53" i="8"/>
  <c r="G38" i="8"/>
  <c r="I38" i="8" s="1"/>
  <c r="K38" i="8" s="1"/>
  <c r="G7" i="8"/>
  <c r="I7" i="8" s="1"/>
  <c r="G490" i="8"/>
  <c r="G354" i="8"/>
  <c r="E380" i="8"/>
  <c r="E250" i="8"/>
  <c r="G250" i="8"/>
  <c r="E255" i="8"/>
  <c r="G255" i="8"/>
  <c r="E275" i="8"/>
  <c r="G275" i="8"/>
  <c r="E18" i="11"/>
  <c r="C12" i="3" s="1"/>
  <c r="G363" i="8"/>
  <c r="E246" i="8"/>
  <c r="G246" i="8"/>
  <c r="G336" i="8"/>
  <c r="G356" i="8"/>
  <c r="G244" i="8"/>
  <c r="G259" i="8"/>
  <c r="G419" i="8"/>
  <c r="G300" i="8"/>
  <c r="G448" i="8"/>
  <c r="G324" i="8"/>
  <c r="G263" i="8"/>
  <c r="G262" i="8"/>
  <c r="G400" i="8"/>
  <c r="G284" i="8"/>
  <c r="E271" i="8"/>
  <c r="G271" i="8"/>
  <c r="G278" i="8"/>
  <c r="E278" i="8"/>
  <c r="E267" i="8"/>
  <c r="G267" i="8"/>
  <c r="E281" i="8"/>
  <c r="G281" i="8"/>
  <c r="G245" i="8"/>
  <c r="E245" i="8"/>
  <c r="E273" i="8"/>
  <c r="G273" i="8"/>
  <c r="E405" i="8"/>
  <c r="G405" i="8"/>
  <c r="E276" i="8"/>
  <c r="G276" i="8"/>
  <c r="G277" i="8"/>
  <c r="E277" i="8"/>
  <c r="E269" i="8"/>
  <c r="G269" i="8"/>
  <c r="G11" i="8"/>
  <c r="I11" i="8" s="1"/>
  <c r="K11" i="8" s="1"/>
  <c r="G5" i="8"/>
  <c r="I5" i="8" s="1"/>
  <c r="K5" i="8" s="1"/>
  <c r="G373" i="8"/>
  <c r="G296" i="8"/>
  <c r="G322" i="8"/>
  <c r="G332" i="8"/>
  <c r="G251" i="8"/>
  <c r="G254" i="8"/>
  <c r="G338" i="8"/>
  <c r="G272" i="8"/>
  <c r="G364" i="8"/>
  <c r="G335" i="8"/>
  <c r="G424" i="8"/>
  <c r="G248" i="8"/>
  <c r="G247" i="8"/>
  <c r="G466" i="8"/>
  <c r="G249" i="8"/>
  <c r="G280" i="8"/>
  <c r="G274" i="8"/>
  <c r="G290" i="8"/>
  <c r="G331" i="8"/>
  <c r="G293" i="8"/>
  <c r="G316" i="8"/>
  <c r="G415" i="8"/>
  <c r="G270" i="8"/>
  <c r="G282" i="8"/>
  <c r="G294" i="8"/>
  <c r="G321" i="8"/>
  <c r="G374" i="8"/>
  <c r="G252" i="8"/>
  <c r="G291" i="8"/>
  <c r="G380" i="8"/>
  <c r="G377" i="8"/>
  <c r="G258" i="8"/>
  <c r="G279" i="8"/>
  <c r="G358" i="8"/>
  <c r="G314" i="8"/>
  <c r="G253" i="8"/>
  <c r="G289" i="8"/>
  <c r="G499" i="8"/>
  <c r="G264" i="8"/>
  <c r="G457" i="8"/>
  <c r="G312" i="8"/>
  <c r="G406" i="8"/>
  <c r="E500" i="8"/>
  <c r="G500" i="8"/>
  <c r="E283" i="8"/>
  <c r="G283" i="8"/>
  <c r="H85" i="8"/>
  <c r="K43" i="8"/>
  <c r="H57" i="8"/>
  <c r="K15" i="8"/>
  <c r="H53" i="8"/>
  <c r="I53" i="8" s="1"/>
  <c r="E302" i="8"/>
  <c r="G302" i="8"/>
  <c r="E503" i="8"/>
  <c r="G503" i="8"/>
  <c r="E342" i="8"/>
  <c r="G342" i="8"/>
  <c r="E337" i="8"/>
  <c r="G337" i="8"/>
  <c r="E326" i="8"/>
  <c r="G326" i="8"/>
  <c r="E305" i="8"/>
  <c r="G305" i="8"/>
  <c r="E304" i="8"/>
  <c r="G304" i="8"/>
  <c r="E301" i="8"/>
  <c r="G301" i="8"/>
  <c r="E286" i="8"/>
  <c r="G286" i="8"/>
  <c r="E298" i="8"/>
  <c r="G298" i="8"/>
  <c r="E366" i="8"/>
  <c r="G366" i="8"/>
  <c r="E442" i="8"/>
  <c r="G442" i="8"/>
  <c r="E308" i="8"/>
  <c r="G308" i="8"/>
  <c r="E461" i="8"/>
  <c r="G461" i="8"/>
  <c r="E375" i="8"/>
  <c r="G375" i="8"/>
  <c r="E378" i="8"/>
  <c r="G378" i="8"/>
  <c r="H73" i="8"/>
  <c r="E458" i="8"/>
  <c r="G458" i="8"/>
  <c r="E398" i="8"/>
  <c r="G398" i="8"/>
  <c r="E396" i="8"/>
  <c r="G396" i="8"/>
  <c r="E484" i="8"/>
  <c r="G484" i="8"/>
  <c r="E310" i="8"/>
  <c r="G310" i="8"/>
  <c r="G42" i="8"/>
  <c r="I42" i="8" s="1"/>
  <c r="G37" i="8"/>
  <c r="I37" i="8" s="1"/>
  <c r="G30" i="8"/>
  <c r="G22" i="8"/>
  <c r="G14" i="8"/>
  <c r="I14" i="8" s="1"/>
  <c r="G6" i="8"/>
  <c r="G243" i="8"/>
  <c r="G233" i="8"/>
  <c r="G227" i="8"/>
  <c r="G222" i="8"/>
  <c r="G217" i="8"/>
  <c r="G211" i="8"/>
  <c r="G206" i="8"/>
  <c r="G201" i="8"/>
  <c r="G190" i="8"/>
  <c r="G179" i="8"/>
  <c r="G174" i="8"/>
  <c r="G169" i="8"/>
  <c r="G163" i="8"/>
  <c r="G158" i="8"/>
  <c r="G153" i="8"/>
  <c r="G137" i="8"/>
  <c r="G131" i="8"/>
  <c r="G126" i="8"/>
  <c r="G121" i="8"/>
  <c r="G115" i="8"/>
  <c r="G110" i="8"/>
  <c r="G105" i="8"/>
  <c r="G99" i="8"/>
  <c r="G94" i="8"/>
  <c r="G89" i="8"/>
  <c r="G83" i="8"/>
  <c r="G78" i="8"/>
  <c r="G73" i="8"/>
  <c r="G67" i="8"/>
  <c r="G62" i="8"/>
  <c r="G57" i="8"/>
  <c r="G51" i="8"/>
  <c r="G46" i="8"/>
  <c r="G41" i="8"/>
  <c r="G35" i="8"/>
  <c r="G27" i="8"/>
  <c r="G19" i="8"/>
  <c r="I19" i="8" s="1"/>
  <c r="G8" i="8"/>
  <c r="G12" i="8"/>
  <c r="I12" i="8" s="1"/>
  <c r="G16" i="8"/>
  <c r="G20" i="8"/>
  <c r="G24" i="8"/>
  <c r="G28" i="8"/>
  <c r="G32" i="8"/>
  <c r="G36" i="8"/>
  <c r="G40" i="8"/>
  <c r="G44" i="8"/>
  <c r="G48" i="8"/>
  <c r="G52" i="8"/>
  <c r="G56" i="8"/>
  <c r="G60" i="8"/>
  <c r="G64" i="8"/>
  <c r="G68" i="8"/>
  <c r="G72" i="8"/>
  <c r="G76" i="8"/>
  <c r="G80" i="8"/>
  <c r="G84" i="8"/>
  <c r="G88" i="8"/>
  <c r="G92" i="8"/>
  <c r="G96" i="8"/>
  <c r="G100" i="8"/>
  <c r="G104" i="8"/>
  <c r="G108" i="8"/>
  <c r="G112" i="8"/>
  <c r="G116" i="8"/>
  <c r="G120" i="8"/>
  <c r="G124" i="8"/>
  <c r="G128" i="8"/>
  <c r="G132" i="8"/>
  <c r="G140" i="8"/>
  <c r="G144" i="8"/>
  <c r="G148" i="8"/>
  <c r="G152" i="8"/>
  <c r="G156" i="8"/>
  <c r="G160" i="8"/>
  <c r="G164" i="8"/>
  <c r="G168" i="8"/>
  <c r="G172" i="8"/>
  <c r="G200" i="8"/>
  <c r="G204" i="8"/>
  <c r="G208" i="8"/>
  <c r="G212" i="8"/>
  <c r="G216" i="8"/>
  <c r="G220" i="8"/>
  <c r="G224" i="8"/>
  <c r="G228" i="8"/>
  <c r="G232" i="8"/>
  <c r="G236" i="8"/>
  <c r="G240" i="8"/>
  <c r="G4" i="8"/>
  <c r="G9" i="8"/>
  <c r="G13" i="8"/>
  <c r="I13" i="8" s="1"/>
  <c r="G17" i="8"/>
  <c r="G21" i="8"/>
  <c r="G25" i="8"/>
  <c r="G29" i="8"/>
  <c r="G33" i="8"/>
  <c r="G238" i="8"/>
  <c r="G242" i="8"/>
  <c r="G237" i="8"/>
  <c r="G231" i="8"/>
  <c r="G226" i="8"/>
  <c r="G221" i="8"/>
  <c r="G215" i="8"/>
  <c r="G210" i="8"/>
  <c r="G205" i="8"/>
  <c r="G199" i="8"/>
  <c r="G183" i="8"/>
  <c r="G167" i="8"/>
  <c r="G157" i="8"/>
  <c r="G151" i="8"/>
  <c r="G141" i="8"/>
  <c r="G135" i="8"/>
  <c r="G130" i="8"/>
  <c r="G125" i="8"/>
  <c r="G119" i="8"/>
  <c r="G114" i="8"/>
  <c r="G109" i="8"/>
  <c r="G103" i="8"/>
  <c r="G98" i="8"/>
  <c r="G93" i="8"/>
  <c r="G87" i="8"/>
  <c r="G82" i="8"/>
  <c r="G77" i="8"/>
  <c r="G71" i="8"/>
  <c r="G66" i="8"/>
  <c r="G61" i="8"/>
  <c r="G55" i="8"/>
  <c r="G50" i="8"/>
  <c r="G45" i="8"/>
  <c r="I45" i="8" s="1"/>
  <c r="G39" i="8"/>
  <c r="G34" i="8"/>
  <c r="G26" i="8"/>
  <c r="G18" i="8"/>
  <c r="G10" i="8"/>
  <c r="I4" i="8" l="1"/>
  <c r="H46" i="8" s="1"/>
  <c r="I46" i="8" s="1"/>
  <c r="K46" i="8" s="1"/>
  <c r="L4" i="8"/>
  <c r="K2" i="14"/>
  <c r="F172" i="8"/>
  <c r="G180" i="8"/>
  <c r="G142" i="8"/>
  <c r="G136" i="8"/>
  <c r="L136" i="8" s="1"/>
  <c r="G147" i="8"/>
  <c r="L147" i="8" s="1"/>
  <c r="G162" i="8"/>
  <c r="L162" i="8" s="1"/>
  <c r="G196" i="8"/>
  <c r="L196" i="8" s="1"/>
  <c r="G146" i="8"/>
  <c r="L146" i="8" s="1"/>
  <c r="E143" i="8"/>
  <c r="G143" i="8"/>
  <c r="L143" i="8" s="1"/>
  <c r="E171" i="8"/>
  <c r="G171" i="8"/>
  <c r="L171" i="8" s="1"/>
  <c r="E155" i="8"/>
  <c r="G155" i="8"/>
  <c r="L155" i="8" s="1"/>
  <c r="E193" i="8"/>
  <c r="G193" i="8"/>
  <c r="L193" i="8" s="1"/>
  <c r="G195" i="8"/>
  <c r="L195" i="8" s="1"/>
  <c r="E187" i="8"/>
  <c r="G187" i="8"/>
  <c r="L187" i="8" s="1"/>
  <c r="E166" i="8"/>
  <c r="G166" i="8"/>
  <c r="L166" i="8" s="1"/>
  <c r="G176" i="8"/>
  <c r="L176" i="8" s="1"/>
  <c r="E139" i="8"/>
  <c r="G139" i="8"/>
  <c r="L139" i="8" s="1"/>
  <c r="E191" i="8"/>
  <c r="G191" i="8"/>
  <c r="L191" i="8" s="1"/>
  <c r="E170" i="8"/>
  <c r="G170" i="8"/>
  <c r="L170" i="8" s="1"/>
  <c r="G173" i="8"/>
  <c r="L173" i="8" s="1"/>
  <c r="E150" i="8"/>
  <c r="G150" i="8"/>
  <c r="L150" i="8" s="1"/>
  <c r="E159" i="8"/>
  <c r="G159" i="8"/>
  <c r="L159" i="8" s="1"/>
  <c r="E198" i="8"/>
  <c r="G198" i="8"/>
  <c r="L198" i="8" s="1"/>
  <c r="E186" i="8"/>
  <c r="G186" i="8"/>
  <c r="L186" i="8" s="1"/>
  <c r="H65" i="8"/>
  <c r="I65" i="8" s="1"/>
  <c r="H49" i="8"/>
  <c r="I49" i="8" s="1"/>
  <c r="H80" i="8"/>
  <c r="L250" i="8"/>
  <c r="L338" i="8"/>
  <c r="L65" i="8"/>
  <c r="L503" i="8"/>
  <c r="L298" i="8"/>
  <c r="L203" i="8"/>
  <c r="L70" i="8"/>
  <c r="L466" i="8"/>
  <c r="L499" i="8"/>
  <c r="L213" i="8"/>
  <c r="L405" i="8"/>
  <c r="L266" i="8"/>
  <c r="L335" i="8"/>
  <c r="L91" i="8"/>
  <c r="L18" i="8"/>
  <c r="L130" i="8"/>
  <c r="L237" i="8"/>
  <c r="L236" i="8"/>
  <c r="L204" i="8"/>
  <c r="L172" i="8"/>
  <c r="L140" i="8"/>
  <c r="L92" i="8"/>
  <c r="L78" i="8"/>
  <c r="L227" i="8"/>
  <c r="L41" i="8"/>
  <c r="L264" i="8"/>
  <c r="L314" i="8"/>
  <c r="L377" i="8"/>
  <c r="L374" i="8"/>
  <c r="L282" i="8"/>
  <c r="L293" i="8"/>
  <c r="L280" i="8"/>
  <c r="L248" i="8"/>
  <c r="L109" i="8"/>
  <c r="L124" i="8"/>
  <c r="L60" i="8"/>
  <c r="L28" i="8"/>
  <c r="L99" i="8"/>
  <c r="L163" i="8"/>
  <c r="L67" i="8"/>
  <c r="L131" i="8"/>
  <c r="L366" i="8"/>
  <c r="L151" i="8"/>
  <c r="L215" i="8"/>
  <c r="L29" i="8"/>
  <c r="L220" i="8"/>
  <c r="L156" i="8"/>
  <c r="L108" i="8"/>
  <c r="L76" i="8"/>
  <c r="L44" i="8"/>
  <c r="L35" i="8"/>
  <c r="L142" i="8"/>
  <c r="L206" i="8"/>
  <c r="L272" i="8"/>
  <c r="L332" i="8"/>
  <c r="L267" i="8"/>
  <c r="L271" i="8"/>
  <c r="L262" i="8"/>
  <c r="L300" i="8"/>
  <c r="L246" i="8"/>
  <c r="E311" i="8"/>
  <c r="G311" i="8"/>
  <c r="L311" i="8" s="1"/>
  <c r="G297" i="8"/>
  <c r="L297" i="8" s="1"/>
  <c r="E297" i="8"/>
  <c r="G285" i="8"/>
  <c r="L285" i="8" s="1"/>
  <c r="E285" i="8"/>
  <c r="L26" i="8"/>
  <c r="L50" i="8"/>
  <c r="L71" i="8"/>
  <c r="L93" i="8"/>
  <c r="L114" i="8"/>
  <c r="L135" i="8"/>
  <c r="L157" i="8"/>
  <c r="L199" i="8"/>
  <c r="L221" i="8"/>
  <c r="L242" i="8"/>
  <c r="L25" i="8"/>
  <c r="L9" i="8"/>
  <c r="L232" i="8"/>
  <c r="L216" i="8"/>
  <c r="L200" i="8"/>
  <c r="L168" i="8"/>
  <c r="L152" i="8"/>
  <c r="L120" i="8"/>
  <c r="L104" i="8"/>
  <c r="L88" i="8"/>
  <c r="L72" i="8"/>
  <c r="L56" i="8"/>
  <c r="L40" i="8"/>
  <c r="L24" i="8"/>
  <c r="L8" i="8"/>
  <c r="L62" i="8"/>
  <c r="L83" i="8"/>
  <c r="L415" i="8"/>
  <c r="L117" i="8"/>
  <c r="L23" i="8"/>
  <c r="L75" i="8"/>
  <c r="L138" i="8"/>
  <c r="L373" i="8"/>
  <c r="L291" i="8"/>
  <c r="L406" i="8"/>
  <c r="L326" i="8"/>
  <c r="L290" i="8"/>
  <c r="L258" i="8"/>
  <c r="I85" i="8"/>
  <c r="K85" i="8" s="1"/>
  <c r="E292" i="8"/>
  <c r="G292" i="8"/>
  <c r="L292" i="8" s="1"/>
  <c r="L34" i="8"/>
  <c r="L55" i="8"/>
  <c r="L77" i="8"/>
  <c r="L98" i="8"/>
  <c r="L119" i="8"/>
  <c r="L141" i="8"/>
  <c r="L183" i="8"/>
  <c r="L205" i="8"/>
  <c r="L226" i="8"/>
  <c r="L238" i="8"/>
  <c r="L21" i="8"/>
  <c r="L228" i="8"/>
  <c r="L212" i="8"/>
  <c r="L180" i="8"/>
  <c r="L164" i="8"/>
  <c r="L148" i="8"/>
  <c r="L132" i="8"/>
  <c r="L116" i="8"/>
  <c r="L100" i="8"/>
  <c r="L84" i="8"/>
  <c r="L68" i="8"/>
  <c r="L52" i="8"/>
  <c r="L36" i="8"/>
  <c r="L20" i="8"/>
  <c r="L46" i="8"/>
  <c r="L89" i="8"/>
  <c r="L110" i="8"/>
  <c r="L153" i="8"/>
  <c r="L174" i="8"/>
  <c r="L217" i="8"/>
  <c r="L243" i="8"/>
  <c r="L30" i="8"/>
  <c r="L145" i="8"/>
  <c r="L457" i="8"/>
  <c r="L241" i="8"/>
  <c r="L244" i="8"/>
  <c r="L175" i="8"/>
  <c r="L123" i="8"/>
  <c r="L59" i="8"/>
  <c r="L234" i="8"/>
  <c r="L95" i="8"/>
  <c r="L281" i="8"/>
  <c r="L249" i="8"/>
  <c r="L252" i="8"/>
  <c r="L260" i="8"/>
  <c r="L268" i="8"/>
  <c r="L276" i="8"/>
  <c r="L284" i="8"/>
  <c r="L312" i="8"/>
  <c r="L380" i="8"/>
  <c r="L38" i="8"/>
  <c r="L74" i="8"/>
  <c r="L106" i="8"/>
  <c r="L251" i="8"/>
  <c r="L259" i="8"/>
  <c r="L275" i="8"/>
  <c r="L301" i="8"/>
  <c r="L337" i="8"/>
  <c r="L363" i="8"/>
  <c r="L375" i="8"/>
  <c r="L47" i="8"/>
  <c r="L118" i="8"/>
  <c r="L182" i="8"/>
  <c r="L214" i="8"/>
  <c r="L416" i="8"/>
  <c r="L448" i="8"/>
  <c r="L69" i="8"/>
  <c r="L101" i="8"/>
  <c r="L127" i="8"/>
  <c r="L7" i="8"/>
  <c r="L419" i="8"/>
  <c r="L461" i="8"/>
  <c r="L207" i="8"/>
  <c r="L219" i="8"/>
  <c r="L223" i="8"/>
  <c r="L161" i="8"/>
  <c r="L229" i="8"/>
  <c r="L254" i="8"/>
  <c r="L270" i="8"/>
  <c r="L278" i="8"/>
  <c r="L286" i="8"/>
  <c r="L294" i="8"/>
  <c r="L302" i="8"/>
  <c r="L322" i="8"/>
  <c r="L354" i="8"/>
  <c r="L400" i="8"/>
  <c r="L54" i="8"/>
  <c r="L86" i="8"/>
  <c r="L245" i="8"/>
  <c r="L253" i="8"/>
  <c r="L269" i="8"/>
  <c r="L277" i="8"/>
  <c r="L295" i="8"/>
  <c r="L305" i="8"/>
  <c r="L321" i="8"/>
  <c r="L331" i="8"/>
  <c r="L15" i="8"/>
  <c r="L63" i="8"/>
  <c r="L122" i="8"/>
  <c r="L154" i="8"/>
  <c r="L218" i="8"/>
  <c r="L458" i="8"/>
  <c r="L490" i="8"/>
  <c r="L43" i="8"/>
  <c r="L256" i="8"/>
  <c r="L296" i="8"/>
  <c r="L316" i="8"/>
  <c r="L324" i="8"/>
  <c r="L336" i="8"/>
  <c r="L356" i="8"/>
  <c r="L364" i="8"/>
  <c r="L58" i="8"/>
  <c r="L90" i="8"/>
  <c r="L247" i="8"/>
  <c r="L255" i="8"/>
  <c r="L263" i="8"/>
  <c r="L279" i="8"/>
  <c r="L289" i="8"/>
  <c r="L333" i="8"/>
  <c r="L31" i="8"/>
  <c r="L79" i="8"/>
  <c r="L134" i="8"/>
  <c r="L230" i="8"/>
  <c r="L424" i="8"/>
  <c r="L53" i="8"/>
  <c r="L85" i="8"/>
  <c r="L111" i="8"/>
  <c r="L49" i="8"/>
  <c r="L97" i="8"/>
  <c r="L225" i="8"/>
  <c r="L149" i="8"/>
  <c r="L133" i="8"/>
  <c r="L129" i="8"/>
  <c r="L10" i="8"/>
  <c r="L39" i="8"/>
  <c r="L61" i="8"/>
  <c r="L82" i="8"/>
  <c r="L103" i="8"/>
  <c r="L125" i="8"/>
  <c r="L167" i="8"/>
  <c r="L210" i="8"/>
  <c r="L231" i="8"/>
  <c r="L33" i="8"/>
  <c r="L17" i="8"/>
  <c r="L240" i="8"/>
  <c r="L224" i="8"/>
  <c r="L208" i="8"/>
  <c r="L160" i="8"/>
  <c r="L144" i="8"/>
  <c r="L128" i="8"/>
  <c r="L112" i="8"/>
  <c r="L96" i="8"/>
  <c r="L80" i="8"/>
  <c r="L64" i="8"/>
  <c r="L48" i="8"/>
  <c r="L32" i="8"/>
  <c r="L16" i="8"/>
  <c r="L27" i="8"/>
  <c r="L51" i="8"/>
  <c r="L73" i="8"/>
  <c r="L165" i="8"/>
  <c r="L113" i="8"/>
  <c r="L235" i="8"/>
  <c r="L239" i="8"/>
  <c r="L209" i="8"/>
  <c r="L81" i="8"/>
  <c r="L107" i="8"/>
  <c r="L5" i="8"/>
  <c r="L202" i="8"/>
  <c r="L273" i="8"/>
  <c r="L102" i="8"/>
  <c r="L358" i="8"/>
  <c r="L308" i="8"/>
  <c r="L274" i="8"/>
  <c r="L94" i="8"/>
  <c r="L115" i="8"/>
  <c r="L137" i="8"/>
  <c r="L158" i="8"/>
  <c r="L179" i="8"/>
  <c r="L201" i="8"/>
  <c r="L222" i="8"/>
  <c r="L6" i="8"/>
  <c r="L310" i="8"/>
  <c r="L484" i="8"/>
  <c r="L396" i="8"/>
  <c r="L304" i="8"/>
  <c r="L342" i="8"/>
  <c r="L283" i="8"/>
  <c r="E447" i="8"/>
  <c r="G447" i="8"/>
  <c r="L447" i="8" s="1"/>
  <c r="G265" i="8"/>
  <c r="L265" i="8" s="1"/>
  <c r="E265" i="8"/>
  <c r="G323" i="8"/>
  <c r="L323" i="8" s="1"/>
  <c r="E323" i="8"/>
  <c r="E320" i="8"/>
  <c r="G320" i="8"/>
  <c r="L320" i="8" s="1"/>
  <c r="E313" i="8"/>
  <c r="G313" i="8"/>
  <c r="L313" i="8" s="1"/>
  <c r="L442" i="8"/>
  <c r="E489" i="8"/>
  <c r="G489" i="8"/>
  <c r="L489" i="8" s="1"/>
  <c r="G317" i="8"/>
  <c r="L317" i="8" s="1"/>
  <c r="E317" i="8"/>
  <c r="E288" i="8"/>
  <c r="G288" i="8"/>
  <c r="L288" i="8" s="1"/>
  <c r="G319" i="8"/>
  <c r="L319" i="8" s="1"/>
  <c r="E319" i="8"/>
  <c r="G318" i="8"/>
  <c r="L318" i="8" s="1"/>
  <c r="E318" i="8"/>
  <c r="L105" i="8"/>
  <c r="L126" i="8"/>
  <c r="L169" i="8"/>
  <c r="L190" i="8"/>
  <c r="L211" i="8"/>
  <c r="L233" i="8"/>
  <c r="L22" i="8"/>
  <c r="L398" i="8"/>
  <c r="L378" i="8"/>
  <c r="L500" i="8"/>
  <c r="E315" i="8"/>
  <c r="G315" i="8"/>
  <c r="L315" i="8" s="1"/>
  <c r="G287" i="8"/>
  <c r="L287" i="8" s="1"/>
  <c r="E287" i="8"/>
  <c r="E309" i="8"/>
  <c r="G309" i="8"/>
  <c r="L309" i="8" s="1"/>
  <c r="E257" i="8"/>
  <c r="G257" i="8"/>
  <c r="L257" i="8" s="1"/>
  <c r="E261" i="8"/>
  <c r="G261" i="8"/>
  <c r="L261" i="8" s="1"/>
  <c r="H107" i="8"/>
  <c r="I107" i="8" s="1"/>
  <c r="L19" i="8"/>
  <c r="H47" i="8"/>
  <c r="I47" i="8" s="1"/>
  <c r="K47" i="8" s="1"/>
  <c r="L13" i="8"/>
  <c r="L42" i="8"/>
  <c r="H95" i="8"/>
  <c r="I95" i="8" s="1"/>
  <c r="K95" i="8" s="1"/>
  <c r="K53" i="8"/>
  <c r="E368" i="8"/>
  <c r="G368" i="8"/>
  <c r="L368" i="8" s="1"/>
  <c r="E417" i="8"/>
  <c r="G417" i="8"/>
  <c r="L417" i="8" s="1"/>
  <c r="H87" i="8"/>
  <c r="I87" i="8" s="1"/>
  <c r="H129" i="8" s="1"/>
  <c r="K45" i="8"/>
  <c r="H55" i="8"/>
  <c r="I55" i="8" s="1"/>
  <c r="I57" i="8"/>
  <c r="H99" i="8" s="1"/>
  <c r="H56" i="8"/>
  <c r="I56" i="8" s="1"/>
  <c r="K14" i="8"/>
  <c r="K42" i="8"/>
  <c r="H84" i="8"/>
  <c r="I84" i="8" s="1"/>
  <c r="E379" i="8"/>
  <c r="G379" i="8"/>
  <c r="L379" i="8" s="1"/>
  <c r="E408" i="8"/>
  <c r="G408" i="8"/>
  <c r="L408" i="8" s="1"/>
  <c r="E440" i="8"/>
  <c r="G440" i="8"/>
  <c r="L440" i="8" s="1"/>
  <c r="E352" i="8"/>
  <c r="G352" i="8"/>
  <c r="L352" i="8" s="1"/>
  <c r="L121" i="8"/>
  <c r="L87" i="8"/>
  <c r="L37" i="8"/>
  <c r="L57" i="8"/>
  <c r="L66" i="8"/>
  <c r="H79" i="8"/>
  <c r="E480" i="8"/>
  <c r="G480" i="8"/>
  <c r="L480" i="8" s="1"/>
  <c r="E346" i="8"/>
  <c r="G346" i="8"/>
  <c r="L346" i="8" s="1"/>
  <c r="E340" i="8"/>
  <c r="G340" i="8"/>
  <c r="L340" i="8" s="1"/>
  <c r="E325" i="8"/>
  <c r="G325" i="8"/>
  <c r="L325" i="8" s="1"/>
  <c r="E482" i="8"/>
  <c r="G482" i="8"/>
  <c r="L482" i="8" s="1"/>
  <c r="E350" i="8"/>
  <c r="G350" i="8"/>
  <c r="L350" i="8" s="1"/>
  <c r="E343" i="8"/>
  <c r="G343" i="8"/>
  <c r="L343" i="8" s="1"/>
  <c r="E347" i="8"/>
  <c r="G347" i="8"/>
  <c r="L347" i="8" s="1"/>
  <c r="H61" i="8"/>
  <c r="I61" i="8" s="1"/>
  <c r="E382" i="8"/>
  <c r="G382" i="8"/>
  <c r="L382" i="8" s="1"/>
  <c r="E438" i="8"/>
  <c r="G438" i="8"/>
  <c r="L438" i="8" s="1"/>
  <c r="E384" i="8"/>
  <c r="G384" i="8"/>
  <c r="L384" i="8" s="1"/>
  <c r="E344" i="8"/>
  <c r="G344" i="8"/>
  <c r="L344" i="8" s="1"/>
  <c r="E420" i="8"/>
  <c r="G420" i="8"/>
  <c r="L420" i="8" s="1"/>
  <c r="E328" i="8"/>
  <c r="G328" i="8"/>
  <c r="L328" i="8" s="1"/>
  <c r="L45" i="8"/>
  <c r="L12" i="8"/>
  <c r="L14" i="8"/>
  <c r="H54" i="8"/>
  <c r="I39" i="8"/>
  <c r="I33" i="8"/>
  <c r="I80" i="8"/>
  <c r="I16" i="8"/>
  <c r="I73" i="8"/>
  <c r="I6" i="8"/>
  <c r="I26" i="8"/>
  <c r="I25" i="8"/>
  <c r="I9" i="8"/>
  <c r="I40" i="8"/>
  <c r="I24" i="8"/>
  <c r="I8" i="8"/>
  <c r="I41" i="8"/>
  <c r="I22" i="8"/>
  <c r="I10" i="8"/>
  <c r="I17" i="8"/>
  <c r="I32" i="8"/>
  <c r="I27" i="8"/>
  <c r="I18" i="8"/>
  <c r="I29" i="8"/>
  <c r="I44" i="8"/>
  <c r="I28" i="8"/>
  <c r="I35" i="8"/>
  <c r="I34" i="8"/>
  <c r="I21" i="8"/>
  <c r="I36" i="8"/>
  <c r="I20" i="8"/>
  <c r="I30" i="8"/>
  <c r="H91" i="8" l="1"/>
  <c r="I91" i="8" s="1"/>
  <c r="K4" i="8"/>
  <c r="L2" i="14"/>
  <c r="F214" i="8"/>
  <c r="E181" i="8"/>
  <c r="G181" i="8"/>
  <c r="L181" i="8" s="1"/>
  <c r="E185" i="8"/>
  <c r="G185" i="8"/>
  <c r="L185" i="8" s="1"/>
  <c r="E178" i="8"/>
  <c r="G178" i="8"/>
  <c r="L178" i="8" s="1"/>
  <c r="E184" i="8"/>
  <c r="G184" i="8"/>
  <c r="L184" i="8" s="1"/>
  <c r="E197" i="8"/>
  <c r="G197" i="8"/>
  <c r="L197" i="8" s="1"/>
  <c r="E177" i="8"/>
  <c r="G177" i="8"/>
  <c r="L177" i="8" s="1"/>
  <c r="E189" i="8"/>
  <c r="G189" i="8"/>
  <c r="L189" i="8" s="1"/>
  <c r="E194" i="8"/>
  <c r="G194" i="8"/>
  <c r="L194" i="8" s="1"/>
  <c r="E188" i="8"/>
  <c r="G188" i="8"/>
  <c r="L188" i="8" s="1"/>
  <c r="E192" i="8"/>
  <c r="G192" i="8"/>
  <c r="L192" i="8" s="1"/>
  <c r="K57" i="8"/>
  <c r="E306" i="8"/>
  <c r="G306" i="8"/>
  <c r="L306" i="8" s="1"/>
  <c r="E422" i="8"/>
  <c r="G422" i="8"/>
  <c r="L422" i="8" s="1"/>
  <c r="H137" i="8"/>
  <c r="I137" i="8" s="1"/>
  <c r="K137" i="8" s="1"/>
  <c r="H149" i="8"/>
  <c r="I149" i="8" s="1"/>
  <c r="H127" i="8"/>
  <c r="I127" i="8" s="1"/>
  <c r="K127" i="8" s="1"/>
  <c r="E355" i="8"/>
  <c r="G355" i="8"/>
  <c r="L355" i="8" s="1"/>
  <c r="G303" i="8"/>
  <c r="L303" i="8" s="1"/>
  <c r="E303" i="8"/>
  <c r="E357" i="8"/>
  <c r="G357" i="8"/>
  <c r="L357" i="8" s="1"/>
  <c r="E299" i="8"/>
  <c r="G299" i="8"/>
  <c r="L299" i="8" s="1"/>
  <c r="E361" i="8"/>
  <c r="G361" i="8"/>
  <c r="L361" i="8" s="1"/>
  <c r="E359" i="8"/>
  <c r="G359" i="8"/>
  <c r="L359" i="8" s="1"/>
  <c r="G365" i="8"/>
  <c r="L365" i="8" s="1"/>
  <c r="E365" i="8"/>
  <c r="G334" i="8"/>
  <c r="L334" i="8" s="1"/>
  <c r="E334" i="8"/>
  <c r="G353" i="8"/>
  <c r="L353" i="8" s="1"/>
  <c r="E353" i="8"/>
  <c r="E362" i="8"/>
  <c r="G362" i="8"/>
  <c r="L362" i="8" s="1"/>
  <c r="E307" i="8"/>
  <c r="G307" i="8"/>
  <c r="L307" i="8" s="1"/>
  <c r="G351" i="8"/>
  <c r="L351" i="8" s="1"/>
  <c r="E351" i="8"/>
  <c r="G329" i="8"/>
  <c r="L329" i="8" s="1"/>
  <c r="E329" i="8"/>
  <c r="H133" i="8"/>
  <c r="I133" i="8" s="1"/>
  <c r="E360" i="8"/>
  <c r="G360" i="8"/>
  <c r="L360" i="8" s="1"/>
  <c r="E330" i="8"/>
  <c r="G330" i="8"/>
  <c r="L330" i="8" s="1"/>
  <c r="E327" i="8"/>
  <c r="G327" i="8"/>
  <c r="L327" i="8" s="1"/>
  <c r="G339" i="8"/>
  <c r="L339" i="8" s="1"/>
  <c r="E339" i="8"/>
  <c r="H89" i="8"/>
  <c r="I89" i="8" s="1"/>
  <c r="K89" i="8" s="1"/>
  <c r="E501" i="8"/>
  <c r="G501" i="8"/>
  <c r="L501" i="8" s="1"/>
  <c r="E410" i="8"/>
  <c r="G410" i="8"/>
  <c r="L410" i="8" s="1"/>
  <c r="E459" i="8"/>
  <c r="G459" i="8"/>
  <c r="L459" i="8" s="1"/>
  <c r="E392" i="8"/>
  <c r="G392" i="8"/>
  <c r="L392" i="8" s="1"/>
  <c r="H72" i="8"/>
  <c r="I72" i="8" s="1"/>
  <c r="H62" i="8"/>
  <c r="I62" i="8" s="1"/>
  <c r="K62" i="8" s="1"/>
  <c r="K20" i="8"/>
  <c r="H77" i="8"/>
  <c r="I77" i="8" s="1"/>
  <c r="H69" i="8"/>
  <c r="H59" i="8"/>
  <c r="K17" i="8"/>
  <c r="H66" i="8"/>
  <c r="H58" i="8"/>
  <c r="K87" i="8"/>
  <c r="E386" i="8"/>
  <c r="G386" i="8"/>
  <c r="L386" i="8" s="1"/>
  <c r="E421" i="8"/>
  <c r="G421" i="8"/>
  <c r="L421" i="8" s="1"/>
  <c r="H63" i="8"/>
  <c r="K21" i="8"/>
  <c r="E426" i="8"/>
  <c r="G426" i="8"/>
  <c r="L426" i="8" s="1"/>
  <c r="E450" i="8"/>
  <c r="G450" i="8"/>
  <c r="L450" i="8" s="1"/>
  <c r="E389" i="8"/>
  <c r="G389" i="8"/>
  <c r="L389" i="8" s="1"/>
  <c r="E394" i="8"/>
  <c r="G394" i="8"/>
  <c r="L394" i="8" s="1"/>
  <c r="E462" i="8"/>
  <c r="G462" i="8"/>
  <c r="L462" i="8" s="1"/>
  <c r="H78" i="8"/>
  <c r="I78" i="8" s="1"/>
  <c r="H70" i="8"/>
  <c r="K28" i="8"/>
  <c r="H71" i="8"/>
  <c r="I71" i="8" s="1"/>
  <c r="K29" i="8"/>
  <c r="H74" i="8"/>
  <c r="K32" i="8"/>
  <c r="H52" i="8"/>
  <c r="I52" i="8" s="1"/>
  <c r="H82" i="8"/>
  <c r="I82" i="8" s="1"/>
  <c r="K82" i="8" s="1"/>
  <c r="K40" i="8"/>
  <c r="H51" i="8"/>
  <c r="I51" i="8" s="1"/>
  <c r="H68" i="8"/>
  <c r="I68" i="8" s="1"/>
  <c r="K68" i="8" s="1"/>
  <c r="K26" i="8"/>
  <c r="E385" i="8"/>
  <c r="G385" i="8"/>
  <c r="L385" i="8" s="1"/>
  <c r="E370" i="8"/>
  <c r="G370" i="8"/>
  <c r="L370" i="8" s="1"/>
  <c r="H50" i="8"/>
  <c r="I50" i="8" s="1"/>
  <c r="H75" i="8"/>
  <c r="K33" i="8"/>
  <c r="E468" i="8"/>
  <c r="G468" i="8"/>
  <c r="L468" i="8" s="1"/>
  <c r="E367" i="8"/>
  <c r="G367" i="8"/>
  <c r="L367" i="8" s="1"/>
  <c r="E492" i="8"/>
  <c r="G492" i="8"/>
  <c r="L492" i="8" s="1"/>
  <c r="E388" i="8"/>
  <c r="G388" i="8"/>
  <c r="L388" i="8" s="1"/>
  <c r="E504" i="8"/>
  <c r="G504" i="8"/>
  <c r="L504" i="8" s="1"/>
  <c r="K34" i="8"/>
  <c r="H76" i="8"/>
  <c r="I76" i="8" s="1"/>
  <c r="K76" i="8" s="1"/>
  <c r="H86" i="8"/>
  <c r="K44" i="8"/>
  <c r="H60" i="8"/>
  <c r="I60" i="8" s="1"/>
  <c r="K60" i="8" s="1"/>
  <c r="K18" i="8"/>
  <c r="H64" i="8"/>
  <c r="I64" i="8" s="1"/>
  <c r="H83" i="8"/>
  <c r="I83" i="8" s="1"/>
  <c r="H67" i="8"/>
  <c r="I67" i="8" s="1"/>
  <c r="H48" i="8"/>
  <c r="I48" i="8" s="1"/>
  <c r="H81" i="8"/>
  <c r="I54" i="8"/>
  <c r="H88" i="8"/>
  <c r="I88" i="8" s="1"/>
  <c r="K88" i="8" s="1"/>
  <c r="I79" i="8"/>
  <c r="H97" i="8"/>
  <c r="H115" i="8"/>
  <c r="H126" i="8"/>
  <c r="K84" i="8"/>
  <c r="H98" i="8"/>
  <c r="K56" i="8"/>
  <c r="H103" i="8"/>
  <c r="I129" i="8"/>
  <c r="K129" i="8" s="1"/>
  <c r="I99" i="8"/>
  <c r="K99" i="8" s="1"/>
  <c r="K71" i="8"/>
  <c r="H122" i="8"/>
  <c r="K80" i="8"/>
  <c r="M2" i="14" l="1"/>
  <c r="F256" i="8"/>
  <c r="K61" i="8"/>
  <c r="K19" i="8"/>
  <c r="H169" i="8"/>
  <c r="E348" i="8"/>
  <c r="G348" i="8"/>
  <c r="L348" i="8" s="1"/>
  <c r="H130" i="8"/>
  <c r="I130" i="8" s="1"/>
  <c r="K130" i="8" s="1"/>
  <c r="H118" i="8"/>
  <c r="I118" i="8" s="1"/>
  <c r="K118" i="8" s="1"/>
  <c r="H102" i="8"/>
  <c r="H125" i="8"/>
  <c r="I125" i="8" s="1"/>
  <c r="G506" i="8"/>
  <c r="L506" i="8" s="1"/>
  <c r="E506" i="8"/>
  <c r="H131" i="8"/>
  <c r="I131" i="8" s="1"/>
  <c r="K131" i="8" s="1"/>
  <c r="H113" i="8"/>
  <c r="I113" i="8" s="1"/>
  <c r="K113" i="8" s="1"/>
  <c r="H93" i="8"/>
  <c r="I93" i="8" s="1"/>
  <c r="H106" i="8"/>
  <c r="I106" i="8" s="1"/>
  <c r="H109" i="8"/>
  <c r="I109" i="8" s="1"/>
  <c r="H94" i="8"/>
  <c r="I94" i="8" s="1"/>
  <c r="H114" i="8"/>
  <c r="H120" i="8"/>
  <c r="I120" i="8" s="1"/>
  <c r="G464" i="8"/>
  <c r="L464" i="8" s="1"/>
  <c r="E464" i="8"/>
  <c r="E393" i="8"/>
  <c r="G393" i="8"/>
  <c r="L393" i="8" s="1"/>
  <c r="E404" i="8"/>
  <c r="G404" i="8"/>
  <c r="L404" i="8" s="1"/>
  <c r="E397" i="8"/>
  <c r="G397" i="8"/>
  <c r="L397" i="8" s="1"/>
  <c r="G376" i="8"/>
  <c r="L376" i="8" s="1"/>
  <c r="E376" i="8"/>
  <c r="E403" i="8"/>
  <c r="G403" i="8"/>
  <c r="L403" i="8" s="1"/>
  <c r="E399" i="8"/>
  <c r="G399" i="8"/>
  <c r="L399" i="8" s="1"/>
  <c r="E369" i="8"/>
  <c r="G369" i="8"/>
  <c r="L369" i="8" s="1"/>
  <c r="E402" i="8"/>
  <c r="G402" i="8"/>
  <c r="L402" i="8" s="1"/>
  <c r="E371" i="8"/>
  <c r="G371" i="8"/>
  <c r="L371" i="8" s="1"/>
  <c r="G349" i="8"/>
  <c r="L349" i="8" s="1"/>
  <c r="E349" i="8"/>
  <c r="E341" i="8"/>
  <c r="G341" i="8"/>
  <c r="L341" i="8" s="1"/>
  <c r="E395" i="8"/>
  <c r="G395" i="8"/>
  <c r="L395" i="8" s="1"/>
  <c r="G401" i="8"/>
  <c r="L401" i="8" s="1"/>
  <c r="E401" i="8"/>
  <c r="E345" i="8"/>
  <c r="G345" i="8"/>
  <c r="L345" i="8" s="1"/>
  <c r="E381" i="8"/>
  <c r="G381" i="8"/>
  <c r="L381" i="8" s="1"/>
  <c r="E407" i="8"/>
  <c r="G407" i="8"/>
  <c r="L407" i="8" s="1"/>
  <c r="G372" i="8"/>
  <c r="L372" i="8" s="1"/>
  <c r="E372" i="8"/>
  <c r="H124" i="8"/>
  <c r="I124" i="8" s="1"/>
  <c r="K124" i="8" s="1"/>
  <c r="H110" i="8"/>
  <c r="I110" i="8" s="1"/>
  <c r="K110" i="8" s="1"/>
  <c r="H96" i="8"/>
  <c r="E470" i="8"/>
  <c r="G470" i="8"/>
  <c r="L470" i="8" s="1"/>
  <c r="E505" i="8"/>
  <c r="G505" i="8"/>
  <c r="L505" i="8" s="1"/>
  <c r="E473" i="8"/>
  <c r="G473" i="8"/>
  <c r="L473" i="8" s="1"/>
  <c r="E436" i="8"/>
  <c r="G436" i="8"/>
  <c r="L436" i="8" s="1"/>
  <c r="E430" i="8"/>
  <c r="G430" i="8"/>
  <c r="L430" i="8" s="1"/>
  <c r="I58" i="8"/>
  <c r="I59" i="8"/>
  <c r="K59" i="8" s="1"/>
  <c r="E452" i="8"/>
  <c r="G452" i="8"/>
  <c r="L452" i="8" s="1"/>
  <c r="E409" i="8"/>
  <c r="G409" i="8"/>
  <c r="L409" i="8" s="1"/>
  <c r="E469" i="8"/>
  <c r="G469" i="8"/>
  <c r="L469" i="8" s="1"/>
  <c r="E478" i="8"/>
  <c r="G478" i="8"/>
  <c r="L478" i="8" s="1"/>
  <c r="E472" i="8"/>
  <c r="G472" i="8"/>
  <c r="L472" i="8" s="1"/>
  <c r="H119" i="8"/>
  <c r="I119" i="8" s="1"/>
  <c r="H104" i="8"/>
  <c r="I104" i="8" s="1"/>
  <c r="K104" i="8" s="1"/>
  <c r="H121" i="8"/>
  <c r="I75" i="8"/>
  <c r="K75" i="8" s="1"/>
  <c r="I74" i="8"/>
  <c r="K74" i="8" s="1"/>
  <c r="I70" i="8"/>
  <c r="K70" i="8" s="1"/>
  <c r="I66" i="8"/>
  <c r="E494" i="8"/>
  <c r="G494" i="8"/>
  <c r="L494" i="8" s="1"/>
  <c r="E427" i="8"/>
  <c r="G427" i="8"/>
  <c r="L427" i="8" s="1"/>
  <c r="E434" i="8"/>
  <c r="G434" i="8"/>
  <c r="L434" i="8" s="1"/>
  <c r="I69" i="8"/>
  <c r="E428" i="8"/>
  <c r="G428" i="8"/>
  <c r="L428" i="8" s="1"/>
  <c r="E463" i="8"/>
  <c r="G463" i="8"/>
  <c r="L463" i="8" s="1"/>
  <c r="E431" i="8"/>
  <c r="G431" i="8"/>
  <c r="L431" i="8" s="1"/>
  <c r="E476" i="8"/>
  <c r="G476" i="8"/>
  <c r="L476" i="8" s="1"/>
  <c r="E412" i="8"/>
  <c r="G412" i="8"/>
  <c r="L412" i="8" s="1"/>
  <c r="H90" i="8"/>
  <c r="I90" i="8" s="1"/>
  <c r="H92" i="8"/>
  <c r="I92" i="8" s="1"/>
  <c r="I81" i="8"/>
  <c r="I86" i="8"/>
  <c r="K86" i="8" s="1"/>
  <c r="I63" i="8"/>
  <c r="K63" i="8" s="1"/>
  <c r="I114" i="8"/>
  <c r="H175" i="8"/>
  <c r="H171" i="8"/>
  <c r="I103" i="8"/>
  <c r="I115" i="8"/>
  <c r="I122" i="8"/>
  <c r="K122" i="8" s="1"/>
  <c r="H179" i="8"/>
  <c r="I102" i="8"/>
  <c r="K102" i="8" s="1"/>
  <c r="I169" i="8"/>
  <c r="K169" i="8" s="1"/>
  <c r="I98" i="8"/>
  <c r="K98" i="8" s="1"/>
  <c r="I126" i="8"/>
  <c r="K126" i="8" s="1"/>
  <c r="H191" i="8"/>
  <c r="H141" i="8"/>
  <c r="I97" i="8"/>
  <c r="N2" i="14" l="1"/>
  <c r="F298" i="8"/>
  <c r="K103" i="8"/>
  <c r="K16" i="8"/>
  <c r="K58" i="8"/>
  <c r="E390" i="8"/>
  <c r="G390" i="8"/>
  <c r="L390" i="8" s="1"/>
  <c r="H157" i="8"/>
  <c r="I157" i="8" s="1"/>
  <c r="H164" i="8"/>
  <c r="I164" i="8" s="1"/>
  <c r="K164" i="8" s="1"/>
  <c r="H140" i="8"/>
  <c r="I140" i="8" s="1"/>
  <c r="K140" i="8" s="1"/>
  <c r="H123" i="8"/>
  <c r="I123" i="8" s="1"/>
  <c r="E413" i="8"/>
  <c r="G413" i="8"/>
  <c r="L413" i="8" s="1"/>
  <c r="E411" i="8"/>
  <c r="G411" i="8"/>
  <c r="L411" i="8" s="1"/>
  <c r="G441" i="8"/>
  <c r="L441" i="8" s="1"/>
  <c r="E441" i="8"/>
  <c r="E445" i="8"/>
  <c r="G445" i="8"/>
  <c r="L445" i="8" s="1"/>
  <c r="E439" i="8"/>
  <c r="G439" i="8"/>
  <c r="L439" i="8" s="1"/>
  <c r="G477" i="8"/>
  <c r="L477" i="8" s="1"/>
  <c r="E477" i="8"/>
  <c r="E491" i="8"/>
  <c r="G491" i="8"/>
  <c r="L491" i="8" s="1"/>
  <c r="E443" i="8"/>
  <c r="G443" i="8"/>
  <c r="L443" i="8" s="1"/>
  <c r="G483" i="8"/>
  <c r="L483" i="8" s="1"/>
  <c r="E483" i="8"/>
  <c r="G487" i="8"/>
  <c r="L487" i="8" s="1"/>
  <c r="E487" i="8"/>
  <c r="E481" i="8"/>
  <c r="G481" i="8"/>
  <c r="L481" i="8" s="1"/>
  <c r="E446" i="8"/>
  <c r="G446" i="8"/>
  <c r="L446" i="8" s="1"/>
  <c r="G414" i="8"/>
  <c r="L414" i="8" s="1"/>
  <c r="E414" i="8"/>
  <c r="E423" i="8"/>
  <c r="G423" i="8"/>
  <c r="L423" i="8" s="1"/>
  <c r="E387" i="8"/>
  <c r="G387" i="8"/>
  <c r="L387" i="8" s="1"/>
  <c r="E485" i="8"/>
  <c r="G485" i="8"/>
  <c r="L485" i="8" s="1"/>
  <c r="G383" i="8"/>
  <c r="L383" i="8" s="1"/>
  <c r="E383" i="8"/>
  <c r="E391" i="8"/>
  <c r="G391" i="8"/>
  <c r="L391" i="8" s="1"/>
  <c r="E444" i="8"/>
  <c r="G444" i="8"/>
  <c r="L444" i="8" s="1"/>
  <c r="G418" i="8"/>
  <c r="L418" i="8" s="1"/>
  <c r="E418" i="8"/>
  <c r="G488" i="8"/>
  <c r="L488" i="8" s="1"/>
  <c r="E488" i="8"/>
  <c r="E437" i="8"/>
  <c r="G437" i="8"/>
  <c r="L437" i="8" s="1"/>
  <c r="E486" i="8"/>
  <c r="G486" i="8"/>
  <c r="L486" i="8" s="1"/>
  <c r="E435" i="8"/>
  <c r="G435" i="8"/>
  <c r="L435" i="8" s="1"/>
  <c r="G449" i="8"/>
  <c r="L449" i="8" s="1"/>
  <c r="E449" i="8"/>
  <c r="E479" i="8"/>
  <c r="G479" i="8"/>
  <c r="L479" i="8" s="1"/>
  <c r="I96" i="8"/>
  <c r="H160" i="8"/>
  <c r="I160" i="8" s="1"/>
  <c r="K160" i="8" s="1"/>
  <c r="H105" i="8"/>
  <c r="H100" i="8"/>
  <c r="I100" i="8" s="1"/>
  <c r="H145" i="8"/>
  <c r="I145" i="8" s="1"/>
  <c r="K145" i="8" s="1"/>
  <c r="H162" i="8"/>
  <c r="I162" i="8" s="1"/>
  <c r="H112" i="8"/>
  <c r="I112" i="8" s="1"/>
  <c r="K112" i="8" s="1"/>
  <c r="H101" i="8"/>
  <c r="I101" i="8" s="1"/>
  <c r="K101" i="8" s="1"/>
  <c r="H132" i="8"/>
  <c r="I132" i="8" s="1"/>
  <c r="E451" i="8"/>
  <c r="G451" i="8"/>
  <c r="L451" i="8" s="1"/>
  <c r="H148" i="8"/>
  <c r="I148" i="8" s="1"/>
  <c r="H128" i="8"/>
  <c r="H111" i="8"/>
  <c r="H108" i="8"/>
  <c r="H116" i="8"/>
  <c r="I121" i="8"/>
  <c r="E493" i="8"/>
  <c r="G493" i="8"/>
  <c r="L493" i="8" s="1"/>
  <c r="H139" i="8"/>
  <c r="I139" i="8" s="1"/>
  <c r="H168" i="8"/>
  <c r="I168" i="8" s="1"/>
  <c r="K168" i="8" s="1"/>
  <c r="H135" i="8"/>
  <c r="I135" i="8" s="1"/>
  <c r="H172" i="8"/>
  <c r="I172" i="8" s="1"/>
  <c r="K172" i="8" s="1"/>
  <c r="H173" i="8"/>
  <c r="I173" i="8" s="1"/>
  <c r="K173" i="8" s="1"/>
  <c r="H117" i="8"/>
  <c r="E496" i="8"/>
  <c r="G496" i="8"/>
  <c r="L496" i="8" s="1"/>
  <c r="E454" i="8"/>
  <c r="G454" i="8"/>
  <c r="L454" i="8" s="1"/>
  <c r="I105" i="8"/>
  <c r="K105" i="8" s="1"/>
  <c r="H161" i="8"/>
  <c r="H144" i="8"/>
  <c r="H151" i="8"/>
  <c r="H166" i="8"/>
  <c r="I171" i="8"/>
  <c r="K171" i="8" s="1"/>
  <c r="H136" i="8"/>
  <c r="H156" i="8"/>
  <c r="I179" i="8"/>
  <c r="K179" i="8" s="1"/>
  <c r="I175" i="8"/>
  <c r="I191" i="8"/>
  <c r="I141" i="8"/>
  <c r="K141" i="8" s="1"/>
  <c r="H211" i="8"/>
  <c r="H167" i="8"/>
  <c r="H134" i="8"/>
  <c r="H152" i="8"/>
  <c r="H146" i="8"/>
  <c r="H155" i="8"/>
  <c r="O2" i="14" l="1"/>
  <c r="F340" i="8"/>
  <c r="K66" i="8"/>
  <c r="K24" i="8"/>
  <c r="E432" i="8"/>
  <c r="G432" i="8"/>
  <c r="L432" i="8" s="1"/>
  <c r="G474" i="8"/>
  <c r="L474" i="8" s="1"/>
  <c r="E474" i="8"/>
  <c r="H154" i="8"/>
  <c r="G471" i="8"/>
  <c r="L471" i="8" s="1"/>
  <c r="E471" i="8"/>
  <c r="E460" i="8"/>
  <c r="G460" i="8"/>
  <c r="L460" i="8" s="1"/>
  <c r="E433" i="8"/>
  <c r="G433" i="8"/>
  <c r="L433" i="8" s="1"/>
  <c r="E465" i="8"/>
  <c r="G465" i="8"/>
  <c r="L465" i="8" s="1"/>
  <c r="G495" i="8"/>
  <c r="L495" i="8" s="1"/>
  <c r="E495" i="8"/>
  <c r="G498" i="8"/>
  <c r="L498" i="8" s="1"/>
  <c r="E498" i="8"/>
  <c r="G502" i="8"/>
  <c r="L502" i="8" s="1"/>
  <c r="E502" i="8"/>
  <c r="E475" i="8"/>
  <c r="G475" i="8"/>
  <c r="L475" i="8" s="1"/>
  <c r="E507" i="8"/>
  <c r="G507" i="8"/>
  <c r="L507" i="8" s="1"/>
  <c r="E455" i="8"/>
  <c r="G455" i="8"/>
  <c r="L455" i="8" s="1"/>
  <c r="E425" i="8"/>
  <c r="G425" i="8"/>
  <c r="L425" i="8" s="1"/>
  <c r="G429" i="8"/>
  <c r="L429" i="8" s="1"/>
  <c r="E429" i="8"/>
  <c r="G456" i="8"/>
  <c r="L456" i="8" s="1"/>
  <c r="E456" i="8"/>
  <c r="E453" i="8"/>
  <c r="G453" i="8"/>
  <c r="L453" i="8" s="1"/>
  <c r="E497" i="8"/>
  <c r="G497" i="8"/>
  <c r="L497" i="8" s="1"/>
  <c r="E467" i="8"/>
  <c r="G467" i="8"/>
  <c r="L467" i="8" s="1"/>
  <c r="K100" i="8"/>
  <c r="H142" i="8"/>
  <c r="I142" i="8" s="1"/>
  <c r="K142" i="8" s="1"/>
  <c r="H138" i="8"/>
  <c r="H165" i="8"/>
  <c r="I165" i="8" s="1"/>
  <c r="I117" i="8"/>
  <c r="K117" i="8" s="1"/>
  <c r="I116" i="8"/>
  <c r="K116" i="8" s="1"/>
  <c r="H163" i="8"/>
  <c r="H147" i="8"/>
  <c r="H143" i="8"/>
  <c r="I111" i="8"/>
  <c r="I108" i="8"/>
  <c r="I154" i="8"/>
  <c r="K154" i="8" s="1"/>
  <c r="I128" i="8"/>
  <c r="K128" i="8" s="1"/>
  <c r="I152" i="8"/>
  <c r="K152" i="8" s="1"/>
  <c r="I151" i="8"/>
  <c r="H183" i="8"/>
  <c r="H182" i="8"/>
  <c r="H217" i="8"/>
  <c r="H215" i="8"/>
  <c r="H221" i="8"/>
  <c r="H181" i="8"/>
  <c r="I144" i="8"/>
  <c r="K144" i="8" s="1"/>
  <c r="H187" i="8"/>
  <c r="H199" i="8"/>
  <c r="H202" i="8"/>
  <c r="I155" i="8"/>
  <c r="K155" i="8" s="1"/>
  <c r="I134" i="8"/>
  <c r="I156" i="8"/>
  <c r="I166" i="8"/>
  <c r="K166" i="8" s="1"/>
  <c r="I161" i="8"/>
  <c r="I146" i="8"/>
  <c r="K146" i="8" s="1"/>
  <c r="I167" i="8"/>
  <c r="I211" i="8"/>
  <c r="K211" i="8" s="1"/>
  <c r="H174" i="8"/>
  <c r="H233" i="8"/>
  <c r="H190" i="8"/>
  <c r="H214" i="8"/>
  <c r="H177" i="8"/>
  <c r="H210" i="8"/>
  <c r="I136" i="8"/>
  <c r="H213" i="8"/>
  <c r="H204" i="8"/>
  <c r="H206" i="8"/>
  <c r="P2" i="14" l="1"/>
  <c r="F382" i="8"/>
  <c r="K108" i="8"/>
  <c r="K37" i="8"/>
  <c r="K121" i="8"/>
  <c r="K79" i="8"/>
  <c r="H158" i="8"/>
  <c r="I158" i="8" s="1"/>
  <c r="K158" i="8" s="1"/>
  <c r="H198" i="8"/>
  <c r="H196" i="8"/>
  <c r="I196" i="8" s="1"/>
  <c r="K196" i="8" s="1"/>
  <c r="L508" i="8"/>
  <c r="C4" i="1" s="1"/>
  <c r="H186" i="8"/>
  <c r="I186" i="8" s="1"/>
  <c r="K186" i="8" s="1"/>
  <c r="H159" i="8"/>
  <c r="I159" i="8" s="1"/>
  <c r="K159" i="8" s="1"/>
  <c r="H207" i="8"/>
  <c r="I207" i="8" s="1"/>
  <c r="H203" i="8"/>
  <c r="I203" i="8" s="1"/>
  <c r="H209" i="8"/>
  <c r="I209" i="8" s="1"/>
  <c r="H176" i="8"/>
  <c r="I176" i="8" s="1"/>
  <c r="H184" i="8"/>
  <c r="I184" i="8" s="1"/>
  <c r="K184" i="8" s="1"/>
  <c r="H170" i="8"/>
  <c r="I170" i="8" s="1"/>
  <c r="K170" i="8" s="1"/>
  <c r="H150" i="8"/>
  <c r="I150" i="8" s="1"/>
  <c r="K150" i="8" s="1"/>
  <c r="I138" i="8"/>
  <c r="I147" i="8"/>
  <c r="K147" i="8" s="1"/>
  <c r="H178" i="8"/>
  <c r="I178" i="8" s="1"/>
  <c r="H253" i="8"/>
  <c r="H188" i="8"/>
  <c r="I188" i="8" s="1"/>
  <c r="K188" i="8" s="1"/>
  <c r="H208" i="8"/>
  <c r="I208" i="8" s="1"/>
  <c r="K208" i="8" s="1"/>
  <c r="H197" i="8"/>
  <c r="I197" i="8" s="1"/>
  <c r="K197" i="8" s="1"/>
  <c r="H153" i="8"/>
  <c r="I163" i="8"/>
  <c r="I143" i="8"/>
  <c r="K143" i="8" s="1"/>
  <c r="I215" i="8"/>
  <c r="K215" i="8" s="1"/>
  <c r="I204" i="8"/>
  <c r="I210" i="8"/>
  <c r="K210" i="8" s="1"/>
  <c r="I233" i="8"/>
  <c r="I202" i="8"/>
  <c r="K202" i="8" s="1"/>
  <c r="I181" i="8"/>
  <c r="I217" i="8"/>
  <c r="H226" i="8"/>
  <c r="I190" i="8"/>
  <c r="I213" i="8"/>
  <c r="K213" i="8" s="1"/>
  <c r="I177" i="8"/>
  <c r="I174" i="8"/>
  <c r="I199" i="8"/>
  <c r="I221" i="8"/>
  <c r="K221" i="8" s="1"/>
  <c r="I182" i="8"/>
  <c r="K182" i="8" s="1"/>
  <c r="I206" i="8"/>
  <c r="K206" i="8" s="1"/>
  <c r="I214" i="8"/>
  <c r="K214" i="8" s="1"/>
  <c r="I187" i="8"/>
  <c r="K187" i="8" s="1"/>
  <c r="I183" i="8"/>
  <c r="K183" i="8" s="1"/>
  <c r="H193" i="8"/>
  <c r="H194" i="8"/>
  <c r="Q2" i="14" l="1"/>
  <c r="F466" i="8" s="1"/>
  <c r="F424" i="8"/>
  <c r="K163" i="8"/>
  <c r="K204" i="8"/>
  <c r="K120" i="8"/>
  <c r="K36" i="8"/>
  <c r="K162" i="8"/>
  <c r="K78" i="8"/>
  <c r="H249" i="8"/>
  <c r="H238" i="8"/>
  <c r="I238" i="8" s="1"/>
  <c r="K238" i="8" s="1"/>
  <c r="I198" i="8"/>
  <c r="H248" i="8"/>
  <c r="I248" i="8" s="1"/>
  <c r="K248" i="8" s="1"/>
  <c r="H223" i="8"/>
  <c r="H201" i="8"/>
  <c r="I201" i="8" s="1"/>
  <c r="K201" i="8" s="1"/>
  <c r="H185" i="8"/>
  <c r="I185" i="8" s="1"/>
  <c r="K185" i="8" s="1"/>
  <c r="H189" i="8"/>
  <c r="I189" i="8" s="1"/>
  <c r="K189" i="8" s="1"/>
  <c r="H263" i="8"/>
  <c r="I263" i="8" s="1"/>
  <c r="K263" i="8" s="1"/>
  <c r="H219" i="8"/>
  <c r="I219" i="8" s="1"/>
  <c r="H180" i="8"/>
  <c r="H250" i="8"/>
  <c r="I250" i="8" s="1"/>
  <c r="K250" i="8" s="1"/>
  <c r="H251" i="8"/>
  <c r="H232" i="8"/>
  <c r="I232" i="8" s="1"/>
  <c r="H275" i="8"/>
  <c r="I275" i="8" s="1"/>
  <c r="H200" i="8"/>
  <c r="H212" i="8"/>
  <c r="H205" i="8"/>
  <c r="I205" i="8" s="1"/>
  <c r="K205" i="8" s="1"/>
  <c r="H241" i="8"/>
  <c r="I241" i="8" s="1"/>
  <c r="I251" i="8"/>
  <c r="I253" i="8"/>
  <c r="K253" i="8" s="1"/>
  <c r="H239" i="8"/>
  <c r="H224" i="8"/>
  <c r="I224" i="8" s="1"/>
  <c r="K224" i="8" s="1"/>
  <c r="H228" i="8"/>
  <c r="I228" i="8" s="1"/>
  <c r="K228" i="8" s="1"/>
  <c r="H218" i="8"/>
  <c r="I218" i="8" s="1"/>
  <c r="H245" i="8"/>
  <c r="H216" i="8"/>
  <c r="I216" i="8" s="1"/>
  <c r="H255" i="8"/>
  <c r="H280" i="8"/>
  <c r="H259" i="8"/>
  <c r="H244" i="8"/>
  <c r="H252" i="8"/>
  <c r="I212" i="8"/>
  <c r="K212" i="8" s="1"/>
  <c r="I153" i="8"/>
  <c r="I249" i="8"/>
  <c r="H192" i="8"/>
  <c r="I239" i="8"/>
  <c r="K239" i="8" s="1"/>
  <c r="I193" i="8"/>
  <c r="H229" i="8"/>
  <c r="H257" i="8"/>
  <c r="H230" i="8"/>
  <c r="I194" i="8"/>
  <c r="K194" i="8" s="1"/>
  <c r="I226" i="8"/>
  <c r="K226" i="8" s="1"/>
  <c r="I223" i="8"/>
  <c r="H225" i="8"/>
  <c r="H256" i="8"/>
  <c r="H246" i="8"/>
  <c r="H220" i="8"/>
  <c r="K135" i="8" l="1"/>
  <c r="K219" i="8"/>
  <c r="K9" i="8"/>
  <c r="K51" i="8"/>
  <c r="K93" i="8"/>
  <c r="K177" i="8"/>
  <c r="H240" i="8"/>
  <c r="I240" i="8" s="1"/>
  <c r="H231" i="8"/>
  <c r="I231" i="8" s="1"/>
  <c r="K231" i="8" s="1"/>
  <c r="H317" i="8"/>
  <c r="I317" i="8" s="1"/>
  <c r="H243" i="8"/>
  <c r="I243" i="8" s="1"/>
  <c r="K243" i="8" s="1"/>
  <c r="H305" i="8"/>
  <c r="I305" i="8" s="1"/>
  <c r="K305" i="8" s="1"/>
  <c r="I200" i="8"/>
  <c r="K200" i="8" s="1"/>
  <c r="I180" i="8"/>
  <c r="I246" i="8"/>
  <c r="K246" i="8" s="1"/>
  <c r="I192" i="8"/>
  <c r="K192" i="8" s="1"/>
  <c r="H195" i="8"/>
  <c r="H247" i="8"/>
  <c r="I252" i="8"/>
  <c r="K252" i="8" s="1"/>
  <c r="I255" i="8"/>
  <c r="K255" i="8" s="1"/>
  <c r="H292" i="8"/>
  <c r="I292" i="8" s="1"/>
  <c r="H293" i="8"/>
  <c r="I293" i="8" s="1"/>
  <c r="I256" i="8"/>
  <c r="K256" i="8" s="1"/>
  <c r="I257" i="8"/>
  <c r="K257" i="8" s="1"/>
  <c r="I244" i="8"/>
  <c r="K244" i="8" s="1"/>
  <c r="I280" i="8"/>
  <c r="K280" i="8" s="1"/>
  <c r="H291" i="8"/>
  <c r="I291" i="8" s="1"/>
  <c r="H227" i="8"/>
  <c r="H254" i="8"/>
  <c r="I259" i="8"/>
  <c r="I245" i="8"/>
  <c r="H295" i="8"/>
  <c r="I295" i="8" s="1"/>
  <c r="H290" i="8"/>
  <c r="I290" i="8" s="1"/>
  <c r="I225" i="8"/>
  <c r="K225" i="8" s="1"/>
  <c r="H265" i="8"/>
  <c r="H274" i="8"/>
  <c r="H236" i="8"/>
  <c r="H235" i="8"/>
  <c r="H270" i="8"/>
  <c r="H281" i="8"/>
  <c r="I230" i="8"/>
  <c r="K230" i="8" s="1"/>
  <c r="I229" i="8"/>
  <c r="K229" i="8" s="1"/>
  <c r="I220" i="8"/>
  <c r="H258" i="8"/>
  <c r="H268" i="8"/>
  <c r="H261" i="8"/>
  <c r="H283" i="8"/>
  <c r="H260" i="8"/>
  <c r="H266" i="8"/>
  <c r="K165" i="8" l="1"/>
  <c r="K207" i="8"/>
  <c r="K123" i="8"/>
  <c r="K39" i="8"/>
  <c r="K249" i="8"/>
  <c r="K81" i="8"/>
  <c r="K291" i="8"/>
  <c r="H347" i="8"/>
  <c r="I347" i="8" s="1"/>
  <c r="K347" i="8" s="1"/>
  <c r="H285" i="8"/>
  <c r="I285" i="8" s="1"/>
  <c r="K285" i="8" s="1"/>
  <c r="H273" i="8"/>
  <c r="H282" i="8"/>
  <c r="I282" i="8" s="1"/>
  <c r="H359" i="8"/>
  <c r="I359" i="8" s="1"/>
  <c r="H242" i="8"/>
  <c r="I242" i="8" s="1"/>
  <c r="K242" i="8" s="1"/>
  <c r="H222" i="8"/>
  <c r="H234" i="8"/>
  <c r="I234" i="8" s="1"/>
  <c r="K234" i="8" s="1"/>
  <c r="I266" i="8"/>
  <c r="K266" i="8" s="1"/>
  <c r="I268" i="8"/>
  <c r="K268" i="8" s="1"/>
  <c r="I273" i="8"/>
  <c r="K273" i="8" s="1"/>
  <c r="I265" i="8"/>
  <c r="I254" i="8"/>
  <c r="K254" i="8" s="1"/>
  <c r="I260" i="8"/>
  <c r="H332" i="8"/>
  <c r="I332" i="8" s="1"/>
  <c r="K290" i="8"/>
  <c r="I227" i="8"/>
  <c r="K227" i="8" s="1"/>
  <c r="H334" i="8"/>
  <c r="I334" i="8" s="1"/>
  <c r="K292" i="8"/>
  <c r="H294" i="8"/>
  <c r="I294" i="8" s="1"/>
  <c r="I283" i="8"/>
  <c r="I270" i="8"/>
  <c r="K270" i="8" s="1"/>
  <c r="H333" i="8"/>
  <c r="I333" i="8" s="1"/>
  <c r="I247" i="8"/>
  <c r="K247" i="8" s="1"/>
  <c r="H335" i="8"/>
  <c r="I335" i="8" s="1"/>
  <c r="I258" i="8"/>
  <c r="I281" i="8"/>
  <c r="K281" i="8" s="1"/>
  <c r="H287" i="8"/>
  <c r="I287" i="8" s="1"/>
  <c r="H322" i="8"/>
  <c r="I322" i="8" s="1"/>
  <c r="H299" i="8"/>
  <c r="I299" i="8" s="1"/>
  <c r="I261" i="8"/>
  <c r="K261" i="8" s="1"/>
  <c r="I274" i="8"/>
  <c r="H337" i="8"/>
  <c r="I337" i="8" s="1"/>
  <c r="K295" i="8"/>
  <c r="H301" i="8"/>
  <c r="I301" i="8" s="1"/>
  <c r="H286" i="8"/>
  <c r="I286" i="8" s="1"/>
  <c r="H298" i="8"/>
  <c r="I298" i="8" s="1"/>
  <c r="H297" i="8"/>
  <c r="I297" i="8" s="1"/>
  <c r="I195" i="8"/>
  <c r="H288" i="8"/>
  <c r="I288" i="8" s="1"/>
  <c r="H262" i="8"/>
  <c r="H272" i="8"/>
  <c r="I236" i="8"/>
  <c r="K236" i="8" s="1"/>
  <c r="I235" i="8"/>
  <c r="H271" i="8"/>
  <c r="H267" i="8"/>
  <c r="H389" i="8" l="1"/>
  <c r="I389" i="8" s="1"/>
  <c r="K133" i="8"/>
  <c r="K301" i="8"/>
  <c r="K217" i="8"/>
  <c r="K91" i="8"/>
  <c r="K7" i="8"/>
  <c r="K175" i="8"/>
  <c r="K49" i="8"/>
  <c r="K259" i="8"/>
  <c r="H401" i="8"/>
  <c r="I401" i="8" s="1"/>
  <c r="H327" i="8"/>
  <c r="I327" i="8" s="1"/>
  <c r="H369" i="8" s="1"/>
  <c r="I369" i="8" s="1"/>
  <c r="H284" i="8"/>
  <c r="I284" i="8" s="1"/>
  <c r="K284" i="8" s="1"/>
  <c r="H300" i="8"/>
  <c r="I300" i="8" s="1"/>
  <c r="I222" i="8"/>
  <c r="H325" i="8"/>
  <c r="I325" i="8" s="1"/>
  <c r="H276" i="8"/>
  <c r="I276" i="8" s="1"/>
  <c r="K276" i="8" s="1"/>
  <c r="H324" i="8"/>
  <c r="I324" i="8" s="1"/>
  <c r="I271" i="8"/>
  <c r="K271" i="8" s="1"/>
  <c r="H339" i="8"/>
  <c r="I339" i="8" s="1"/>
  <c r="K297" i="8"/>
  <c r="H330" i="8"/>
  <c r="I330" i="8" s="1"/>
  <c r="K288" i="8"/>
  <c r="H340" i="8"/>
  <c r="I340" i="8" s="1"/>
  <c r="K298" i="8"/>
  <c r="H336" i="8"/>
  <c r="I336" i="8" s="1"/>
  <c r="K294" i="8"/>
  <c r="H302" i="8"/>
  <c r="I302" i="8" s="1"/>
  <c r="H310" i="8"/>
  <c r="I310" i="8" s="1"/>
  <c r="H328" i="8"/>
  <c r="I328" i="8" s="1"/>
  <c r="K286" i="8"/>
  <c r="H341" i="8"/>
  <c r="I341" i="8" s="1"/>
  <c r="K299" i="8"/>
  <c r="H323" i="8"/>
  <c r="I323" i="8" s="1"/>
  <c r="H377" i="8"/>
  <c r="I377" i="8" s="1"/>
  <c r="H289" i="8"/>
  <c r="I289" i="8" s="1"/>
  <c r="H312" i="8"/>
  <c r="I312" i="8" s="1"/>
  <c r="I262" i="8"/>
  <c r="H329" i="8"/>
  <c r="I329" i="8" s="1"/>
  <c r="H375" i="8"/>
  <c r="I375" i="8" s="1"/>
  <c r="K333" i="8"/>
  <c r="H343" i="8"/>
  <c r="I343" i="8" s="1"/>
  <c r="H316" i="8"/>
  <c r="I316" i="8" s="1"/>
  <c r="H269" i="8"/>
  <c r="H296" i="8"/>
  <c r="I296" i="8" s="1"/>
  <c r="H307" i="8"/>
  <c r="I307" i="8" s="1"/>
  <c r="I267" i="8"/>
  <c r="K267" i="8" s="1"/>
  <c r="I272" i="8"/>
  <c r="K272" i="8" s="1"/>
  <c r="H431" i="8"/>
  <c r="I431" i="8" s="1"/>
  <c r="K389" i="8"/>
  <c r="H237" i="8"/>
  <c r="H379" i="8"/>
  <c r="I379" i="8" s="1"/>
  <c r="K337" i="8"/>
  <c r="H303" i="8"/>
  <c r="I303" i="8" s="1"/>
  <c r="H364" i="8"/>
  <c r="I364" i="8" s="1"/>
  <c r="K322" i="8"/>
  <c r="H376" i="8"/>
  <c r="I376" i="8" s="1"/>
  <c r="K334" i="8"/>
  <c r="H374" i="8"/>
  <c r="I374" i="8" s="1"/>
  <c r="K332" i="8"/>
  <c r="H315" i="8"/>
  <c r="I315" i="8" s="1"/>
  <c r="H308" i="8"/>
  <c r="I308" i="8" s="1"/>
  <c r="H278" i="8"/>
  <c r="H277" i="8"/>
  <c r="K148" i="8" l="1"/>
  <c r="K190" i="8"/>
  <c r="K106" i="8"/>
  <c r="K274" i="8"/>
  <c r="K64" i="8"/>
  <c r="K22" i="8"/>
  <c r="K232" i="8"/>
  <c r="K265" i="8"/>
  <c r="K223" i="8"/>
  <c r="K13" i="8"/>
  <c r="K181" i="8"/>
  <c r="K97" i="8"/>
  <c r="K139" i="8"/>
  <c r="K307" i="8"/>
  <c r="K55" i="8"/>
  <c r="H326" i="8"/>
  <c r="I326" i="8" s="1"/>
  <c r="K326" i="8" s="1"/>
  <c r="H443" i="8"/>
  <c r="I443" i="8" s="1"/>
  <c r="K327" i="8"/>
  <c r="H367" i="8"/>
  <c r="I367" i="8" s="1"/>
  <c r="H342" i="8"/>
  <c r="I342" i="8" s="1"/>
  <c r="H366" i="8"/>
  <c r="I366" i="8" s="1"/>
  <c r="H264" i="8"/>
  <c r="H304" i="8"/>
  <c r="I304" i="8" s="1"/>
  <c r="H358" i="8"/>
  <c r="I358" i="8" s="1"/>
  <c r="K316" i="8"/>
  <c r="I277" i="8"/>
  <c r="H406" i="8"/>
  <c r="I406" i="8" s="1"/>
  <c r="K364" i="8"/>
  <c r="H338" i="8"/>
  <c r="I338" i="8" s="1"/>
  <c r="K296" i="8"/>
  <c r="H370" i="8"/>
  <c r="I370" i="8" s="1"/>
  <c r="K328" i="8"/>
  <c r="H372" i="8"/>
  <c r="I372" i="8" s="1"/>
  <c r="K330" i="8"/>
  <c r="H313" i="8"/>
  <c r="I313" i="8" s="1"/>
  <c r="I278" i="8"/>
  <c r="K278" i="8" s="1"/>
  <c r="H350" i="8"/>
  <c r="I350" i="8" s="1"/>
  <c r="K308" i="8"/>
  <c r="H345" i="8"/>
  <c r="I345" i="8" s="1"/>
  <c r="K303" i="8"/>
  <c r="I269" i="8"/>
  <c r="K269" i="8" s="1"/>
  <c r="H385" i="8"/>
  <c r="I385" i="8" s="1"/>
  <c r="K343" i="8"/>
  <c r="H371" i="8"/>
  <c r="I371" i="8" s="1"/>
  <c r="H318" i="8"/>
  <c r="I318" i="8" s="1"/>
  <c r="H331" i="8"/>
  <c r="I331" i="8" s="1"/>
  <c r="K289" i="8"/>
  <c r="H352" i="8"/>
  <c r="I352" i="8" s="1"/>
  <c r="K310" i="8"/>
  <c r="H421" i="8"/>
  <c r="I421" i="8" s="1"/>
  <c r="K379" i="8"/>
  <c r="H349" i="8"/>
  <c r="I349" i="8" s="1"/>
  <c r="H417" i="8"/>
  <c r="I417" i="8" s="1"/>
  <c r="K375" i="8"/>
  <c r="H419" i="8"/>
  <c r="I419" i="8" s="1"/>
  <c r="H416" i="8"/>
  <c r="I416" i="8" s="1"/>
  <c r="K374" i="8"/>
  <c r="I237" i="8"/>
  <c r="H314" i="8"/>
  <c r="I314" i="8" s="1"/>
  <c r="H365" i="8"/>
  <c r="I365" i="8" s="1"/>
  <c r="K323" i="8"/>
  <c r="H378" i="8"/>
  <c r="I378" i="8" s="1"/>
  <c r="K336" i="8"/>
  <c r="H381" i="8"/>
  <c r="I381" i="8" s="1"/>
  <c r="K339" i="8"/>
  <c r="H473" i="8"/>
  <c r="I473" i="8" s="1"/>
  <c r="K473" i="8" s="1"/>
  <c r="K431" i="8"/>
  <c r="H357" i="8"/>
  <c r="I357" i="8" s="1"/>
  <c r="K315" i="8"/>
  <c r="H418" i="8"/>
  <c r="I418" i="8" s="1"/>
  <c r="K376" i="8"/>
  <c r="H309" i="8"/>
  <c r="I309" i="8" s="1"/>
  <c r="H354" i="8"/>
  <c r="I354" i="8" s="1"/>
  <c r="K312" i="8"/>
  <c r="H383" i="8"/>
  <c r="I383" i="8" s="1"/>
  <c r="K341" i="8"/>
  <c r="H344" i="8"/>
  <c r="I344" i="8" s="1"/>
  <c r="H382" i="8"/>
  <c r="I382" i="8" s="1"/>
  <c r="K340" i="8"/>
  <c r="H411" i="8"/>
  <c r="I411" i="8" s="1"/>
  <c r="K369" i="8"/>
  <c r="H368" i="8" l="1"/>
  <c r="I368" i="8" s="1"/>
  <c r="K73" i="8"/>
  <c r="K367" i="8"/>
  <c r="K283" i="8"/>
  <c r="K157" i="8"/>
  <c r="K199" i="8"/>
  <c r="K325" i="8"/>
  <c r="K241" i="8"/>
  <c r="K31" i="8"/>
  <c r="K115" i="8"/>
  <c r="K156" i="8"/>
  <c r="K282" i="8"/>
  <c r="K198" i="8"/>
  <c r="K324" i="8"/>
  <c r="K72" i="8"/>
  <c r="K114" i="8"/>
  <c r="K240" i="8"/>
  <c r="K30" i="8"/>
  <c r="K366" i="8"/>
  <c r="K174" i="8"/>
  <c r="K342" i="8"/>
  <c r="K216" i="8"/>
  <c r="K258" i="8"/>
  <c r="K300" i="8"/>
  <c r="K48" i="8"/>
  <c r="K132" i="8"/>
  <c r="K90" i="8"/>
  <c r="K6" i="8"/>
  <c r="K92" i="8"/>
  <c r="K50" i="8"/>
  <c r="K302" i="8"/>
  <c r="K176" i="8"/>
  <c r="K134" i="8"/>
  <c r="K260" i="8"/>
  <c r="K218" i="8"/>
  <c r="K8" i="8"/>
  <c r="K344" i="8"/>
  <c r="H409" i="8"/>
  <c r="I409" i="8" s="1"/>
  <c r="H485" i="8"/>
  <c r="I485" i="8" s="1"/>
  <c r="H408" i="8"/>
  <c r="I408" i="8" s="1"/>
  <c r="H384" i="8"/>
  <c r="I384" i="8" s="1"/>
  <c r="H279" i="8"/>
  <c r="I279" i="8" s="1"/>
  <c r="H346" i="8"/>
  <c r="I346" i="8" s="1"/>
  <c r="H320" i="8"/>
  <c r="I320" i="8" s="1"/>
  <c r="K320" i="8" s="1"/>
  <c r="I264" i="8"/>
  <c r="H399" i="8"/>
  <c r="I399" i="8" s="1"/>
  <c r="K357" i="8"/>
  <c r="H360" i="8"/>
  <c r="I360" i="8" s="1"/>
  <c r="K318" i="8"/>
  <c r="H351" i="8"/>
  <c r="I351" i="8" s="1"/>
  <c r="K309" i="8"/>
  <c r="H407" i="8"/>
  <c r="I407" i="8" s="1"/>
  <c r="K365" i="8"/>
  <c r="H460" i="8"/>
  <c r="I460" i="8" s="1"/>
  <c r="K418" i="8"/>
  <c r="H420" i="8"/>
  <c r="I420" i="8" s="1"/>
  <c r="K378" i="8"/>
  <c r="H413" i="8"/>
  <c r="I413" i="8" s="1"/>
  <c r="H311" i="8"/>
  <c r="I311" i="8" s="1"/>
  <c r="H392" i="8"/>
  <c r="I392" i="8" s="1"/>
  <c r="K350" i="8"/>
  <c r="H423" i="8"/>
  <c r="I423" i="8" s="1"/>
  <c r="K381" i="8"/>
  <c r="H427" i="8"/>
  <c r="I427" i="8" s="1"/>
  <c r="K385" i="8"/>
  <c r="H387" i="8"/>
  <c r="I387" i="8" s="1"/>
  <c r="K345" i="8"/>
  <c r="H453" i="8"/>
  <c r="I453" i="8" s="1"/>
  <c r="K411" i="8"/>
  <c r="H386" i="8"/>
  <c r="I386" i="8" s="1"/>
  <c r="H396" i="8"/>
  <c r="I396" i="8" s="1"/>
  <c r="K354" i="8"/>
  <c r="H356" i="8"/>
  <c r="I356" i="8" s="1"/>
  <c r="K314" i="8"/>
  <c r="H458" i="8"/>
  <c r="I458" i="8" s="1"/>
  <c r="K416" i="8"/>
  <c r="H461" i="8"/>
  <c r="I461" i="8" s="1"/>
  <c r="H391" i="8"/>
  <c r="I391" i="8" s="1"/>
  <c r="K349" i="8"/>
  <c r="H394" i="8"/>
  <c r="I394" i="8" s="1"/>
  <c r="K352" i="8"/>
  <c r="H355" i="8"/>
  <c r="I355" i="8" s="1"/>
  <c r="K313" i="8"/>
  <c r="H412" i="8"/>
  <c r="I412" i="8" s="1"/>
  <c r="K370" i="8"/>
  <c r="H380" i="8"/>
  <c r="I380" i="8" s="1"/>
  <c r="K338" i="8"/>
  <c r="H319" i="8"/>
  <c r="I319" i="8" s="1"/>
  <c r="H424" i="8"/>
  <c r="I424" i="8" s="1"/>
  <c r="K382" i="8"/>
  <c r="H425" i="8"/>
  <c r="I425" i="8" s="1"/>
  <c r="K383" i="8"/>
  <c r="H410" i="8"/>
  <c r="I410" i="8" s="1"/>
  <c r="K368" i="8"/>
  <c r="H459" i="8"/>
  <c r="I459" i="8" s="1"/>
  <c r="K417" i="8"/>
  <c r="H463" i="8"/>
  <c r="I463" i="8" s="1"/>
  <c r="K421" i="8"/>
  <c r="H373" i="8"/>
  <c r="I373" i="8" s="1"/>
  <c r="K331" i="8"/>
  <c r="H414" i="8"/>
  <c r="I414" i="8" s="1"/>
  <c r="K372" i="8"/>
  <c r="H448" i="8"/>
  <c r="I448" i="8" s="1"/>
  <c r="K406" i="8"/>
  <c r="H400" i="8"/>
  <c r="I400" i="8" s="1"/>
  <c r="K358" i="8"/>
  <c r="K409" i="8" l="1"/>
  <c r="H451" i="8"/>
  <c r="I451" i="8" s="1"/>
  <c r="K384" i="8"/>
  <c r="K237" i="8"/>
  <c r="K27" i="8"/>
  <c r="K153" i="8"/>
  <c r="K69" i="8"/>
  <c r="K195" i="8"/>
  <c r="K111" i="8"/>
  <c r="K279" i="8"/>
  <c r="K408" i="8"/>
  <c r="K161" i="8"/>
  <c r="K287" i="8"/>
  <c r="K413" i="8"/>
  <c r="K77" i="8"/>
  <c r="K35" i="8"/>
  <c r="K119" i="8"/>
  <c r="K371" i="8"/>
  <c r="K329" i="8"/>
  <c r="K245" i="8"/>
  <c r="K203" i="8"/>
  <c r="H426" i="8"/>
  <c r="I426" i="8" s="1"/>
  <c r="K426" i="8" s="1"/>
  <c r="H450" i="8"/>
  <c r="I450" i="8" s="1"/>
  <c r="K450" i="8" s="1"/>
  <c r="H388" i="8"/>
  <c r="I388" i="8" s="1"/>
  <c r="H306" i="8"/>
  <c r="H362" i="8"/>
  <c r="I362" i="8" s="1"/>
  <c r="K362" i="8" s="1"/>
  <c r="H397" i="8"/>
  <c r="I397" i="8" s="1"/>
  <c r="K355" i="8"/>
  <c r="H438" i="8"/>
  <c r="I438" i="8" s="1"/>
  <c r="K396" i="8"/>
  <c r="H493" i="8"/>
  <c r="I493" i="8" s="1"/>
  <c r="K493" i="8" s="1"/>
  <c r="K451" i="8"/>
  <c r="H490" i="8"/>
  <c r="I490" i="8" s="1"/>
  <c r="K490" i="8" s="1"/>
  <c r="K448" i="8"/>
  <c r="H456" i="8"/>
  <c r="I456" i="8" s="1"/>
  <c r="K414" i="8"/>
  <c r="H505" i="8"/>
  <c r="I505" i="8" s="1"/>
  <c r="K505" i="8" s="1"/>
  <c r="K463" i="8"/>
  <c r="H452" i="8"/>
  <c r="I452" i="8" s="1"/>
  <c r="K410" i="8"/>
  <c r="H466" i="8"/>
  <c r="I466" i="8" s="1"/>
  <c r="K466" i="8" s="1"/>
  <c r="K424" i="8"/>
  <c r="H353" i="8"/>
  <c r="I353" i="8" s="1"/>
  <c r="K311" i="8"/>
  <c r="H321" i="8"/>
  <c r="I321" i="8" s="1"/>
  <c r="H502" i="8"/>
  <c r="I502" i="8" s="1"/>
  <c r="K502" i="8" s="1"/>
  <c r="K460" i="8"/>
  <c r="H449" i="8"/>
  <c r="I449" i="8" s="1"/>
  <c r="K407" i="8"/>
  <c r="H402" i="8"/>
  <c r="I402" i="8" s="1"/>
  <c r="K360" i="8"/>
  <c r="H433" i="8"/>
  <c r="I433" i="8" s="1"/>
  <c r="K391" i="8"/>
  <c r="H469" i="8"/>
  <c r="I469" i="8" s="1"/>
  <c r="K469" i="8" s="1"/>
  <c r="K427" i="8"/>
  <c r="H361" i="8"/>
  <c r="I361" i="8" s="1"/>
  <c r="H454" i="8"/>
  <c r="I454" i="8" s="1"/>
  <c r="K412" i="8"/>
  <c r="H436" i="8"/>
  <c r="I436" i="8" s="1"/>
  <c r="K394" i="8"/>
  <c r="H503" i="8"/>
  <c r="I503" i="8" s="1"/>
  <c r="H398" i="8"/>
  <c r="I398" i="8" s="1"/>
  <c r="K356" i="8"/>
  <c r="H428" i="8"/>
  <c r="I428" i="8" s="1"/>
  <c r="K386" i="8"/>
  <c r="H429" i="8"/>
  <c r="I429" i="8" s="1"/>
  <c r="K387" i="8"/>
  <c r="H465" i="8"/>
  <c r="I465" i="8" s="1"/>
  <c r="K423" i="8"/>
  <c r="H422" i="8"/>
  <c r="I422" i="8" s="1"/>
  <c r="K380" i="8"/>
  <c r="H500" i="8"/>
  <c r="I500" i="8" s="1"/>
  <c r="K500" i="8" s="1"/>
  <c r="K458" i="8"/>
  <c r="H495" i="8"/>
  <c r="I495" i="8" s="1"/>
  <c r="K495" i="8" s="1"/>
  <c r="K453" i="8"/>
  <c r="H434" i="8"/>
  <c r="I434" i="8" s="1"/>
  <c r="K392" i="8"/>
  <c r="H442" i="8"/>
  <c r="I442" i="8" s="1"/>
  <c r="K400" i="8"/>
  <c r="H415" i="8"/>
  <c r="I415" i="8" s="1"/>
  <c r="K373" i="8"/>
  <c r="H501" i="8"/>
  <c r="I501" i="8" s="1"/>
  <c r="K501" i="8" s="1"/>
  <c r="K459" i="8"/>
  <c r="H467" i="8"/>
  <c r="I467" i="8" s="1"/>
  <c r="K467" i="8" s="1"/>
  <c r="K425" i="8"/>
  <c r="H455" i="8"/>
  <c r="I455" i="8" s="1"/>
  <c r="H462" i="8"/>
  <c r="I462" i="8" s="1"/>
  <c r="K420" i="8"/>
  <c r="H393" i="8"/>
  <c r="I393" i="8" s="1"/>
  <c r="K351" i="8"/>
  <c r="H441" i="8"/>
  <c r="I441" i="8" s="1"/>
  <c r="K399" i="8"/>
  <c r="H468" i="8" l="1"/>
  <c r="I468" i="8" s="1"/>
  <c r="K468" i="8" s="1"/>
  <c r="K233" i="8"/>
  <c r="K275" i="8"/>
  <c r="K317" i="8"/>
  <c r="K23" i="8"/>
  <c r="K401" i="8"/>
  <c r="K485" i="8"/>
  <c r="K191" i="8"/>
  <c r="K443" i="8"/>
  <c r="K359" i="8"/>
  <c r="K107" i="8"/>
  <c r="K65" i="8"/>
  <c r="K149" i="8"/>
  <c r="H430" i="8"/>
  <c r="I430" i="8" s="1"/>
  <c r="H492" i="8"/>
  <c r="I492" i="8" s="1"/>
  <c r="K492" i="8" s="1"/>
  <c r="I306" i="8"/>
  <c r="H404" i="8"/>
  <c r="I404" i="8" s="1"/>
  <c r="K404" i="8" s="1"/>
  <c r="H472" i="8"/>
  <c r="I472" i="8" s="1"/>
  <c r="H483" i="8"/>
  <c r="I483" i="8" s="1"/>
  <c r="K483" i="8" s="1"/>
  <c r="K441" i="8"/>
  <c r="H457" i="8"/>
  <c r="I457" i="8" s="1"/>
  <c r="K415" i="8"/>
  <c r="H471" i="8"/>
  <c r="I471" i="8" s="1"/>
  <c r="K471" i="8" s="1"/>
  <c r="K429" i="8"/>
  <c r="H395" i="8"/>
  <c r="I395" i="8" s="1"/>
  <c r="K353" i="8"/>
  <c r="H494" i="8"/>
  <c r="I494" i="8" s="1"/>
  <c r="K494" i="8" s="1"/>
  <c r="K452" i="8"/>
  <c r="H498" i="8"/>
  <c r="I498" i="8" s="1"/>
  <c r="K498" i="8" s="1"/>
  <c r="K456" i="8"/>
  <c r="H480" i="8"/>
  <c r="I480" i="8" s="1"/>
  <c r="K480" i="8" s="1"/>
  <c r="K438" i="8"/>
  <c r="H504" i="8"/>
  <c r="I504" i="8" s="1"/>
  <c r="K504" i="8" s="1"/>
  <c r="K462" i="8"/>
  <c r="H440" i="8"/>
  <c r="I440" i="8" s="1"/>
  <c r="K398" i="8"/>
  <c r="H435" i="8"/>
  <c r="I435" i="8" s="1"/>
  <c r="K393" i="8"/>
  <c r="H497" i="8"/>
  <c r="I497" i="8" s="1"/>
  <c r="K497" i="8" s="1"/>
  <c r="K455" i="8"/>
  <c r="H484" i="8"/>
  <c r="I484" i="8" s="1"/>
  <c r="K484" i="8" s="1"/>
  <c r="K442" i="8"/>
  <c r="H476" i="8"/>
  <c r="I476" i="8" s="1"/>
  <c r="K476" i="8" s="1"/>
  <c r="K434" i="8"/>
  <c r="H507" i="8"/>
  <c r="I507" i="8" s="1"/>
  <c r="K507" i="8" s="1"/>
  <c r="K465" i="8"/>
  <c r="H470" i="8"/>
  <c r="I470" i="8" s="1"/>
  <c r="K470" i="8" s="1"/>
  <c r="K428" i="8"/>
  <c r="H496" i="8"/>
  <c r="I496" i="8" s="1"/>
  <c r="K496" i="8" s="1"/>
  <c r="K454" i="8"/>
  <c r="H475" i="8"/>
  <c r="I475" i="8" s="1"/>
  <c r="K475" i="8" s="1"/>
  <c r="K433" i="8"/>
  <c r="H444" i="8"/>
  <c r="I444" i="8" s="1"/>
  <c r="K402" i="8"/>
  <c r="H464" i="8"/>
  <c r="I464" i="8" s="1"/>
  <c r="K422" i="8"/>
  <c r="H478" i="8"/>
  <c r="I478" i="8" s="1"/>
  <c r="K478" i="8" s="1"/>
  <c r="K436" i="8"/>
  <c r="H403" i="8"/>
  <c r="I403" i="8" s="1"/>
  <c r="H491" i="8"/>
  <c r="I491" i="8" s="1"/>
  <c r="K491" i="8" s="1"/>
  <c r="K449" i="8"/>
  <c r="H363" i="8"/>
  <c r="I363" i="8" s="1"/>
  <c r="K321" i="8"/>
  <c r="H439" i="8"/>
  <c r="I439" i="8" s="1"/>
  <c r="K397" i="8"/>
  <c r="K96" i="8" l="1"/>
  <c r="K138" i="8"/>
  <c r="K180" i="8"/>
  <c r="K54" i="8"/>
  <c r="K12" i="8"/>
  <c r="K222" i="8"/>
  <c r="K264" i="8"/>
  <c r="K306" i="8"/>
  <c r="K262" i="8"/>
  <c r="K304" i="8"/>
  <c r="K10" i="8"/>
  <c r="K136" i="8"/>
  <c r="K430" i="8"/>
  <c r="K220" i="8"/>
  <c r="K388" i="8"/>
  <c r="K472" i="8"/>
  <c r="K178" i="8"/>
  <c r="K52" i="8"/>
  <c r="K94" i="8"/>
  <c r="K346" i="8"/>
  <c r="H446" i="8"/>
  <c r="I446" i="8" s="1"/>
  <c r="K446" i="8" s="1"/>
  <c r="H348" i="8"/>
  <c r="I348" i="8" s="1"/>
  <c r="H481" i="8"/>
  <c r="I481" i="8" s="1"/>
  <c r="K481" i="8" s="1"/>
  <c r="K439" i="8"/>
  <c r="H486" i="8"/>
  <c r="I486" i="8" s="1"/>
  <c r="K486" i="8" s="1"/>
  <c r="K444" i="8"/>
  <c r="H477" i="8"/>
  <c r="I477" i="8" s="1"/>
  <c r="K477" i="8" s="1"/>
  <c r="K435" i="8"/>
  <c r="H437" i="8"/>
  <c r="I437" i="8" s="1"/>
  <c r="K395" i="8"/>
  <c r="H405" i="8"/>
  <c r="I405" i="8" s="1"/>
  <c r="K363" i="8"/>
  <c r="H445" i="8"/>
  <c r="I445" i="8" s="1"/>
  <c r="H506" i="8"/>
  <c r="I506" i="8" s="1"/>
  <c r="K506" i="8" s="1"/>
  <c r="K464" i="8"/>
  <c r="H482" i="8"/>
  <c r="I482" i="8" s="1"/>
  <c r="K482" i="8" s="1"/>
  <c r="K440" i="8"/>
  <c r="H499" i="8"/>
  <c r="I499" i="8" s="1"/>
  <c r="K499" i="8" s="1"/>
  <c r="K457" i="8"/>
  <c r="K348" i="8" l="1"/>
  <c r="K167" i="8"/>
  <c r="K419" i="8"/>
  <c r="K377" i="8"/>
  <c r="K125" i="8"/>
  <c r="K293" i="8"/>
  <c r="K209" i="8"/>
  <c r="K41" i="8"/>
  <c r="K83" i="8"/>
  <c r="K251" i="8"/>
  <c r="K503" i="8"/>
  <c r="K461" i="8"/>
  <c r="K335" i="8"/>
  <c r="K193" i="8"/>
  <c r="K361" i="8"/>
  <c r="K109" i="8"/>
  <c r="K25" i="8"/>
  <c r="K67" i="8"/>
  <c r="K151" i="8"/>
  <c r="K403" i="8"/>
  <c r="K319" i="8"/>
  <c r="K235" i="8"/>
  <c r="K445" i="8"/>
  <c r="K277" i="8"/>
  <c r="H488" i="8"/>
  <c r="I488" i="8" s="1"/>
  <c r="K488" i="8" s="1"/>
  <c r="H390" i="8"/>
  <c r="H447" i="8"/>
  <c r="I447" i="8" s="1"/>
  <c r="K405" i="8"/>
  <c r="H479" i="8"/>
  <c r="I479" i="8" s="1"/>
  <c r="K479" i="8" s="1"/>
  <c r="K437" i="8"/>
  <c r="H487" i="8"/>
  <c r="I487" i="8" s="1"/>
  <c r="K487" i="8" l="1"/>
  <c r="I390" i="8"/>
  <c r="K390" i="8" s="1"/>
  <c r="H489" i="8"/>
  <c r="I489" i="8" s="1"/>
  <c r="K489" i="8" s="1"/>
  <c r="K447" i="8"/>
  <c r="H432" i="8" l="1"/>
  <c r="I432" i="8" l="1"/>
  <c r="K432" i="8" s="1"/>
  <c r="H474" i="8" l="1"/>
  <c r="I474" i="8" s="1"/>
  <c r="K474" i="8" s="1"/>
  <c r="K508" i="8"/>
  <c r="C3" i="1" s="1"/>
  <c r="C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tc={F0A6D30E-067D-44AB-B3F2-BEF9B82EE9F6}</author>
  </authors>
  <commentList>
    <comment ref="H30" authorId="0" shapeId="0" xr:uid="{F0A6D30E-067D-44AB-B3F2-BEF9B82EE9F6}">
      <text>
        <t>[Threaded comment]
Your version of Excel allows you to read this threaded comment; however, any edits to it will get removed if the file is opened in a newer version of Excel. Learn more: https://go.microsoft.com/fwlink/?linkid=870924
Comment:
    Naya Raipur Development Plan - 2031 Table 16.2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Moses Farley</author>
  </authors>
  <commentList>
    <comment ref="C1" authorId="0" shapeId="0" xr:uid="{9B2E3EFA-9E7B-4C99-93CF-3AEA60FA41EE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Baseline = 2011 census</t>
        </r>
      </text>
    </comment>
  </commentList>
</comments>
</file>

<file path=xl/sharedStrings.xml><?xml version="1.0" encoding="utf-8"?>
<sst xmlns="http://schemas.openxmlformats.org/spreadsheetml/2006/main" count="1085" uniqueCount="254">
  <si>
    <t>Year</t>
  </si>
  <si>
    <t>City</t>
  </si>
  <si>
    <t>Variable</t>
  </si>
  <si>
    <t>Category</t>
  </si>
  <si>
    <t>Source</t>
  </si>
  <si>
    <t>Notes</t>
  </si>
  <si>
    <t>Demand</t>
  </si>
  <si>
    <t>gen</t>
  </si>
  <si>
    <t>WDI</t>
  </si>
  <si>
    <t>https://data.worldbank.org/indicator/PA.NUS.PPPC.RF?locations=IN</t>
  </si>
  <si>
    <t>https://data.worldbank.org/indicator/PA.NUS.FCRF?locations=IN</t>
  </si>
  <si>
    <t>Roads</t>
  </si>
  <si>
    <t>S.No.</t>
  </si>
  <si>
    <t>Item</t>
  </si>
  <si>
    <t>Maintenance</t>
  </si>
  <si>
    <t>Planning and Management</t>
  </si>
  <si>
    <t>No</t>
  </si>
  <si>
    <t>COST (USD 2019)</t>
  </si>
  <si>
    <t>Cost (USD 2019)</t>
  </si>
  <si>
    <t>Comment</t>
  </si>
  <si>
    <t>Operation &amp; Maintenance and Admin</t>
  </si>
  <si>
    <t>Included in the Master Planning Cost</t>
  </si>
  <si>
    <t>Operation &amp; Maintenance and Administration</t>
  </si>
  <si>
    <t>RECREATION/PUBLIC/OPEN SPACE</t>
  </si>
  <si>
    <t>Amount of Public Open Space (POS) required per capita (km^2)</t>
  </si>
  <si>
    <t>https://www.ncbi.nlm.nih.gov/pmc/articles/PMC6209905/</t>
  </si>
  <si>
    <t>Average cost of developing 1 km of vacant land into POS - small UGS park</t>
  </si>
  <si>
    <t>Capital Costs</t>
  </si>
  <si>
    <t xml:space="preserve">Average yearly maintenance costs of 1 km of public space </t>
  </si>
  <si>
    <t>Operating and Admin expenses per capita</t>
  </si>
  <si>
    <t>O&amp;A</t>
  </si>
  <si>
    <t>https://www.idu.gov.co/Archivos_Portal/2019/Transparencia/Presupuesto/Ejecuciones%20Presupuestales/01_Enero/PRESUPUESTO_IDU_VIGENCIA_2019.pdf</t>
  </si>
  <si>
    <t>Development</t>
  </si>
  <si>
    <t>Open Space Required (Sq. Km)</t>
  </si>
  <si>
    <t>Existing Open Space (Sq. Km)</t>
  </si>
  <si>
    <t>Additional Open Space to be Added (Sq. Km)</t>
  </si>
  <si>
    <t>Cost of Vacant Land and its Improvement for Recreation/Public/Open Space Uses</t>
  </si>
  <si>
    <t>TOTAL</t>
  </si>
  <si>
    <t>Unit cost per acre (USD 2003)</t>
  </si>
  <si>
    <t>Unit cost per km^2 (USD 2003)</t>
  </si>
  <si>
    <t>Unit cost per km^2 (USD 2019)</t>
  </si>
  <si>
    <t>Calculate Admin Costs Required to Run Operations and Maintenance Work</t>
  </si>
  <si>
    <t>https://unhabitat.org/wp-content/uploads/2015/10/Global%20Public%20Space%20Toolkit.pdf</t>
  </si>
  <si>
    <t>Contains</t>
  </si>
  <si>
    <t>Cost (COL Peso 2018)</t>
  </si>
  <si>
    <t>Operating Expenses</t>
  </si>
  <si>
    <t>Personnel expenses, acquisition of goods and services, misc. expenses</t>
  </si>
  <si>
    <t>Investment* planning</t>
  </si>
  <si>
    <t>*Did not include plans related to public transportation, nor bikes or sidewalks, nor the general master plan investments
*excluded construction costs for roads, maintenance expenses</t>
  </si>
  <si>
    <t>*is investments for their general master plan "Bogota Mejor Para Todos and also their "Pilar Democracia Urbana" plan</t>
  </si>
  <si>
    <t>Investment modernization/capacity building</t>
  </si>
  <si>
    <t>Includes "institutional modernization"
"optimization of institutional capacity"
"physical modernization"</t>
  </si>
  <si>
    <t>**investment in bikes and pedestrian infrastructure, not included rn</t>
  </si>
  <si>
    <t>"infrastructure for pedestrian and bicycles</t>
  </si>
  <si>
    <t>Population of Bogota:</t>
  </si>
  <si>
    <t>from 2018 Census</t>
  </si>
  <si>
    <t>USD (2018)</t>
  </si>
  <si>
    <t>Inflation rate, USD 2019 = ______ 2003:</t>
  </si>
  <si>
    <t>Inflation rate, USD 2019 = ______ USD 2018</t>
  </si>
  <si>
    <t>Agartala</t>
  </si>
  <si>
    <t>Aizawl</t>
  </si>
  <si>
    <t>Bangalore</t>
  </si>
  <si>
    <t>Bhopal</t>
  </si>
  <si>
    <t>Bhubaneswar</t>
  </si>
  <si>
    <t>Chandigarh</t>
  </si>
  <si>
    <t>Chennai</t>
  </si>
  <si>
    <t>Daman</t>
  </si>
  <si>
    <t>Dehradun</t>
  </si>
  <si>
    <t>Dispur</t>
  </si>
  <si>
    <t>Gandhinagar</t>
  </si>
  <si>
    <t>Gangtok</t>
  </si>
  <si>
    <t>Hyderabad</t>
  </si>
  <si>
    <t>Imphal</t>
  </si>
  <si>
    <t>Itanagar</t>
  </si>
  <si>
    <t>Jaipur</t>
  </si>
  <si>
    <t>Kavaratti</t>
  </si>
  <si>
    <t>Kohima</t>
  </si>
  <si>
    <t>Kolkata</t>
  </si>
  <si>
    <t>Lucknow</t>
  </si>
  <si>
    <t>Mumbai</t>
  </si>
  <si>
    <t>New Delhi</t>
  </si>
  <si>
    <t>Panaji</t>
  </si>
  <si>
    <t>Patna</t>
  </si>
  <si>
    <t>Pondicherry</t>
  </si>
  <si>
    <t>Port Blair</t>
  </si>
  <si>
    <t>Raipur</t>
  </si>
  <si>
    <t>Ranchi</t>
  </si>
  <si>
    <t>Shillong</t>
  </si>
  <si>
    <t>Silvassa</t>
  </si>
  <si>
    <t>Simla</t>
  </si>
  <si>
    <t>Srinagar</t>
  </si>
  <si>
    <t>Thiruvananthapuram</t>
  </si>
  <si>
    <t>Kurnool</t>
  </si>
  <si>
    <t>Sirsa</t>
  </si>
  <si>
    <t>Aurangabad</t>
  </si>
  <si>
    <t>Bhiwani</t>
  </si>
  <si>
    <t>Jullundur</t>
  </si>
  <si>
    <t>Karur</t>
  </si>
  <si>
    <t>Jorhat</t>
  </si>
  <si>
    <t>Sopore</t>
  </si>
  <si>
    <t>Tezpur</t>
  </si>
  <si>
    <t>No.</t>
  </si>
  <si>
    <t>Population</t>
  </si>
  <si>
    <t>Costs to maintain a park annually</t>
  </si>
  <si>
    <t>Costs to create a general park</t>
  </si>
  <si>
    <t xml:space="preserve">From the state of colorado, U.S.A., utilizing costs for a "General Park" </t>
  </si>
  <si>
    <t>*"General Park" includes actively landscaped parkland, with irrigation, lighting, 3 trash cans, 5 park benches, 10 picnic tables, 10 stationary barbecue units, bike rack, restroom, and drinking fountain</t>
  </si>
  <si>
    <t>Using Institute Of Urban Development (IDU), Bogota, Colombia. Work involves preserving transportation and public space systems, reinforcing institutional management, building/maintaining bike paths, pavements, pedsetrian bridges, squares, and plazas.</t>
  </si>
  <si>
    <t>City Size</t>
  </si>
  <si>
    <t>Area Expansion Factor (annual % change, people/hectare)</t>
  </si>
  <si>
    <t>Censusindia2011.com</t>
  </si>
  <si>
    <t>Atlas of Urban Expansion</t>
  </si>
  <si>
    <t>https://indikosh.com/city/708736/kurnool</t>
  </si>
  <si>
    <t>Unit cost per capita (USD 2019 and PPP)</t>
  </si>
  <si>
    <t>Value USD 2019 (adjusted to PPP)</t>
  </si>
  <si>
    <t>Average population growth rate for the past 10 years (%) in India</t>
  </si>
  <si>
    <t>WDI - Urban populatoin growth</t>
  </si>
  <si>
    <t>Cost of Vacant land in Urban area (USD 2019/km)</t>
  </si>
  <si>
    <t>Population (2019)</t>
  </si>
  <si>
    <t>.</t>
  </si>
  <si>
    <t>Average Cost of Land in urban area  (USD 2019/Sq.km.)</t>
  </si>
  <si>
    <t>Price level ratio of PPP conversion factor (GDP) to market exchange rate in 2019 in India</t>
  </si>
  <si>
    <t>Price level ratio of PPP conversion factor (GDP) to market exchange rate in 2018 of Bolivia</t>
  </si>
  <si>
    <t>Average exchange rate of Colombia to USD in 2018</t>
  </si>
  <si>
    <t>State of Colorado RSMeans regarding General Parks</t>
  </si>
  <si>
    <t>From "Presupuestos de Rentas e Ingresos 2018 - Instituto de Desarrollo Urbano - IDU"</t>
  </si>
  <si>
    <t>Google Earth Pro Approximation</t>
  </si>
  <si>
    <t>Revised City Development Plan for Panaji, 2041 (2015)</t>
  </si>
  <si>
    <t xml:space="preserve">Naya Raipur Development Plan - 2031 </t>
  </si>
  <si>
    <t>Area (Sq.Km)</t>
  </si>
  <si>
    <t xml:space="preserve">Regional average change in population density (people/hectare)  (%) </t>
  </si>
  <si>
    <t>2000-2014</t>
  </si>
  <si>
    <t>http://www.atlasofurbanexpansion.org/cities/view/Mumbai</t>
  </si>
  <si>
    <t>area</t>
  </si>
  <si>
    <t>Area (sq. km) source year</t>
  </si>
  <si>
    <t>Source: NYU Atlas of Urban Exploration</t>
  </si>
  <si>
    <r>
      <t>Area</t>
    </r>
    <r>
      <rPr>
        <i/>
        <sz val="11"/>
        <color rgb="FF000000"/>
        <rFont val="Calibri"/>
        <family val="2"/>
        <scheme val="minor"/>
      </rPr>
      <t xml:space="preserve"> (sq.km)</t>
    </r>
    <r>
      <rPr>
        <sz val="11"/>
        <color rgb="FF000000"/>
        <rFont val="Calibri"/>
        <family val="2"/>
        <scheme val="minor"/>
      </rPr>
      <t xml:space="preserve"> 2019</t>
    </r>
  </si>
  <si>
    <t>Sq.ft. in Sq.km</t>
  </si>
  <si>
    <t xml:space="preserve">1 USD = ____ INR </t>
  </si>
  <si>
    <t>Average Cost of Land in urban area  (INR/Sq.km.)</t>
  </si>
  <si>
    <t>Average Cost of Land in urban area  (INR/Sq.ft.)</t>
  </si>
  <si>
    <t>https://www.makaan.com/agartala/builder-project-in-dhaleswar-8199861/1728-sqft-plot?utm_source=Mitula&amp;utm_medium=Referral&amp;utm_campaign=TA2_Buy</t>
  </si>
  <si>
    <t>https://www.makaan.com/agartala/builder-project-in-dhaleswar-8202036/1728-sqft-plot?utm_source=Mitula&amp;utm_medium=Referral&amp;utm_campaign=TA2_Buy</t>
  </si>
  <si>
    <t>https://roofandfloor.thehindu.com/bangalore/north-gardens-nandi-hills-road/pdp-1j9t/sclite?utm_source=nestoria&amp;utm_medium=affiliate&amp;utm_campaign=premium-listings</t>
  </si>
  <si>
    <t>https://housing.com/in/buy/search/projects/202167?utm_source=nestoria&amp;utm_medium=referral&amp;utm_campaign=np_platinum&amp;mktg=true&amp;utm_term=202167&amp;utm_content=Budigere%20Cross&amp;utm_dynamicid=3bb538e49fd3a704f6efc2e3c3947cce80231f70&amp;f=eyJiYXNlIjpbeyJ0eXBlIjoiUE9MWSIsInV1aWQiOiI4M2UyY2IyNmMyNGIzYjM5MjY0YSIsImxhYmVsIjoiQnVkaWdlcmUgQ3Jvc3MiLCJjbGFzc05hbWUiOiJzZWFyY2gtZW50aXR5In1dLCJ2IjoyLCJxdl9yZXNhbGVfaWQiOm51bGwsInF2X3Byb2plY3RfaWQiOiIyMDIxNjcifQ%3D%3D</t>
  </si>
  <si>
    <t>https://www.commonfloor.com/listing/plot-for-sale-in-koramangala-bangalore-at-plots-in-koramangala/6ti2cgckxpphvwgx?view=one&amp;pop=20&amp;f=nestoria_priority_local&amp;utm_source=www.nestoria.in&amp;utm_medium=referral&amp;utm_campaign=cf-priority-local</t>
  </si>
  <si>
    <t>https://www.homeonline.com/sale/residential_plot-danish_nagar-bhopal/CCDLMQ9/srchdet/?utm_source=Trovit&amp;amp;utm_medium=trovit_organic&amp;amp;utm_campaign=trovit_sale</t>
  </si>
  <si>
    <t>https://www.makaan.com/bhubaneswar/builder-project-in-patharagadia-8985369/1500-sqft-plot?utm_source=Mitula&amp;utm_medium=Referral&amp;utm_campaign=TA2_Buy</t>
  </si>
  <si>
    <t>https://www.homeonline.com/sale/residential_plot-greater_mohali-chandigarh/MJCPU8R/srchdet/?utm_source=Trovit&amp;amp;utm_medium=trovit_organic&amp;amp;utm_campaign=trovit_sale</t>
  </si>
  <si>
    <t>https://www.homeonline.com/sale/residential_plot-mullanpur-chandigarh/GXPJSGG/srchdet/?utm_source=Trovit&amp;amp;utm_medium=trovit_organic&amp;amp;utm_campaign=trovit_sale</t>
  </si>
  <si>
    <t>https://www.sulekha.com/plots-land-for-sale/1440-sqft-plots-land-for-resale-in-madipakkam-chennai-1001161770-ad?utm_source=mitula&amp;utm_medium=referral</t>
  </si>
  <si>
    <t>https://housing.com/in/buy/search/projects/68646?utm_source=nestoria&amp;utm_medium=referral&amp;utm_campaign=np_platinum&amp;mktg=true&amp;utm_term=68646&amp;utm_content=Kundrathur&amp;utm_dynamicid=cf97d22c6ecdf73f7d648cdabfd417b4d8f2c8a8&amp;f=eyJiYXNlIjpbeyJ0eXBlIjoiUE9MWSIsInV1aWQiOiJlODExMTIxMzA4OTEzZTJmNTM4NyIsImxhYmVsIjoiS3VuZHJhdGh1ciIsImNsYXNzTmFtZSI6InNlYXJjaC1lbnRpdHkifV0sInYiOjIsInF2X3Jlc2FsZV9pZCI6bnVsbCwicXZfcHJvamVjdF9pZCI6IjY4NjQ2In0%3D#config-card</t>
  </si>
  <si>
    <t>Cost of Land in urban area  (USD 2019/Sq.km.)</t>
  </si>
  <si>
    <t>https://www.makaan.com/dehradun/builder-uttarakhand-properties-banjarawala-in-banjarawala-8976535/950-sqft-plot?utm_source=Mitula&amp;utm_medium=Referral&amp;utm_campaign=TA2_Buy</t>
  </si>
  <si>
    <t>https://www.makaan.com/dehradun/builder-uttarakhand-properties-turner-road-in-isbt-turner-road-8976566/1320-sqft-plot?utm_source=Mitula&amp;utm_medium=Referral&amp;utm_campaign=TA2_Buy</t>
  </si>
  <si>
    <t>https://www.makaan.com/dehradun/builder-project-in-badowala-8327448/900-sqft-plot?utm_source=Mitula&amp;utm_medium=Referral&amp;utm_campaign=TA1_Buy</t>
  </si>
  <si>
    <t>https://www.makaan.com/dehradun/builder-green-village-4-in-danda-lakhond-8986531/900-sqft-plot?utm_source=Mitula&amp;utm_medium=Referral&amp;utm_campaign=TA2_Buy</t>
  </si>
  <si>
    <t>https://www.squareyards.com/resale-200-sq-yd-plot-in-plotting-scheme/638325?utm_source=property.mitula.in&amp;utm_medium=referral</t>
  </si>
  <si>
    <t>https://www.homeonline.com/sale/residential_plot-gandhinagar-bhopal/O254V9L/srchdet/?utm_source=Trovit&amp;amp;utm_medium=trovit_organic&amp;amp;utm_campaign=trovit_sale</t>
  </si>
  <si>
    <t>https://housing.com/in/buy/search/projects/134395?utm_source=nestoria&amp;utm_medium=referral&amp;utm_campaign=np_platinum&amp;mktg=true&amp;utm_term=134395&amp;utm_content=Jubilee%20Hills&amp;utm_dynamicid=79e7be9b77511b20cca7fce70a19b5f54ede23c7&amp;f=eyJiYXNlIjpbeyJ0eXBlIjoiUE9MWSIsInV1aWQiOiJiNjY3YWM1NmI0OGJhNGYwNTdiZCIsImxhYmVsIjoiSnViaWxlZSBIaWxscyIsImNsYXNzTmFtZSI6InNlYXJjaC1lbnRpdHkifV0sInYiOjIsInF2X3Jlc2FsZV9pZCI6bnVsbCwicXZfcHJvamVjdF9pZCI6IjEzNDM5NSJ9</t>
  </si>
  <si>
    <t>https://housing.com/in/buy/search/projects/228036?utm_source=nestoria&amp;utm_medium=referral&amp;utm_campaign=np_platinum&amp;mktg=true&amp;utm_term=228036&amp;utm_content=Thimmapur&amp;utm_dynamicid=9352b938b7f8291bef691cb134098e950bdef477&amp;f=eyJiYXNlIjpbeyJ0eXBlIjoiUE9MWSIsInV1aWQiOiIzMjg4MzVhMzJlMzY5ZmRmMTQ2OCIsImxhYmVsIjoiVGhpbW1hcHVyIiwiY2xhc3NOYW1lIjoic2VhcmNoLWVudGl0eSJ9XSwidiI6MiwicXZfcmVzYWxlX2lkIjpudWxsLCJxdl9wcm9qZWN0X2lkIjoiMjI4MDM2In0%3D</t>
  </si>
  <si>
    <t>https://property.mitula.in/detalle/740/2800096553264321760/3/1/land-imphal?page=1&amp;pos=3&amp;t_sec=1&amp;t_or=2&amp;t_pvid=af3758c3-5eec-4d81-ad90-8909bd926739</t>
  </si>
  <si>
    <t>https://property.mitula.in/detalle/740/4820096555852483578/1/1/land-imphal?page=1&amp;pos=1&amp;t_sec=1&amp;t_or=2&amp;t_pvid=af3758c3-5eec-4d81-ad90-8909bd926739</t>
  </si>
  <si>
    <t>https://www.sheryna.in/land-for-sell-in-jaipur-Jaipur-397870?utm_source=property.mitula.in&amp;utm_medium=referral</t>
  </si>
  <si>
    <t>https://property.mitula.in/detalle/102982/9100021529673843947/2/1/land-kohima?page=1&amp;pos=2&amp;t_sec=1&amp;t_or=2&amp;t_pvid=d10cf371-39e4-4de2-ab53-83395250722b</t>
  </si>
  <si>
    <t>https://housing.com/in/buy/search/projects/80191?utm_source=nestoria&amp;utm_medium=referral&amp;utm_campaign=np_platinum&amp;mktg=true&amp;utm_term=80191&amp;utm_content=Sankharipota&amp;utm_dynamicid=bdca6c37019e482cecda72bbd5ae36ebeab3eaa7&amp;f=eyJiYXNlIjpbeyJ0eXBlIjoiUE9MWSIsInV1aWQiOiI2YWMxZjIyMWQxNDMzZmE4ODM2MiIsImxhYmVsIjoiSm9rYSIsImNsYXNzTmFtZSI6InNlYXJjaC1lbnRpdHkifV0sInYiOjIsInF2X3Jlc2FsZV9pZCI6bnVsbCwicXZfcHJvamVjdF9pZCI6IjgwMTkxIn0%3D</t>
  </si>
  <si>
    <t>https://housing.com/in/buy/search/projects/202232?utm_source=nestoria&amp;utm_medium=referral&amp;utm_campaign=np_platinum&amp;mktg=true&amp;utm_term=202232&amp;utm_content=Rasapunja&amp;utm_dynamicid=5e9fb5b4d40923f97371badabe4d46d0155c1e00&amp;f=eyJiYXNlIjpbeyJ0eXBlIjoiUE9MWSIsInV1aWQiOiI5YWQxN2E4NGYyYTcwN2Q5ZDgzNCIsImxhYmVsIjoiUmFzYXB1bmphIiwiY2xhc3NOYW1lIjoic2VhcmNoLWVudGl0eSJ9XSwidiI6MiwicXZfcmVzYWxlX2lkIjpudWxsLCJxdl9wcm9qZWN0X2lkIjoiMjAyMjMyIn0%3D</t>
  </si>
  <si>
    <t>https://housing.com/in/buy/search/projects/198336?utm_source=nestoria&amp;utm_medium=referral&amp;utm_campaign=np_platinum&amp;mktg=true&amp;utm_term=198336&amp;utm_content=Joka&amp;utm_dynamicid=12acc604cd5d896a34587a278d6061149815b08d&amp;f=eyJiYXNlIjpbeyJ0eXBlIjoiUE9MWSIsInV1aWQiOiI2YWMxZjIyMWQxNDMzZmE4ODM2MiIsImxhYmVsIjoiSm9rYSIsImNsYXNzTmFtZSI6InNlYXJjaC1lbnRpdHkifV0sInYiOjIsInF2X3Jlc2FsZV9pZCI6bnVsbCwicXZfcHJvamVjdF9pZCI6IjE5ODMzNiJ9</t>
  </si>
  <si>
    <t>https://www.makaan.com/lucknow/eldeco-group-city-in-aliganj-8982906/1500-sqft-plot?utm_source=Mitula&amp;utm_medium=Referral&amp;utm_campaign=TA1_Buy</t>
  </si>
  <si>
    <t>https://www.makaan.com/lucknow/emaar-india-gomti-greens-in-gomti-nagar-8816646/2160-sqft-plot?utm_source=Mitula&amp;utm_medium=Referral&amp;utm_campaign=TA1_Buy</t>
  </si>
  <si>
    <t>https://www.makaan.com/lucknow/dlf-garden-city-in-nh24b-8575544/2700-sqft-plot?utm_source=Mitula&amp;utm_medium=Referral&amp;utm_campaign=TA1_Buy</t>
  </si>
  <si>
    <t>https://www.makaan.com/lucknow/builder-project-in-arjunganj-9014923/1000-sqft-plot?utm_source=Mitula&amp;utm_medium=Referral&amp;utm_campaign=TA2_Buy</t>
  </si>
  <si>
    <t>https://www.makaan.com/lucknow/builder-project-in-sultanpur-road-near-shaheed-pa-9015044/1000-sqft-plot?utm_source=Mitula&amp;utm_medium=Referral&amp;utm_campaign=TA2_Buy</t>
  </si>
  <si>
    <t>https://www.magicbricks.com/propertyDetails/50-Sq-yrd-Residential-Plot-FOR-Sale-Najafgarh-in-New-Delhi&amp;id=4d423433323431353535</t>
  </si>
  <si>
    <t>https://www.magicbricks.com/propertyDetails/450-Sq-ft-Residential-Plot-FOR-Sale-Sarita-Vihar-in-New-Delhi&amp;id=4d423434383235333033</t>
  </si>
  <si>
    <t>https://www.magicbricks.com/propertyDetails/1-Acre-Residential-Plot-FOR-Sale-Chhattarpur-in-New-Delhi-r5&amp;id=4d423333393537353435</t>
  </si>
  <si>
    <t>https://www.magicbricks.com/propertyDetails/325-Sq-yrd-Residential-Plot-FOR-Sale-Defence-Colony-in-New-Delhi-r4&amp;id=4d423431323738303537</t>
  </si>
  <si>
    <t>https://www.magicbricks.com/propertyDetails/720-Sq-ft-Residential-Plot-FOR-Sale-Gagan-Vihar-in-New-Delhi-r1&amp;id=4d423432303532363137</t>
  </si>
  <si>
    <t>https://www.magicbricks.com/propertyDetails/1000-Sq-ft-Residential-Plot-FOR-Sale-Raigarh-in-Mumbai-r7&amp;id=4d423331303830333633</t>
  </si>
  <si>
    <t>https://www.magicbricks.com/propertyDetails/14000-Sq-ft-Residential-Plot-FOR-Sale-Madh-in-Mumbai&amp;id=4d423435353535383533</t>
  </si>
  <si>
    <t>https://www.magicbricks.com/propertyDetails/1200-Sq-yrd-Residential-Plot-FOR-Sale-Jogeshwari-West-in-Mumbai&amp;id=4d423436323735383235</t>
  </si>
  <si>
    <t>https://www.magicbricks.com/propertyDetails/2066-Sq-ft-Residential-Plot-FOR-Sale-Dadar-in-Mumbai&amp;id=4d423436333534333237</t>
  </si>
  <si>
    <t>https://www.magicbricks.com/propertyDetails/1270-Sq-m-Residential-Plot-FOR-Sale-Jairam-Nagar-in-Goa&amp;id=4d423434353139393037</t>
  </si>
  <si>
    <t>https://www.magicbricks.com/propertyDetails/700-Sq-ft-Residential-Plot-FOR-Sale-Old-Goa-in-Goa&amp;id=4d423431393039353537</t>
  </si>
  <si>
    <t>https://www.magicbricks.com/propertyDetails/3140-Sq-m-Residential-Plot-FOR-Sale-Porvorim-in-Goa&amp;id=4d423434373134323035</t>
  </si>
  <si>
    <t>https://www.magicbricks.com/propertyDetails/1361-Sq-yrd-Residential-Plot-FOR-Sale-Ashiana-Digha-Road-in-Patna-r1&amp;id=4d423434373734393635</t>
  </si>
  <si>
    <t>https://www.magicbricks.com/propertyDetails/2500-Sq-ft-Residential-Plot-FOR-Sale-Boring-Road-in-Patna&amp;id=4d423436383139323931</t>
  </si>
  <si>
    <t>https://www.magicbricks.com/propertyDetails/3600-Sq-ft-Residential-Plot-FOR-Sale-Bailey-Road-in-Patna&amp;id=4d423436373136373331</t>
  </si>
  <si>
    <t>https://www.magicbricks.com/propertyDetails/1000-Sq-ft-Residential-Plot-FOR-Sale-Janipur-in-Patna&amp;id=4d423434343838353235</t>
  </si>
  <si>
    <t>https://www.magicbricks.com/propertyDetails/821-Sq-ft-Residential-Plot-FOR-Sale-Anisabad-in-Patna&amp;id=4d423436353936343139</t>
  </si>
  <si>
    <t>https://www.magicbricks.com/propertyDetails/1800-Sq-ft-Residential-Plot-FOR-Sale-Reddiarpalayam-in-Pondicherry&amp;id=4d423435363031343337</t>
  </si>
  <si>
    <t>https://www.magicbricks.com/propertyDetails/1000-Sq-ft-Residential-Plot-FOR-Sale-Cuddalore-in-Pondicherry&amp;id=4d423433343533323537</t>
  </si>
  <si>
    <t>https://www.magicbricks.com/propertyDetails/8500-Sq-ft-Residential-Plot-FOR-Sale-Auroville-in-Pondicherry&amp;id=4d423436333331353937</t>
  </si>
  <si>
    <t>https://www.magicbricks.com/propertyDetails/1090-Sq-ft-Residential-Plot-FOR-Sale-Vidhan-Sabha-Road-in-Raipur&amp;id=4d423332343833343633</t>
  </si>
  <si>
    <t>https://www.magicbricks.com/propertyDetails/1000-Sq-ft-Residential-Plot-FOR-Sale-Sarona-in-Raipur-r2&amp;id=4d423430393436313731</t>
  </si>
  <si>
    <t>https://www.magicbricks.com/propertyDetails/1500-Sq-ft-Residential-Plot-FOR-Sale-Boria-Kalan-in-Raipur-r1&amp;id=4d423239303639343033</t>
  </si>
  <si>
    <t>https://www.magicbricks.com/propertyDetails/880-Sq-ft-Residential-Plot-FOR-Sale-Amleshwar-in-Raipur-r2&amp;id=4d423433353532363739</t>
  </si>
  <si>
    <t>https://www.magicbricks.com/propertyDetails/436-Sq-ft-Residential-Plot-FOR-Sale-Daladili-in-Ranchi&amp;id=4d423436333330353739</t>
  </si>
  <si>
    <t>https://www.magicbricks.com/propertyDetails/2175-Sq-ft-Residential-Plot-FOR-Sale-Hatiya-in-Ranchi-r1&amp;id=4d423433303834393835</t>
  </si>
  <si>
    <t>https://www.magicbricks.com/propertyDetails/3350-Sq-ft-Residential-Plot-FOR-Sale-Lower-Chutia-in-Ranchi&amp;id=4d423431373939303635</t>
  </si>
  <si>
    <t>https://www.magicbricks.com/propertyDetails/1250-Sq-yrd-Residential-Plot-FOR-Sale-Kathal-More-in-Ranchi&amp;id=4d423435343533313835</t>
  </si>
  <si>
    <t>https://www.magicbricks.com/propertyDetails/6000-Sq-ft-Residential-Plot-FOR-Sale-Mannanthala-in-Trivandrum&amp;id=4d423435363839363235</t>
  </si>
  <si>
    <t>https://www.magicbricks.com/propertyDetails/1-Cent-Residential-Plot-FOR-Sale-Sreekaryam-in-Trivandrum&amp;id=4d423435333432353935</t>
  </si>
  <si>
    <t>https://www.magicbricks.com/propertyDetails/4-Cent-Residential-Plot-FOR-Sale-Kazhakkottam-in-Trivandrum&amp;id=4d423435373639373033</t>
  </si>
  <si>
    <t>https://www.magicbricks.com/propertyDetails/2178-Sq-ft-Residential-Plot-FOR-Sale-Pallippuram-in-Trivandrum&amp;id=4d423434333437373235</t>
  </si>
  <si>
    <t>https://www.magicbricks.com/propertyDetails/9000-Sq-yrd-Residential-Plot-FOR-Sale-Poojapura-in-Trivandrum&amp;id=4d423435353936383231</t>
  </si>
  <si>
    <t>https://www.magicbricks.com/propertyDetails/270-Sq-yrd-Residential-Plot-FOR-Sale-Nandiyal-in-Kurnool&amp;id=4d423435343331313039</t>
  </si>
  <si>
    <t>https://www.magicbricks.com/propertyDetails/134-Sq-yrd-Residential-Plot-FOR-Sale-Nandiyal-in-Kurnool&amp;id=4d423436383639373733</t>
  </si>
  <si>
    <t>https://www.magicbricks.com/propertyDetails/1210-Sq-ft-Residential-Plot-FOR-Sale-Barnala-road-in-Sirsa&amp;id=4d423435393236373033</t>
  </si>
  <si>
    <t>https://www.magicbricks.com/propertyDetails/12672-Sq-ft-Residential-Plot-FOR-Sale-Hisar-road-in-Sirsa&amp;id=4d423435373537333233</t>
  </si>
  <si>
    <t>https://www.magicbricks.com/propertyDetails/1250-Sq-ft-Residential-Plot-FOR-Sale-Padegaon-in-Aurangabad&amp;id=4d423434373536373335</t>
  </si>
  <si>
    <t>https://www.magicbricks.com/propertyDetails/3310-Sq-ft-Residential-Plot-FOR-Sale-Jalna-Road-in-Aurangabad&amp;id=4d423436373136353637</t>
  </si>
  <si>
    <t>https://www.magicbricks.com/propertyDetails/3225-Sq-ft-Residential-Plot-FOR-Sale-Satara-Pariser-in-Aurangabad&amp;id=4d423431343630383439</t>
  </si>
  <si>
    <t>https://www.magicbricks.com/propertyDetails/6000-Sq-ft-Residential-Plot-FOR-Sale-Garkheda-in-Aurangabad&amp;id=4d423436323238323431</t>
  </si>
  <si>
    <t>https://www.magicbricks.com/propertyDetails/117-Sq-yrd-Residential-Plot-FOR-Sale-Bank-Colony-in-Bhiwani&amp;id=4d423435383233393735</t>
  </si>
  <si>
    <t>https://www.magicbricks.com/propertyDetails/4887-Sq-ft-Residential-Plot-FOR-Sale-Bhiwani-in-Bhiwani&amp;id=4d423437303439303035</t>
  </si>
  <si>
    <t>https://www.magicbricks.com/propertyDetails/1260-Sq-ft-Residential-Plot-FOR-Sale-Kalia-Colony-in-Jalandhar&amp;id=4d423435313135353437</t>
  </si>
  <si>
    <t>https://www.magicbricks.com/propertyDetails/10-Marla-Residential-Plot-FOR-Sale-Jalandhar-Cantt-in-Jalandhar&amp;id=4d423433303638323431</t>
  </si>
  <si>
    <t>https://www.magicbricks.com/propertyDetails/5700-Sq-ft-Residential-Plot-FOR-Sale-Tarajan-in-Jorhat&amp;id=4d423435313639303933</t>
  </si>
  <si>
    <t>https://www.magicbricks.com/propertyDetails/2-Kottah-Residential-Plot-FOR-Sale-Dolabari-in-Tezpur&amp;id=4d423430363631373033</t>
  </si>
  <si>
    <t>https://www.magicbricks.com/propertyDetails/6994-Sq-ft-Residential-Plot-FOR-Sale-Dolabari-in-Tezpur&amp;id=4d423435373939393831</t>
  </si>
  <si>
    <t>https://property.mitula.in/detalle/740/6220058550595209249/23/1/land-agricultural-shillong?page=1&amp;pos=23&amp;t_sec=76&amp;t_or=2&amp;t_pvid=f630417c-6f2e-49cf-aa1a-27dfd3da4ef6</t>
  </si>
  <si>
    <t>https://www.makaan.com/dadra-and-nagar-haveli/builder-silvassa-road-in-naroli-road-7885425/1200-sqft-plot?utm_source=Mitula&amp;utm_medium=Referral&amp;utm_campaign=TA2_Buy</t>
  </si>
  <si>
    <t>https://property.mitula.in/detalle/740/5480091549553005916/7/1/land-srinagar?page=1&amp;pos=7&amp;t_sec=76&amp;t_or=2&amp;t_pvid=a9c62dd1-0b8e-464a-8bf9-cbc818f4cb6d</t>
  </si>
  <si>
    <t>https://property.mitula.in/detalle/740/3530109569418830354/10/1/land-agricultural-jalandhar?page=1&amp;pos=10&amp;t_sec=76&amp;t_or=2&amp;t_pvid=c429f439-f7a3-4f9d-9d54-db5c0c47656b</t>
  </si>
  <si>
    <t>https://property.mitula.in/detalle/740/8520096551794496385/12/1/land-agricultural-jorhat?page=1&amp;pos=12&amp;t_sec=76&amp;t_or=2&amp;t_pvid=68478b8d-6da4-45b7-8dca-28dbeaef6234</t>
  </si>
  <si>
    <t>Development Plan</t>
  </si>
  <si>
    <t>Naya Raipur Development Plan - 2031 Table 16.2</t>
  </si>
  <si>
    <t>City Development Plan - Agartala, Government of Tripura Urban Development Department (May 2006)</t>
  </si>
  <si>
    <t>http://www.atlasofurbanexpansion.org/cities/view/Hyderabad</t>
  </si>
  <si>
    <t>Itanagar Master Plan - 2021, Government of Arunchal Pradesh Office of the Dy. Commissioner Cum Chairman Itanagar Planning Authority: Itanagar https://itanagar.nic.in/documents/page/2/</t>
  </si>
  <si>
    <t>http://atlasofurbanexpansion.org/cities/view/Jaipur</t>
  </si>
  <si>
    <t>-</t>
  </si>
  <si>
    <t>assume</t>
  </si>
  <si>
    <t>https://www.kmcgov.in/KMCPortal/jsp/KMCParksGardens1.jsp</t>
  </si>
  <si>
    <t>Sum of available park areas, assumed to be sq.m using Google Earth verification</t>
  </si>
  <si>
    <t>https://www.moneycontrol.com/news/india/mumbai-development-plan-heres-how-new-development-plan-transform-mumbai-city-2342567.html</t>
  </si>
  <si>
    <t>Master Plan for Delhi - 2021</t>
  </si>
  <si>
    <t>green/recreational use</t>
  </si>
  <si>
    <t>Revised City Development Plan - Panaji</t>
  </si>
  <si>
    <t>https://tcpd.py.gov.in/master-plans</t>
  </si>
  <si>
    <t>Smart Cities</t>
  </si>
  <si>
    <t>https://smartranchi.jharkhand.gov.in/</t>
  </si>
  <si>
    <t>SmartCities</t>
  </si>
  <si>
    <t>http://www.shimlamc.org/MC/admin/Pages/page/CDPChap7.aspx</t>
  </si>
  <si>
    <t>Thiruvananthapuram Corporation Dept of Town and Country Planning Master Plan (Draft)</t>
  </si>
  <si>
    <t>https://tcpharyana.gov.in/Development_Plan/Bhiwani/Bhiwani/FDP_2025/Bhiwani_FDP_2025_Exp_Note.pdf</t>
  </si>
  <si>
    <t>http://www.jda.gov.in/wp-content/uploads/2016/03/Report-Master-Plan-Jalandhar.pdf</t>
  </si>
  <si>
    <t>Table No. 9.25: Existing land use distribution… recreational row</t>
  </si>
  <si>
    <t>Average cost by city size</t>
  </si>
  <si>
    <t>Large</t>
  </si>
  <si>
    <t>Medium</t>
  </si>
  <si>
    <t>Small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</si>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</sst>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#,##0.000000"/>
    <numFmt numFmtId="167" formatCode="&quot;$&quot;#,##0.00"/>
    <numFmt numFmtId="168" formatCode="_(* #,##0.0_);_(* \(#,##0.0\);_(* &quot;-&quot;??_);_(@_)"/>
    <numFmt numFmtId="169" formatCode="_(* #,##0.000_);_(* \(#,##0.00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u/>
      <sz val="11"/>
      <color rgb="FF0000FF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i/>
      <u/>
      <sz val="11"/>
      <name val="Calibri"/>
      <family val="2"/>
    </font>
    <font>
      <u/>
      <sz val="11"/>
      <name val="Calibri"/>
      <family val="2"/>
    </font>
    <font>
      <u/>
      <sz val="11"/>
      <color theme="10"/>
      <name val="Calibri"/>
      <family val="2"/>
    </font>
    <font>
      <b/>
      <i/>
      <u val="singleAccounting"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rgb="FFBFBFBF"/>
      </patternFill>
    </fill>
  </fills>
  <borders count="2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13" fillId="0" borderId="0"/>
    <xf numFmtId="9" fontId="1" fillId="0" borderId="0" applyFont="0" applyFill="0" applyBorder="0" applyAlignment="0" applyProtection="0"/>
    <xf numFmtId="0" fontId="13" fillId="0" borderId="0"/>
  </cellStyleXfs>
  <cellXfs count="214">
    <xf numFmtId="0" fontId="0" fillId="0" borderId="0" xfId="0"/>
    <xf numFmtId="44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44" fontId="0" fillId="4" borderId="1" xfId="0" applyNumberFormat="1" applyFill="1" applyBorder="1" applyAlignment="1">
      <alignment vertical="center"/>
    </xf>
    <xf numFmtId="0" fontId="0" fillId="0" borderId="0" xfId="2" applyNumberFormat="1" applyFont="1"/>
    <xf numFmtId="0" fontId="0" fillId="0" borderId="0" xfId="0" applyFont="1" applyAlignment="1"/>
    <xf numFmtId="0" fontId="8" fillId="0" borderId="0" xfId="0" applyFont="1"/>
    <xf numFmtId="0" fontId="0" fillId="0" borderId="0" xfId="0" applyFont="1"/>
    <xf numFmtId="0" fontId="9" fillId="0" borderId="0" xfId="0" applyFont="1"/>
    <xf numFmtId="3" fontId="8" fillId="0" borderId="0" xfId="0" applyNumberFormat="1" applyFont="1"/>
    <xf numFmtId="4" fontId="8" fillId="0" borderId="0" xfId="0" applyNumberFormat="1" applyFont="1"/>
    <xf numFmtId="0" fontId="8" fillId="0" borderId="0" xfId="0" applyFont="1" applyAlignment="1"/>
    <xf numFmtId="3" fontId="8" fillId="0" borderId="0" xfId="0" applyNumberFormat="1" applyFont="1" applyAlignment="1"/>
    <xf numFmtId="166" fontId="8" fillId="0" borderId="0" xfId="0" applyNumberFormat="1" applyFont="1" applyBorder="1"/>
    <xf numFmtId="167" fontId="8" fillId="0" borderId="0" xfId="0" applyNumberFormat="1" applyFont="1"/>
    <xf numFmtId="167" fontId="0" fillId="0" borderId="0" xfId="0" applyNumberFormat="1" applyFont="1"/>
    <xf numFmtId="4" fontId="0" fillId="0" borderId="0" xfId="0" applyNumberFormat="1" applyFont="1" applyAlignment="1"/>
    <xf numFmtId="0" fontId="11" fillId="0" borderId="0" xfId="0" applyFont="1" applyAlignment="1"/>
    <xf numFmtId="0" fontId="0" fillId="0" borderId="0" xfId="0" applyFont="1" applyAlignment="1">
      <alignment wrapText="1"/>
    </xf>
    <xf numFmtId="0" fontId="12" fillId="5" borderId="0" xfId="0" applyFont="1" applyFill="1" applyAlignment="1">
      <alignment vertical="center"/>
    </xf>
    <xf numFmtId="0" fontId="12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2" fontId="12" fillId="5" borderId="0" xfId="2" applyNumberFormat="1" applyFont="1" applyFill="1" applyAlignment="1">
      <alignment horizontal="center"/>
    </xf>
    <xf numFmtId="2" fontId="12" fillId="5" borderId="0" xfId="0" applyNumberFormat="1" applyFont="1" applyFill="1" applyAlignment="1">
      <alignment horizontal="center"/>
    </xf>
    <xf numFmtId="44" fontId="5" fillId="5" borderId="0" xfId="0" applyNumberFormat="1" applyFont="1" applyFill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3" fillId="0" borderId="7" xfId="4" applyFont="1" applyBorder="1" applyAlignment="1"/>
    <xf numFmtId="0" fontId="13" fillId="0" borderId="9" xfId="4" applyFont="1" applyBorder="1" applyAlignment="1"/>
    <xf numFmtId="0" fontId="13" fillId="0" borderId="0" xfId="4" applyFont="1" applyAlignment="1"/>
    <xf numFmtId="0" fontId="13" fillId="0" borderId="0" xfId="4" applyFont="1"/>
    <xf numFmtId="0" fontId="13" fillId="0" borderId="10" xfId="4" applyFont="1" applyBorder="1" applyAlignment="1"/>
    <xf numFmtId="0" fontId="0" fillId="0" borderId="0" xfId="0" applyFont="1" applyAlignment="1">
      <alignment horizontal="center" vertical="center" wrapText="1"/>
    </xf>
    <xf numFmtId="0" fontId="8" fillId="0" borderId="3" xfId="0" applyFont="1" applyFill="1" applyBorder="1"/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5" xfId="0" applyFont="1" applyFill="1" applyBorder="1"/>
    <xf numFmtId="0" fontId="7" fillId="0" borderId="2" xfId="0" applyFont="1" applyFill="1" applyBorder="1"/>
    <xf numFmtId="167" fontId="8" fillId="0" borderId="0" xfId="0" applyNumberFormat="1" applyFont="1" applyFill="1"/>
    <xf numFmtId="0" fontId="8" fillId="0" borderId="0" xfId="0" applyFont="1" applyFill="1" applyAlignment="1"/>
    <xf numFmtId="0" fontId="18" fillId="0" borderId="0" xfId="0" applyFont="1" applyFill="1"/>
    <xf numFmtId="0" fontId="19" fillId="0" borderId="0" xfId="0" applyFont="1" applyFill="1" applyAlignment="1"/>
    <xf numFmtId="0" fontId="8" fillId="0" borderId="4" xfId="0" applyFont="1" applyFill="1" applyBorder="1"/>
    <xf numFmtId="0" fontId="8" fillId="0" borderId="6" xfId="0" applyFont="1" applyFill="1" applyBorder="1"/>
    <xf numFmtId="43" fontId="8" fillId="0" borderId="0" xfId="0" applyNumberFormat="1" applyFont="1" applyFill="1"/>
    <xf numFmtId="44" fontId="8" fillId="0" borderId="0" xfId="0" applyNumberFormat="1" applyFont="1" applyFill="1"/>
    <xf numFmtId="3" fontId="8" fillId="0" borderId="0" xfId="0" applyNumberFormat="1" applyFont="1" applyFill="1"/>
    <xf numFmtId="0" fontId="8" fillId="0" borderId="12" xfId="0" applyFont="1" applyFill="1" applyBorder="1" applyAlignment="1">
      <alignment horizontal="center" wrapText="1"/>
    </xf>
    <xf numFmtId="0" fontId="8" fillId="0" borderId="13" xfId="0" applyFont="1" applyFill="1" applyBorder="1" applyAlignment="1">
      <alignment horizontal="center" wrapText="1"/>
    </xf>
    <xf numFmtId="0" fontId="8" fillId="0" borderId="14" xfId="0" applyFont="1" applyFill="1" applyBorder="1" applyAlignment="1">
      <alignment horizontal="center" wrapText="1"/>
    </xf>
    <xf numFmtId="167" fontId="8" fillId="0" borderId="15" xfId="0" applyNumberFormat="1" applyFont="1" applyFill="1" applyBorder="1"/>
    <xf numFmtId="167" fontId="8" fillId="0" borderId="16" xfId="0" applyNumberFormat="1" applyFont="1" applyFill="1" applyBorder="1" applyAlignment="1">
      <alignment horizontal="right"/>
    </xf>
    <xf numFmtId="4" fontId="8" fillId="0" borderId="16" xfId="0" applyNumberFormat="1" applyFont="1" applyFill="1" applyBorder="1" applyAlignment="1">
      <alignment horizontal="center"/>
    </xf>
    <xf numFmtId="167" fontId="8" fillId="0" borderId="10" xfId="0" applyNumberFormat="1" applyFont="1" applyFill="1" applyBorder="1"/>
    <xf numFmtId="167" fontId="8" fillId="0" borderId="0" xfId="0" applyNumberFormat="1" applyFont="1" applyFill="1" applyBorder="1" applyAlignment="1">
      <alignment horizontal="right"/>
    </xf>
    <xf numFmtId="4" fontId="8" fillId="0" borderId="0" xfId="0" applyNumberFormat="1" applyFont="1" applyFill="1" applyBorder="1" applyAlignment="1">
      <alignment horizontal="center"/>
    </xf>
    <xf numFmtId="0" fontId="8" fillId="0" borderId="12" xfId="0" applyFont="1" applyFill="1" applyBorder="1" applyAlignment="1"/>
    <xf numFmtId="0" fontId="8" fillId="0" borderId="13" xfId="0" applyFont="1" applyFill="1" applyBorder="1" applyAlignment="1">
      <alignment wrapText="1"/>
    </xf>
    <xf numFmtId="167" fontId="8" fillId="0" borderId="13" xfId="0" applyNumberFormat="1" applyFont="1" applyFill="1" applyBorder="1" applyAlignment="1"/>
    <xf numFmtId="167" fontId="8" fillId="0" borderId="13" xfId="0" applyNumberFormat="1" applyFont="1" applyFill="1" applyBorder="1"/>
    <xf numFmtId="0" fontId="8" fillId="0" borderId="10" xfId="0" applyFont="1" applyFill="1" applyBorder="1" applyAlignment="1"/>
    <xf numFmtId="0" fontId="8" fillId="0" borderId="0" xfId="0" applyFont="1" applyFill="1" applyBorder="1" applyAlignment="1">
      <alignment wrapText="1"/>
    </xf>
    <xf numFmtId="167" fontId="8" fillId="0" borderId="0" xfId="0" applyNumberFormat="1" applyFont="1" applyFill="1" applyBorder="1"/>
    <xf numFmtId="0" fontId="8" fillId="0" borderId="10" xfId="0" applyFont="1" applyFill="1" applyBorder="1" applyAlignment="1">
      <alignment wrapText="1"/>
    </xf>
    <xf numFmtId="0" fontId="8" fillId="0" borderId="15" xfId="0" applyFont="1" applyFill="1" applyBorder="1" applyAlignment="1">
      <alignment wrapText="1"/>
    </xf>
    <xf numFmtId="0" fontId="8" fillId="0" borderId="16" xfId="0" applyFont="1" applyFill="1" applyBorder="1" applyAlignment="1">
      <alignment wrapText="1"/>
    </xf>
    <xf numFmtId="167" fontId="8" fillId="0" borderId="16" xfId="0" applyNumberFormat="1" applyFont="1" applyFill="1" applyBorder="1" applyAlignment="1"/>
    <xf numFmtId="167" fontId="8" fillId="0" borderId="16" xfId="0" applyNumberFormat="1" applyFont="1" applyFill="1" applyBorder="1"/>
    <xf numFmtId="167" fontId="8" fillId="5" borderId="14" xfId="0" applyNumberFormat="1" applyFont="1" applyFill="1" applyBorder="1"/>
    <xf numFmtId="167" fontId="8" fillId="5" borderId="11" xfId="0" applyNumberFormat="1" applyFont="1" applyFill="1" applyBorder="1"/>
    <xf numFmtId="167" fontId="8" fillId="5" borderId="17" xfId="0" applyNumberFormat="1" applyFont="1" applyFill="1" applyBorder="1"/>
    <xf numFmtId="167" fontId="7" fillId="6" borderId="7" xfId="0" applyNumberFormat="1" applyFont="1" applyFill="1" applyBorder="1" applyAlignment="1"/>
    <xf numFmtId="0" fontId="7" fillId="6" borderId="9" xfId="0" applyFont="1" applyFill="1" applyBorder="1" applyAlignment="1"/>
    <xf numFmtId="0" fontId="7" fillId="6" borderId="8" xfId="0" applyFont="1" applyFill="1" applyBorder="1" applyAlignment="1"/>
    <xf numFmtId="167" fontId="8" fillId="5" borderId="17" xfId="0" applyNumberFormat="1" applyFont="1" applyFill="1" applyBorder="1" applyAlignment="1">
      <alignment horizontal="center"/>
    </xf>
    <xf numFmtId="167" fontId="8" fillId="5" borderId="11" xfId="0" applyNumberFormat="1" applyFont="1" applyFill="1" applyBorder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164" fontId="1" fillId="0" borderId="0" xfId="1" applyNumberFormat="1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1" fillId="0" borderId="0" xfId="1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164" fontId="1" fillId="0" borderId="0" xfId="1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3" fillId="0" borderId="9" xfId="1" applyNumberFormat="1" applyFont="1" applyBorder="1" applyAlignment="1"/>
    <xf numFmtId="43" fontId="13" fillId="0" borderId="0" xfId="1" applyFont="1" applyBorder="1" applyAlignment="1"/>
    <xf numFmtId="0" fontId="8" fillId="0" borderId="0" xfId="0" applyNumberFormat="1" applyFont="1"/>
    <xf numFmtId="0" fontId="6" fillId="0" borderId="0" xfId="0" applyNumberFormat="1" applyFont="1" applyAlignment="1">
      <alignment wrapText="1"/>
    </xf>
    <xf numFmtId="0" fontId="8" fillId="0" borderId="0" xfId="0" applyNumberFormat="1" applyFont="1" applyBorder="1"/>
    <xf numFmtId="0" fontId="0" fillId="0" borderId="0" xfId="0" applyNumberFormat="1" applyFont="1"/>
    <xf numFmtId="10" fontId="1" fillId="0" borderId="0" xfId="6" applyNumberFormat="1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3" fontId="1" fillId="0" borderId="0" xfId="0" applyNumberFormat="1" applyFont="1" applyFill="1"/>
    <xf numFmtId="4" fontId="1" fillId="0" borderId="0" xfId="0" applyNumberFormat="1" applyFont="1" applyFill="1"/>
    <xf numFmtId="43" fontId="8" fillId="0" borderId="18" xfId="1" applyFont="1" applyBorder="1" applyAlignment="1">
      <alignment wrapText="1"/>
    </xf>
    <xf numFmtId="0" fontId="13" fillId="0" borderId="0" xfId="0" applyFont="1" applyAlignment="1"/>
    <xf numFmtId="43" fontId="8" fillId="0" borderId="0" xfId="1" applyFont="1"/>
    <xf numFmtId="0" fontId="20" fillId="0" borderId="0" xfId="3" applyFont="1"/>
    <xf numFmtId="44" fontId="21" fillId="0" borderId="0" xfId="0" applyNumberFormat="1" applyFont="1"/>
    <xf numFmtId="0" fontId="13" fillId="0" borderId="0" xfId="0" applyFont="1" applyAlignment="1">
      <alignment horizontal="right"/>
    </xf>
    <xf numFmtId="3" fontId="8" fillId="0" borderId="0" xfId="0" applyNumberFormat="1" applyFont="1" applyFill="1" applyAlignment="1"/>
    <xf numFmtId="165" fontId="0" fillId="0" borderId="0" xfId="0" applyNumberFormat="1" applyFont="1" applyFill="1"/>
    <xf numFmtId="10" fontId="0" fillId="0" borderId="0" xfId="6" applyNumberFormat="1" applyFont="1" applyFill="1"/>
    <xf numFmtId="0" fontId="4" fillId="0" borderId="0" xfId="3" applyAlignment="1"/>
    <xf numFmtId="164" fontId="13" fillId="0" borderId="0" xfId="4" applyNumberFormat="1" applyFont="1"/>
    <xf numFmtId="0" fontId="23" fillId="0" borderId="7" xfId="1" applyNumberFormat="1" applyFont="1" applyBorder="1" applyAlignment="1"/>
    <xf numFmtId="0" fontId="23" fillId="0" borderId="8" xfId="1" applyNumberFormat="1" applyFont="1" applyBorder="1" applyAlignment="1"/>
    <xf numFmtId="0" fontId="23" fillId="0" borderId="9" xfId="6" applyNumberFormat="1" applyFont="1" applyBorder="1" applyAlignment="1">
      <alignment wrapText="1"/>
    </xf>
    <xf numFmtId="168" fontId="23" fillId="0" borderId="9" xfId="1" applyNumberFormat="1" applyFont="1" applyBorder="1" applyAlignment="1">
      <alignment wrapText="1"/>
    </xf>
    <xf numFmtId="0" fontId="1" fillId="0" borderId="9" xfId="1" applyNumberFormat="1" applyFont="1" applyBorder="1" applyAlignment="1"/>
    <xf numFmtId="0" fontId="1" fillId="0" borderId="10" xfId="1" applyNumberFormat="1" applyFont="1" applyBorder="1" applyAlignment="1"/>
    <xf numFmtId="0" fontId="1" fillId="0" borderId="11" xfId="1" applyNumberFormat="1" applyFont="1" applyBorder="1" applyAlignment="1"/>
    <xf numFmtId="10" fontId="22" fillId="0" borderId="0" xfId="6" applyNumberFormat="1" applyFont="1" applyBorder="1" applyAlignment="1"/>
    <xf numFmtId="43" fontId="1" fillId="0" borderId="0" xfId="1" applyFont="1" applyAlignment="1"/>
    <xf numFmtId="10" fontId="1" fillId="0" borderId="0" xfId="6" applyNumberFormat="1" applyFont="1" applyBorder="1" applyAlignment="1"/>
    <xf numFmtId="168" fontId="1" fillId="0" borderId="0" xfId="1" applyNumberFormat="1" applyFont="1" applyAlignment="1"/>
    <xf numFmtId="168" fontId="12" fillId="0" borderId="0" xfId="1" applyNumberFormat="1" applyFont="1" applyFill="1" applyAlignment="1"/>
    <xf numFmtId="168" fontId="1" fillId="0" borderId="0" xfId="1" applyNumberFormat="1" applyFont="1" applyFill="1" applyAlignment="1"/>
    <xf numFmtId="43" fontId="25" fillId="0" borderId="0" xfId="1" applyFont="1" applyAlignment="1"/>
    <xf numFmtId="168" fontId="26" fillId="0" borderId="0" xfId="1" applyNumberFormat="1" applyFont="1" applyFill="1" applyAlignment="1"/>
    <xf numFmtId="0" fontId="23" fillId="0" borderId="10" xfId="7" applyFont="1" applyBorder="1" applyAlignment="1"/>
    <xf numFmtId="0" fontId="23" fillId="0" borderId="21" xfId="7" applyFont="1" applyBorder="1" applyAlignment="1"/>
    <xf numFmtId="0" fontId="23" fillId="0" borderId="0" xfId="7" applyFont="1" applyBorder="1" applyAlignment="1"/>
    <xf numFmtId="43" fontId="24" fillId="0" borderId="0" xfId="1" applyFont="1" applyAlignment="1"/>
    <xf numFmtId="168" fontId="23" fillId="0" borderId="0" xfId="1" applyNumberFormat="1" applyFont="1"/>
    <xf numFmtId="43" fontId="24" fillId="0" borderId="0" xfId="1" applyFont="1"/>
    <xf numFmtId="168" fontId="26" fillId="0" borderId="0" xfId="1" applyNumberFormat="1" applyFont="1" applyFill="1"/>
    <xf numFmtId="0" fontId="13" fillId="0" borderId="22" xfId="4" applyFont="1" applyBorder="1" applyAlignment="1"/>
    <xf numFmtId="0" fontId="13" fillId="0" borderId="21" xfId="4" applyFont="1" applyBorder="1" applyAlignment="1"/>
    <xf numFmtId="0" fontId="13" fillId="0" borderId="21" xfId="4" applyFont="1" applyBorder="1"/>
    <xf numFmtId="0" fontId="27" fillId="0" borderId="9" xfId="1" applyNumberFormat="1" applyFont="1" applyBorder="1" applyAlignment="1">
      <alignment wrapText="1"/>
    </xf>
    <xf numFmtId="0" fontId="4" fillId="0" borderId="0" xfId="3"/>
    <xf numFmtId="169" fontId="0" fillId="0" borderId="0" xfId="0" applyNumberFormat="1" applyFont="1" applyFill="1"/>
    <xf numFmtId="0" fontId="8" fillId="0" borderId="10" xfId="0" applyFont="1" applyBorder="1" applyAlignment="1"/>
    <xf numFmtId="0" fontId="8" fillId="0" borderId="11" xfId="0" applyFont="1" applyBorder="1" applyAlignment="1"/>
    <xf numFmtId="0" fontId="8" fillId="0" borderId="0" xfId="0" applyFont="1" applyBorder="1"/>
    <xf numFmtId="0" fontId="8" fillId="0" borderId="19" xfId="0" applyFont="1" applyBorder="1"/>
    <xf numFmtId="0" fontId="8" fillId="0" borderId="0" xfId="0" applyFont="1" applyFill="1" applyBorder="1"/>
    <xf numFmtId="0" fontId="8" fillId="0" borderId="20" xfId="0" applyFont="1" applyBorder="1"/>
    <xf numFmtId="0" fontId="8" fillId="0" borderId="7" xfId="0" applyFont="1" applyBorder="1" applyAlignment="1"/>
    <xf numFmtId="0" fontId="8" fillId="0" borderId="8" xfId="0" applyFont="1" applyBorder="1" applyAlignment="1"/>
    <xf numFmtId="0" fontId="8" fillId="0" borderId="18" xfId="0" applyFont="1" applyBorder="1" applyAlignment="1">
      <alignment horizontal="left" vertical="center" wrapText="1"/>
    </xf>
    <xf numFmtId="0" fontId="8" fillId="0" borderId="18" xfId="0" applyFont="1" applyBorder="1" applyAlignment="1">
      <alignment wrapText="1"/>
    </xf>
    <xf numFmtId="43" fontId="8" fillId="0" borderId="0" xfId="0" applyNumberFormat="1" applyFont="1" applyBorder="1"/>
    <xf numFmtId="164" fontId="8" fillId="0" borderId="0" xfId="1" applyNumberFormat="1" applyFont="1"/>
    <xf numFmtId="0" fontId="19" fillId="0" borderId="0" xfId="3" applyFont="1"/>
    <xf numFmtId="43" fontId="8" fillId="0" borderId="0" xfId="0" applyNumberFormat="1" applyFont="1" applyFill="1" applyBorder="1"/>
    <xf numFmtId="43" fontId="10" fillId="0" borderId="0" xfId="1" applyFont="1"/>
    <xf numFmtId="43" fontId="0" fillId="0" borderId="0" xfId="0" applyNumberFormat="1" applyFont="1" applyFill="1"/>
    <xf numFmtId="44" fontId="0" fillId="0" borderId="0" xfId="0" applyNumberFormat="1" applyFont="1"/>
    <xf numFmtId="0" fontId="28" fillId="0" borderId="0" xfId="0" applyFont="1" applyFill="1" applyBorder="1"/>
    <xf numFmtId="164" fontId="28" fillId="0" borderId="0" xfId="1" applyNumberFormat="1" applyFont="1" applyFill="1" applyBorder="1"/>
    <xf numFmtId="44" fontId="28" fillId="0" borderId="0" xfId="2" applyFont="1" applyFill="1" applyBorder="1"/>
    <xf numFmtId="0" fontId="14" fillId="0" borderId="0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18" xfId="0" applyBorder="1"/>
    <xf numFmtId="164" fontId="10" fillId="0" borderId="0" xfId="1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43" fontId="12" fillId="0" borderId="18" xfId="1" applyFont="1" applyFill="1" applyBorder="1" applyAlignment="1">
      <alignment horizontal="right" vertical="center" wrapText="1"/>
    </xf>
    <xf numFmtId="43" fontId="0" fillId="0" borderId="0" xfId="1" applyFont="1" applyFill="1" applyAlignment="1">
      <alignment horizontal="right" vertical="center"/>
    </xf>
    <xf numFmtId="43" fontId="12" fillId="0" borderId="0" xfId="1" applyFont="1" applyFill="1" applyAlignment="1">
      <alignment horizontal="right" vertical="center"/>
    </xf>
    <xf numFmtId="43" fontId="10" fillId="0" borderId="0" xfId="1" applyFont="1" applyFill="1" applyAlignment="1">
      <alignment horizontal="center" vertical="center"/>
    </xf>
    <xf numFmtId="43" fontId="1" fillId="0" borderId="0" xfId="1" applyFont="1"/>
    <xf numFmtId="1" fontId="8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/>
    <xf numFmtId="44" fontId="8" fillId="0" borderId="18" xfId="2" applyFont="1" applyBorder="1" applyAlignment="1">
      <alignment wrapText="1"/>
    </xf>
    <xf numFmtId="44" fontId="8" fillId="0" borderId="0" xfId="2" applyFont="1"/>
    <xf numFmtId="44" fontId="8" fillId="0" borderId="0" xfId="2" applyFont="1" applyBorder="1"/>
    <xf numFmtId="44" fontId="10" fillId="0" borderId="0" xfId="2" applyFont="1"/>
    <xf numFmtId="44" fontId="8" fillId="0" borderId="0" xfId="0" applyNumberFormat="1" applyFont="1" applyFill="1" applyBorder="1"/>
    <xf numFmtId="0" fontId="8" fillId="0" borderId="24" xfId="0" applyFont="1" applyBorder="1"/>
    <xf numFmtId="0" fontId="8" fillId="0" borderId="8" xfId="0" applyFont="1" applyBorder="1"/>
    <xf numFmtId="44" fontId="8" fillId="0" borderId="11" xfId="0" applyNumberFormat="1" applyFont="1" applyBorder="1"/>
    <xf numFmtId="44" fontId="8" fillId="0" borderId="17" xfId="0" applyNumberFormat="1" applyFont="1" applyBorder="1"/>
    <xf numFmtId="44" fontId="12" fillId="5" borderId="0" xfId="2" applyFont="1" applyFill="1" applyAlignment="1">
      <alignment horizontal="center" vertical="center" wrapText="1"/>
    </xf>
    <xf numFmtId="44" fontId="12" fillId="5" borderId="0" xfId="2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left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0" xfId="0" applyFont="1" applyFill="1" applyAlignment="1">
      <alignment horizontal="left" wrapText="1"/>
    </xf>
    <xf numFmtId="165" fontId="26" fillId="0" borderId="0" xfId="0" applyNumberFormat="1" applyFont="1" applyFill="1"/>
    <xf numFmtId="2" fontId="12" fillId="5" borderId="0" xfId="1" applyNumberFormat="1" applyFont="1" applyFill="1" applyAlignment="1">
      <alignment horizontal="center" vertical="center"/>
    </xf>
    <xf numFmtId="0" fontId="22" fillId="5" borderId="0" xfId="1" applyNumberFormat="1" applyFont="1" applyFill="1" applyAlignment="1">
      <alignment horizontal="center" vertical="center"/>
    </xf>
  </cellXfs>
  <cellStyles count="8">
    <cellStyle name="Comma" xfId="1" builtinId="3"/>
    <cellStyle name="Currency" xfId="2" builtinId="4"/>
    <cellStyle name="Hyperlink" xfId="3" builtinId="8"/>
    <cellStyle name="Normal" xfId="0" builtinId="0"/>
    <cellStyle name="Normal 2" xfId="5" xr:uid="{5D5089D5-0272-46D9-8AA3-17A129D09A69}"/>
    <cellStyle name="Normal 4" xfId="4" xr:uid="{AFA74B27-664E-4B57-B8C7-7BF518047A6E}"/>
    <cellStyle name="Normal 4 2" xfId="7" xr:uid="{ACE49078-9A0A-4D70-B488-04051C26E10C}"/>
    <cellStyle name="Percent" xfId="6" builtinId="5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zanne Schadel" id="{3B1B3D78-DF24-4E9D-9316-2A5DF979444E}" userId="f44dd92c4f2be79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0" dT="2019-12-21T18:50:12.42" personId="{3B1B3D78-DF24-4E9D-9316-2A5DF979444E}" id="{F0A6D30E-067D-44AB-B3F2-BEF9B82EE9F6}">
    <text>Naya Raipur Development Plan - 2031 Table 16.2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du.gov.co/Archivos_Portal/2019/Transparencia/Presupuesto/Ejecuciones%20Presupuestales/01_Enero/PRESUPUESTO_IDU_VIGENCIA_2019.pdf" TargetMode="External"/><Relationship Id="rId2" Type="http://schemas.openxmlformats.org/officeDocument/2006/relationships/hyperlink" Target="https://www.idu.gov.co/Archivos_Portal/2019/Transparencia/Presupuesto/Ejecuciones%20Presupuestales/01_Enero/PRESUPUESTO_IDU_VIGENCIA_2019.pdf" TargetMode="External"/><Relationship Id="rId1" Type="http://schemas.openxmlformats.org/officeDocument/2006/relationships/hyperlink" Target="https://data.worldbank.org/indicator/PA.NUS.FCRF?locations=IN" TargetMode="External"/><Relationship Id="rId5" Type="http://schemas.openxmlformats.org/officeDocument/2006/relationships/hyperlink" Target="https://data.worldbank.org/indicator/PA.NUS.PPPC.RF?locations=IN" TargetMode="External"/><Relationship Id="rId4" Type="http://schemas.openxmlformats.org/officeDocument/2006/relationships/hyperlink" Target="http://www.atlasofurbanexpansion.org/cities/view/Mumbai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akaan.com/dehradun/builder-uttarakhand-properties-banjarawala-in-banjarawala-8976535/950-sqft-plot?utm_source=Mitula&amp;utm_medium=Referral&amp;utm_campaign=TA2_Buy" TargetMode="External"/><Relationship Id="rId18" Type="http://schemas.openxmlformats.org/officeDocument/2006/relationships/hyperlink" Target="https://www.homeonline.com/sale/residential_plot-gandhinagar-bhopal/O254V9L/srchdet/?utm_source=Trovit&amp;amp;utm_medium=trovit_organic&amp;amp;utm_campaign=trovit_sale" TargetMode="External"/><Relationship Id="rId26" Type="http://schemas.openxmlformats.org/officeDocument/2006/relationships/hyperlink" Target="https://housing.com/in/buy/search/projects/80191?utm_source=nestoria&amp;utm_medium=referral&amp;utm_campaign=np_platinum&amp;mktg=true&amp;utm_term=80191&amp;utm_content=Sankharipota&amp;utm_dynamicid=bdca6c37019e482cecda72bbd5ae36ebeab3eaa7&amp;f=eyJiYXNlIjpbeyJ0eXBlIjoiUE9MWSIsInV1aWQiOiI2YWMxZjIyMWQxNDMzZmE4ODM2MiIsImxhYmVsIjoiSm9rYSIsImNsYXNzTmFtZSI6InNlYXJjaC1lbnRpdHkifV0sInYiOjIsInF2X3Jlc2FsZV9pZCI6bnVsbCwicXZfcHJvamVjdF9pZCI6IjgwMTkxIn0%3D" TargetMode="External"/><Relationship Id="rId39" Type="http://schemas.openxmlformats.org/officeDocument/2006/relationships/hyperlink" Target="https://www.magicbricks.com/propertyDetails/720-Sq-ft-Residential-Plot-FOR-Sale-Gagan-Vihar-in-New-Delhi-r1&amp;id=4d423432303532363137" TargetMode="External"/><Relationship Id="rId21" Type="http://schemas.openxmlformats.org/officeDocument/2006/relationships/hyperlink" Target="https://housing.com/in/buy/search/projects/228036?utm_source=nestoria&amp;utm_medium=referral&amp;utm_campaign=np_platinum&amp;mktg=true&amp;utm_term=228036&amp;utm_content=Thimmapur&amp;utm_dynamicid=9352b938b7f8291bef691cb134098e950bdef477&amp;f=eyJiYXNlIjpbeyJ0eXBlIjoiUE9MWSIsInV1aWQiOiIzMjg4MzVhMzJlMzY5ZmRmMTQ2OCIsImxhYmVsIjoiVGhpbW1hcHVyIiwiY2xhc3NOYW1lIjoic2VhcmNoLWVudGl0eSJ9XSwidiI6MiwicXZfcmVzYWxlX2lkIjpudWxsLCJxdl9wcm9qZWN0X2lkIjoiMjI4MDM2In0%3D" TargetMode="External"/><Relationship Id="rId34" Type="http://schemas.openxmlformats.org/officeDocument/2006/relationships/hyperlink" Target="https://www.makaan.com/lucknow/emaar-india-gomti-greens-in-gomti-nagar-8816646/2160-sqft-plot?utm_source=Mitula&amp;utm_medium=Referral&amp;utm_campaign=TA1_Buy" TargetMode="External"/><Relationship Id="rId42" Type="http://schemas.openxmlformats.org/officeDocument/2006/relationships/hyperlink" Target="https://www.magicbricks.com/propertyDetails/1200-Sq-yrd-Residential-Plot-FOR-Sale-Jogeshwari-West-in-Mumbai&amp;id=4d423436323735383235" TargetMode="External"/><Relationship Id="rId47" Type="http://schemas.openxmlformats.org/officeDocument/2006/relationships/hyperlink" Target="https://www.magicbricks.com/propertyDetails/1361-Sq-yrd-Residential-Plot-FOR-Sale-Ashiana-Digha-Road-in-Patna-r1&amp;id=4d423434373734393635" TargetMode="External"/><Relationship Id="rId50" Type="http://schemas.openxmlformats.org/officeDocument/2006/relationships/hyperlink" Target="https://www.magicbricks.com/propertyDetails/1000-Sq-ft-Residential-Plot-FOR-Sale-Janipur-in-Patna&amp;id=4d423434343838353235" TargetMode="External"/><Relationship Id="rId55" Type="http://schemas.openxmlformats.org/officeDocument/2006/relationships/hyperlink" Target="https://www.magicbricks.com/propertyDetails/1090-Sq-ft-Residential-Plot-FOR-Sale-Vidhan-Sabha-Road-in-Raipur&amp;id=4d423332343833343633" TargetMode="External"/><Relationship Id="rId63" Type="http://schemas.openxmlformats.org/officeDocument/2006/relationships/hyperlink" Target="https://www.magicbricks.com/propertyDetails/6000-Sq-ft-Residential-Plot-FOR-Sale-Mannanthala-in-Trivandrum&amp;id=4d423435363839363235" TargetMode="External"/><Relationship Id="rId68" Type="http://schemas.openxmlformats.org/officeDocument/2006/relationships/hyperlink" Target="https://www.magicbricks.com/propertyDetails/270-Sq-yrd-Residential-Plot-FOR-Sale-Nandiyal-in-Kurnool&amp;id=4d423435343331313039" TargetMode="External"/><Relationship Id="rId76" Type="http://schemas.openxmlformats.org/officeDocument/2006/relationships/hyperlink" Target="https://www.magicbricks.com/propertyDetails/117-Sq-yrd-Residential-Plot-FOR-Sale-Bank-Colony-in-Bhiwani&amp;id=4d423435383233393735" TargetMode="External"/><Relationship Id="rId84" Type="http://schemas.openxmlformats.org/officeDocument/2006/relationships/hyperlink" Target="https://property.mitula.in/detalle/740/5480091549553005916/7/1/land-srinagar?page=1&amp;pos=7&amp;t_sec=76&amp;t_or=2&amp;t_pvid=a9c62dd1-0b8e-464a-8bf9-cbc818f4cb6d" TargetMode="External"/><Relationship Id="rId7" Type="http://schemas.openxmlformats.org/officeDocument/2006/relationships/hyperlink" Target="https://www.homeonline.com/sale/residential_plot-danish_nagar-bhopal/CCDLMQ9/srchdet/?utm_source=Trovit&amp;amp;utm_medium=trovit_organic&amp;amp;utm_campaign=trovit_sale" TargetMode="External"/><Relationship Id="rId71" Type="http://schemas.openxmlformats.org/officeDocument/2006/relationships/hyperlink" Target="https://www.magicbricks.com/propertyDetails/12672-Sq-ft-Residential-Plot-FOR-Sale-Hisar-road-in-Sirsa&amp;id=4d423435373537333233" TargetMode="External"/><Relationship Id="rId2" Type="http://schemas.openxmlformats.org/officeDocument/2006/relationships/hyperlink" Target="https://www.makaan.com/agartala/builder-project-in-dhaleswar-8202036/1728-sqft-plot?utm_source=Mitula&amp;utm_medium=Referral&amp;utm_campaign=TA2_Buy" TargetMode="External"/><Relationship Id="rId16" Type="http://schemas.openxmlformats.org/officeDocument/2006/relationships/hyperlink" Target="https://www.makaan.com/dehradun/builder-green-village-4-in-danda-lakhond-8986531/900-sqft-plot?utm_source=Mitula&amp;utm_medium=Referral&amp;utm_campaign=TA2_Buy" TargetMode="External"/><Relationship Id="rId29" Type="http://schemas.openxmlformats.org/officeDocument/2006/relationships/hyperlink" Target="https://www.makaan.com/lucknow/eldeco-group-city-in-aliganj-8982906/1500-sqft-plot?utm_source=Mitula&amp;utm_medium=Referral&amp;utm_campaign=TA1_Buy" TargetMode="External"/><Relationship Id="rId11" Type="http://schemas.openxmlformats.org/officeDocument/2006/relationships/hyperlink" Target="https://www.sulekha.com/plots-land-for-sale/1440-sqft-plots-land-for-resale-in-madipakkam-chennai-1001161770-ad?utm_source=mitula&amp;utm_medium=referral" TargetMode="External"/><Relationship Id="rId24" Type="http://schemas.openxmlformats.org/officeDocument/2006/relationships/hyperlink" Target="https://www.sheryna.in/land-for-sell-in-jaipur-Jaipur-397870?utm_source=property.mitula.in&amp;utm_medium=referral" TargetMode="External"/><Relationship Id="rId32" Type="http://schemas.openxmlformats.org/officeDocument/2006/relationships/hyperlink" Target="https://www.makaan.com/lucknow/builder-project-in-arjunganj-9014923/1000-sqft-plot?utm_source=Mitula&amp;utm_medium=Referral&amp;utm_campaign=TA2_Buy" TargetMode="External"/><Relationship Id="rId37" Type="http://schemas.openxmlformats.org/officeDocument/2006/relationships/hyperlink" Target="https://www.magicbricks.com/propertyDetails/1-Acre-Residential-Plot-FOR-Sale-Chhattarpur-in-New-Delhi-r5&amp;id=4d423333393537353435" TargetMode="External"/><Relationship Id="rId40" Type="http://schemas.openxmlformats.org/officeDocument/2006/relationships/hyperlink" Target="https://www.magicbricks.com/propertyDetails/1000-Sq-ft-Residential-Plot-FOR-Sale-Raigarh-in-Mumbai-r7&amp;id=4d423331303830333633" TargetMode="External"/><Relationship Id="rId45" Type="http://schemas.openxmlformats.org/officeDocument/2006/relationships/hyperlink" Target="https://www.magicbricks.com/propertyDetails/700-Sq-ft-Residential-Plot-FOR-Sale-Old-Goa-in-Goa&amp;id=4d423431393039353537" TargetMode="External"/><Relationship Id="rId53" Type="http://schemas.openxmlformats.org/officeDocument/2006/relationships/hyperlink" Target="https://www.magicbricks.com/propertyDetails/1000-Sq-ft-Residential-Plot-FOR-Sale-Cuddalore-in-Pondicherry&amp;id=4d423433343533323537" TargetMode="External"/><Relationship Id="rId58" Type="http://schemas.openxmlformats.org/officeDocument/2006/relationships/hyperlink" Target="https://www.magicbricks.com/propertyDetails/880-Sq-ft-Residential-Plot-FOR-Sale-Amleshwar-in-Raipur-r2&amp;id=4d423433353532363739" TargetMode="External"/><Relationship Id="rId66" Type="http://schemas.openxmlformats.org/officeDocument/2006/relationships/hyperlink" Target="https://www.magicbricks.com/propertyDetails/2178-Sq-ft-Residential-Plot-FOR-Sale-Pallippuram-in-Trivandrum&amp;id=4d423434333437373235" TargetMode="External"/><Relationship Id="rId74" Type="http://schemas.openxmlformats.org/officeDocument/2006/relationships/hyperlink" Target="https://www.magicbricks.com/propertyDetails/3225-Sq-ft-Residential-Plot-FOR-Sale-Satara-Pariser-in-Aurangabad&amp;id=4d423431343630383439" TargetMode="External"/><Relationship Id="rId79" Type="http://schemas.openxmlformats.org/officeDocument/2006/relationships/hyperlink" Target="https://www.magicbricks.com/propertyDetails/5700-Sq-ft-Residential-Plot-FOR-Sale-Tarajan-in-Jorhat&amp;id=4d423435313639303933" TargetMode="External"/><Relationship Id="rId87" Type="http://schemas.openxmlformats.org/officeDocument/2006/relationships/printerSettings" Target="../printerSettings/printerSettings2.bin"/><Relationship Id="rId5" Type="http://schemas.openxmlformats.org/officeDocument/2006/relationships/hyperlink" Target="https://housing.com/in/buy/search/projects/202167?utm_source=nestoria&amp;utm_medium=referral&amp;utm_campaign=np_platinum&amp;mktg=true&amp;utm_term=202167&amp;utm_content=Budigere%20Cross&amp;utm_dynamicid=3bb538e49fd3a704f6efc2e3c3947cce80231f70&amp;f=eyJiYXNlIjpbeyJ0eXBlIjoiUE9MWSIsInV1aWQiOiI4M2UyY2IyNmMyNGIzYjM5MjY0YSIsImxhYmVsIjoiQnVkaWdlcmUgQ3Jvc3MiLCJjbGFzc05hbWUiOiJzZWFyY2gtZW50aXR5In1dLCJ2IjoyLCJxdl9yZXNhbGVfaWQiOm51bGwsInF2X3Byb2plY3RfaWQiOiIyMDIxNjcifQ%3D%3D" TargetMode="External"/><Relationship Id="rId61" Type="http://schemas.openxmlformats.org/officeDocument/2006/relationships/hyperlink" Target="https://www.magicbricks.com/propertyDetails/3350-Sq-ft-Residential-Plot-FOR-Sale-Lower-Chutia-in-Ranchi&amp;id=4d423431373939303635" TargetMode="External"/><Relationship Id="rId82" Type="http://schemas.openxmlformats.org/officeDocument/2006/relationships/hyperlink" Target="https://property.mitula.in/detalle/740/6220058550595209249/23/1/land-agricultural-shillong?page=1&amp;pos=23&amp;t_sec=76&amp;t_or=2&amp;t_pvid=f630417c-6f2e-49cf-aa1a-27dfd3da4ef6" TargetMode="External"/><Relationship Id="rId19" Type="http://schemas.openxmlformats.org/officeDocument/2006/relationships/hyperlink" Target="https://housing.com/in/buy/search/projects/134395?utm_source=nestoria&amp;utm_medium=referral&amp;utm_campaign=np_platinum&amp;mktg=true&amp;utm_term=134395&amp;utm_content=Jubilee%20Hills&amp;utm_dynamicid=79e7be9b77511b20cca7fce70a19b5f54ede23c7&amp;f=eyJiYXNlIjpbeyJ0eXBlIjoiUE9MWSIsInV1aWQiOiJiNjY3YWM1NmI0OGJhNGYwNTdiZCIsImxhYmVsIjoiSnViaWxlZSBIaWxscyIsImNsYXNzTmFtZSI6InNlYXJjaC1lbnRpdHkifV0sInYiOjIsInF2X3Jlc2FsZV9pZCI6bnVsbCwicXZfcHJvamVjdF9pZCI6IjEzNDM5NSJ9" TargetMode="External"/><Relationship Id="rId4" Type="http://schemas.openxmlformats.org/officeDocument/2006/relationships/hyperlink" Target="https://housing.com/in/buy/search/projects/202167?utm_source=nestoria&amp;utm_medium=referral&amp;utm_campaign=np_platinum&amp;mktg=true&amp;utm_term=202167&amp;utm_content=Budigere%20Cross&amp;utm_dynamicid=3bb538e49fd3a704f6efc2e3c3947cce80231f70&amp;f=eyJiYXNlIjpbeyJ0eXBlIjoiUE9MWSIsInV1aWQiOiI4M2UyY2IyNmMyNGIzYjM5MjY0YSIsImxhYmVsIjoiQnVkaWdlcmUgQ3Jvc3MiLCJjbGFzc05hbWUiOiJzZWFyY2gtZW50aXR5In1dLCJ2IjoyLCJxdl9yZXNhbGVfaWQiOm51bGwsInF2X3Byb2plY3RfaWQiOiIyMDIxNjcifQ%3D%3D" TargetMode="External"/><Relationship Id="rId9" Type="http://schemas.openxmlformats.org/officeDocument/2006/relationships/hyperlink" Target="https://www.homeonline.com/sale/residential_plot-greater_mohali-chandigarh/MJCPU8R/srchdet/?utm_source=Trovit&amp;amp;utm_medium=trovit_organic&amp;amp;utm_campaign=trovit_sale" TargetMode="External"/><Relationship Id="rId14" Type="http://schemas.openxmlformats.org/officeDocument/2006/relationships/hyperlink" Target="https://www.makaan.com/dehradun/builder-uttarakhand-properties-turner-road-in-isbt-turner-road-8976566/1320-sqft-plot?utm_source=Mitula&amp;utm_medium=Referral&amp;utm_campaign=TA2_Buy" TargetMode="External"/><Relationship Id="rId22" Type="http://schemas.openxmlformats.org/officeDocument/2006/relationships/hyperlink" Target="https://property.mitula.in/detalle/740/2800096553264321760/3/1/land-imphal?page=1&amp;pos=3&amp;t_sec=1&amp;t_or=2&amp;t_pvid=af3758c3-5eec-4d81-ad90-8909bd926739" TargetMode="External"/><Relationship Id="rId27" Type="http://schemas.openxmlformats.org/officeDocument/2006/relationships/hyperlink" Target="https://housing.com/in/buy/search/projects/202232?utm_source=nestoria&amp;utm_medium=referral&amp;utm_campaign=np_platinum&amp;mktg=true&amp;utm_term=202232&amp;utm_content=Rasapunja&amp;utm_dynamicid=5e9fb5b4d40923f97371badabe4d46d0155c1e00&amp;f=eyJiYXNlIjpbeyJ0eXBlIjoiUE9MWSIsInV1aWQiOiI5YWQxN2E4NGYyYTcwN2Q5ZDgzNCIsImxhYmVsIjoiUmFzYXB1bmphIiwiY2xhc3NOYW1lIjoic2VhcmNoLWVudGl0eSJ9XSwidiI6MiwicXZfcmVzYWxlX2lkIjpudWxsLCJxdl9wcm9qZWN0X2lkIjoiMjAyMjMyIn0%3D" TargetMode="External"/><Relationship Id="rId30" Type="http://schemas.openxmlformats.org/officeDocument/2006/relationships/hyperlink" Target="https://www.makaan.com/lucknow/emaar-india-gomti-greens-in-gomti-nagar-8816646/2160-sqft-plot?utm_source=Mitula&amp;utm_medium=Referral&amp;utm_campaign=TA1_Buy" TargetMode="External"/><Relationship Id="rId35" Type="http://schemas.openxmlformats.org/officeDocument/2006/relationships/hyperlink" Target="https://www.magicbricks.com/propertyDetails/50-Sq-yrd-Residential-Plot-FOR-Sale-Najafgarh-in-New-Delhi&amp;id=4d423433323431353535" TargetMode="External"/><Relationship Id="rId43" Type="http://schemas.openxmlformats.org/officeDocument/2006/relationships/hyperlink" Target="https://www.magicbricks.com/propertyDetails/2066-Sq-ft-Residential-Plot-FOR-Sale-Dadar-in-Mumbai&amp;id=4d423436333534333237" TargetMode="External"/><Relationship Id="rId48" Type="http://schemas.openxmlformats.org/officeDocument/2006/relationships/hyperlink" Target="https://www.magicbricks.com/propertyDetails/2500-Sq-ft-Residential-Plot-FOR-Sale-Boring-Road-in-Patna&amp;id=4d423436383139323931" TargetMode="External"/><Relationship Id="rId56" Type="http://schemas.openxmlformats.org/officeDocument/2006/relationships/hyperlink" Target="https://www.magicbricks.com/propertyDetails/1000-Sq-ft-Residential-Plot-FOR-Sale-Sarona-in-Raipur-r2&amp;id=4d423430393436313731" TargetMode="External"/><Relationship Id="rId64" Type="http://schemas.openxmlformats.org/officeDocument/2006/relationships/hyperlink" Target="https://www.magicbricks.com/propertyDetails/1-Cent-Residential-Plot-FOR-Sale-Sreekaryam-in-Trivandrum&amp;id=4d423435333432353935" TargetMode="External"/><Relationship Id="rId69" Type="http://schemas.openxmlformats.org/officeDocument/2006/relationships/hyperlink" Target="https://www.magicbricks.com/propertyDetails/134-Sq-yrd-Residential-Plot-FOR-Sale-Nandiyal-in-Kurnool&amp;id=4d423436383639373733" TargetMode="External"/><Relationship Id="rId77" Type="http://schemas.openxmlformats.org/officeDocument/2006/relationships/hyperlink" Target="https://www.magicbricks.com/propertyDetails/1260-Sq-ft-Residential-Plot-FOR-Sale-Kalia-Colony-in-Jalandhar&amp;id=4d423435313135353437" TargetMode="External"/><Relationship Id="rId8" Type="http://schemas.openxmlformats.org/officeDocument/2006/relationships/hyperlink" Target="https://www.makaan.com/bhubaneswar/builder-project-in-patharagadia-8985369/1500-sqft-plot?utm_source=Mitula&amp;utm_medium=Referral&amp;utm_campaign=TA2_Buy" TargetMode="External"/><Relationship Id="rId51" Type="http://schemas.openxmlformats.org/officeDocument/2006/relationships/hyperlink" Target="https://www.magicbricks.com/propertyDetails/821-Sq-ft-Residential-Plot-FOR-Sale-Anisabad-in-Patna&amp;id=4d423436353936343139" TargetMode="External"/><Relationship Id="rId72" Type="http://schemas.openxmlformats.org/officeDocument/2006/relationships/hyperlink" Target="https://www.magicbricks.com/propertyDetails/1250-Sq-ft-Residential-Plot-FOR-Sale-Padegaon-in-Aurangabad&amp;id=4d423434373536373335" TargetMode="External"/><Relationship Id="rId80" Type="http://schemas.openxmlformats.org/officeDocument/2006/relationships/hyperlink" Target="https://www.magicbricks.com/propertyDetails/2-Kottah-Residential-Plot-FOR-Sale-Dolabari-in-Tezpur&amp;id=4d423430363631373033" TargetMode="External"/><Relationship Id="rId85" Type="http://schemas.openxmlformats.org/officeDocument/2006/relationships/hyperlink" Target="https://property.mitula.in/detalle/740/3530109569418830354/10/1/land-agricultural-jalandhar?page=1&amp;pos=10&amp;t_sec=76&amp;t_or=2&amp;t_pvid=c429f439-f7a3-4f9d-9d54-db5c0c47656b" TargetMode="External"/><Relationship Id="rId3" Type="http://schemas.openxmlformats.org/officeDocument/2006/relationships/hyperlink" Target="https://roofandfloor.thehindu.com/bangalore/north-gardens-nandi-hills-road/pdp-1j9t/sclite?utm_source=nestoria&amp;utm_medium=affiliate&amp;utm_campaign=premium-listings" TargetMode="External"/><Relationship Id="rId12" Type="http://schemas.openxmlformats.org/officeDocument/2006/relationships/hyperlink" Target="https://housing.com/in/buy/search/projects/68646?utm_source=nestoria&amp;utm_medium=referral&amp;utm_campaign=np_platinum&amp;mktg=true&amp;utm_term=68646&amp;utm_content=Kundrathur&amp;utm_dynamicid=cf97d22c6ecdf73f7d648cdabfd417b4d8f2c8a8&amp;f=eyJiYXNlIjpbeyJ0eXBlIjoiUE9MWSIsInV1aWQiOiJlODExMTIxMzA4OTEzZTJmNTM4NyIsImxhYmVsIjoiS3VuZHJhdGh1ciIsImNsYXNzTmFtZSI6InNlYXJjaC1lbnRpdHkifV0sInYiOjIsInF2X3Jlc2FsZV9pZCI6bnVsbCwicXZfcHJvamVjdF9pZCI6IjY4NjQ2In0%3D" TargetMode="External"/><Relationship Id="rId17" Type="http://schemas.openxmlformats.org/officeDocument/2006/relationships/hyperlink" Target="https://www.squareyards.com/resale-200-sq-yd-plot-in-plotting-scheme/638325?utm_source=property.mitula.in&amp;utm_medium=referral" TargetMode="External"/><Relationship Id="rId25" Type="http://schemas.openxmlformats.org/officeDocument/2006/relationships/hyperlink" Target="https://property.mitula.in/detalle/102982/9100021529673843947/2/1/land-kohima?page=1&amp;pos=2&amp;t_sec=1&amp;t_or=2&amp;t_pvid=d10cf371-39e4-4de2-ab53-83395250722b" TargetMode="External"/><Relationship Id="rId33" Type="http://schemas.openxmlformats.org/officeDocument/2006/relationships/hyperlink" Target="https://www.makaan.com/lucknow/builder-project-in-sultanpur-road-near-shaheed-pa-9015044/1000-sqft-plot?utm_source=Mitula&amp;utm_medium=Referral&amp;utm_campaign=TA2_Buy" TargetMode="External"/><Relationship Id="rId38" Type="http://schemas.openxmlformats.org/officeDocument/2006/relationships/hyperlink" Target="https://www.magicbricks.com/propertyDetails/325-Sq-yrd-Residential-Plot-FOR-Sale-Defence-Colony-in-New-Delhi-r4&amp;id=4d423431323738303537" TargetMode="External"/><Relationship Id="rId46" Type="http://schemas.openxmlformats.org/officeDocument/2006/relationships/hyperlink" Target="https://www.magicbricks.com/propertyDetails/3140-Sq-m-Residential-Plot-FOR-Sale-Porvorim-in-Goa&amp;id=4d423434373134323035" TargetMode="External"/><Relationship Id="rId59" Type="http://schemas.openxmlformats.org/officeDocument/2006/relationships/hyperlink" Target="https://www.magicbricks.com/propertyDetails/436-Sq-ft-Residential-Plot-FOR-Sale-Daladili-in-Ranchi&amp;id=4d423436333330353739" TargetMode="External"/><Relationship Id="rId67" Type="http://schemas.openxmlformats.org/officeDocument/2006/relationships/hyperlink" Target="https://www.magicbricks.com/propertyDetails/9000-Sq-yrd-Residential-Plot-FOR-Sale-Poojapura-in-Trivandrum&amp;id=4d423435353936383231" TargetMode="External"/><Relationship Id="rId20" Type="http://schemas.openxmlformats.org/officeDocument/2006/relationships/hyperlink" Target="https://housing.com/in/buy/search/projects/134395?utm_source=nestoria&amp;utm_medium=referral&amp;utm_campaign=np_platinum&amp;mktg=true&amp;utm_term=134395&amp;utm_content=Jubilee%20Hills&amp;utm_dynamicid=79e7be9b77511b20cca7fce70a19b5f54ede23c7&amp;f=eyJiYXNlIjpbeyJ0eXBlIjoiUE9MWSIsInV1aWQiOiJiNjY3YWM1NmI0OGJhNGYwNTdiZCIsImxhYmVsIjoiSnViaWxlZSBIaWxscyIsImNsYXNzTmFtZSI6InNlYXJjaC1lbnRpdHkifV0sInYiOjIsInF2X3Jlc2FsZV9pZCI6bnVsbCwicXZfcHJvamVjdF9pZCI6IjEzNDM5NSJ9" TargetMode="External"/><Relationship Id="rId41" Type="http://schemas.openxmlformats.org/officeDocument/2006/relationships/hyperlink" Target="https://www.magicbricks.com/propertyDetails/14000-Sq-ft-Residential-Plot-FOR-Sale-Madh-in-Mumbai&amp;id=4d423435353535383533" TargetMode="External"/><Relationship Id="rId54" Type="http://schemas.openxmlformats.org/officeDocument/2006/relationships/hyperlink" Target="https://www.magicbricks.com/propertyDetails/8500-Sq-ft-Residential-Plot-FOR-Sale-Auroville-in-Pondicherry&amp;id=4d423436333331353937" TargetMode="External"/><Relationship Id="rId62" Type="http://schemas.openxmlformats.org/officeDocument/2006/relationships/hyperlink" Target="https://www.magicbricks.com/propertyDetails/1250-Sq-yrd-Residential-Plot-FOR-Sale-Kathal-More-in-Ranchi&amp;id=4d423435343533313835" TargetMode="External"/><Relationship Id="rId70" Type="http://schemas.openxmlformats.org/officeDocument/2006/relationships/hyperlink" Target="https://www.magicbricks.com/propertyDetails/1210-Sq-ft-Residential-Plot-FOR-Sale-Barnala-road-in-Sirsa&amp;id=4d423435393236373033" TargetMode="External"/><Relationship Id="rId75" Type="http://schemas.openxmlformats.org/officeDocument/2006/relationships/hyperlink" Target="https://www.magicbricks.com/propertyDetails/6000-Sq-ft-Residential-Plot-FOR-Sale-Garkheda-in-Aurangabad&amp;id=4d423436323238323431" TargetMode="External"/><Relationship Id="rId83" Type="http://schemas.openxmlformats.org/officeDocument/2006/relationships/hyperlink" Target="https://www.makaan.com/dadra-and-nagar-haveli/builder-silvassa-road-in-naroli-road-7885425/1200-sqft-plot?utm_source=Mitula&amp;utm_medium=Referral&amp;utm_campaign=TA2_Buy" TargetMode="External"/><Relationship Id="rId1" Type="http://schemas.openxmlformats.org/officeDocument/2006/relationships/hyperlink" Target="https://www.makaan.com/agartala/builder-project-in-dhaleswar-8199861/1728-sqft-plot?utm_source=Mitula&amp;utm_medium=Referral&amp;utm_campaign=TA2_Buy" TargetMode="External"/><Relationship Id="rId6" Type="http://schemas.openxmlformats.org/officeDocument/2006/relationships/hyperlink" Target="https://www.commonfloor.com/listing/plot-for-sale-in-koramangala-bangalore-at-plots-in-koramangala/6ti2cgckxpphvwgx?view=one&amp;pop=20&amp;f=nestoria_priority_local&amp;utm_source=www.nestoria.in&amp;utm_medium=referral&amp;utm_campaign=cf-priority-local" TargetMode="External"/><Relationship Id="rId15" Type="http://schemas.openxmlformats.org/officeDocument/2006/relationships/hyperlink" Target="https://www.makaan.com/dehradun/builder-project-in-badowala-8327448/900-sqft-plot?utm_source=Mitula&amp;utm_medium=Referral&amp;utm_campaign=TA1_Buy" TargetMode="External"/><Relationship Id="rId23" Type="http://schemas.openxmlformats.org/officeDocument/2006/relationships/hyperlink" Target="https://property.mitula.in/detalle/740/4820096555852483578/1/1/land-imphal?page=1&amp;pos=1&amp;t_sec=1&amp;t_or=2&amp;t_pvid=af3758c3-5eec-4d81-ad90-8909bd926739" TargetMode="External"/><Relationship Id="rId28" Type="http://schemas.openxmlformats.org/officeDocument/2006/relationships/hyperlink" Target="https://housing.com/in/buy/search/projects/198336?utm_source=nestoria&amp;utm_medium=referral&amp;utm_campaign=np_platinum&amp;mktg=true&amp;utm_term=198336&amp;utm_content=Joka&amp;utm_dynamicid=12acc604cd5d896a34587a278d6061149815b08d&amp;f=eyJiYXNlIjpbeyJ0eXBlIjoiUE9MWSIsInV1aWQiOiI2YWMxZjIyMWQxNDMzZmE4ODM2MiIsImxhYmVsIjoiSm9rYSIsImNsYXNzTmFtZSI6InNlYXJjaC1lbnRpdHkifV0sInYiOjIsInF2X3Jlc2FsZV9pZCI6bnVsbCwicXZfcHJvamVjdF9pZCI6IjE5ODMzNiJ9" TargetMode="External"/><Relationship Id="rId36" Type="http://schemas.openxmlformats.org/officeDocument/2006/relationships/hyperlink" Target="https://www.magicbricks.com/propertyDetails/450-Sq-ft-Residential-Plot-FOR-Sale-Sarita-Vihar-in-New-Delhi&amp;id=4d423434383235333033" TargetMode="External"/><Relationship Id="rId49" Type="http://schemas.openxmlformats.org/officeDocument/2006/relationships/hyperlink" Target="https://www.magicbricks.com/propertyDetails/3600-Sq-ft-Residential-Plot-FOR-Sale-Bailey-Road-in-Patna&amp;id=4d423436373136373331" TargetMode="External"/><Relationship Id="rId57" Type="http://schemas.openxmlformats.org/officeDocument/2006/relationships/hyperlink" Target="https://www.magicbricks.com/propertyDetails/1500-Sq-ft-Residential-Plot-FOR-Sale-Boria-Kalan-in-Raipur-r1&amp;id=4d423239303639343033" TargetMode="External"/><Relationship Id="rId10" Type="http://schemas.openxmlformats.org/officeDocument/2006/relationships/hyperlink" Target="https://www.homeonline.com/sale/residential_plot-mullanpur-chandigarh/GXPJSGG/srchdet/?utm_source=Trovit&amp;amp;utm_medium=trovit_organic&amp;amp;utm_campaign=trovit_sale" TargetMode="External"/><Relationship Id="rId31" Type="http://schemas.openxmlformats.org/officeDocument/2006/relationships/hyperlink" Target="https://www.makaan.com/lucknow/dlf-garden-city-in-nh24b-8575544/2700-sqft-plot?utm_source=Mitula&amp;utm_medium=Referral&amp;utm_campaign=TA1_Buy" TargetMode="External"/><Relationship Id="rId44" Type="http://schemas.openxmlformats.org/officeDocument/2006/relationships/hyperlink" Target="https://www.magicbricks.com/propertyDetails/1270-Sq-m-Residential-Plot-FOR-Sale-Jairam-Nagar-in-Goa&amp;id=4d423434353139393037" TargetMode="External"/><Relationship Id="rId52" Type="http://schemas.openxmlformats.org/officeDocument/2006/relationships/hyperlink" Target="https://www.magicbricks.com/propertyDetails/1800-Sq-ft-Residential-Plot-FOR-Sale-Reddiarpalayam-in-Pondicherry&amp;id=4d423435363031343337" TargetMode="External"/><Relationship Id="rId60" Type="http://schemas.openxmlformats.org/officeDocument/2006/relationships/hyperlink" Target="https://www.magicbricks.com/propertyDetails/2175-Sq-ft-Residential-Plot-FOR-Sale-Hatiya-in-Ranchi-r1&amp;id=4d423433303834393835" TargetMode="External"/><Relationship Id="rId65" Type="http://schemas.openxmlformats.org/officeDocument/2006/relationships/hyperlink" Target="https://www.magicbricks.com/propertyDetails/4-Cent-Residential-Plot-FOR-Sale-Kazhakkottam-in-Trivandrum&amp;id=4d423435373639373033" TargetMode="External"/><Relationship Id="rId73" Type="http://schemas.openxmlformats.org/officeDocument/2006/relationships/hyperlink" Target="https://www.magicbricks.com/propertyDetails/3310-Sq-ft-Residential-Plot-FOR-Sale-Jalna-Road-in-Aurangabad&amp;id=4d423436373136353637" TargetMode="External"/><Relationship Id="rId78" Type="http://schemas.openxmlformats.org/officeDocument/2006/relationships/hyperlink" Target="https://www.magicbricks.com/propertyDetails/10-Marla-Residential-Plot-FOR-Sale-Jalandhar-Cantt-in-Jalandhar&amp;id=4d423433303638323431" TargetMode="External"/><Relationship Id="rId81" Type="http://schemas.openxmlformats.org/officeDocument/2006/relationships/hyperlink" Target="https://www.magicbricks.com/propertyDetails/6994-Sq-ft-Residential-Plot-FOR-Sale-Dolabari-in-Tezpur&amp;id=4d423435373939393831" TargetMode="External"/><Relationship Id="rId86" Type="http://schemas.openxmlformats.org/officeDocument/2006/relationships/hyperlink" Target="https://property.mitula.in/detalle/740/8520096551794496385/12/1/land-agricultural-jorhat?page=1&amp;pos=12&amp;t_sec=76&amp;t_or=2&amp;t_pvid=68478b8d-6da4-45b7-8dca-28dbeaef623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cpharyana.gov.in/Development_Plan/Bhiwani/Bhiwani/FDP_2025/Bhiwani_FDP_2025_Exp_Note.pdf" TargetMode="External"/><Relationship Id="rId3" Type="http://schemas.openxmlformats.org/officeDocument/2006/relationships/hyperlink" Target="https://www.kmcgov.in/KMCPortal/jsp/KMCParksGardens1.jsp" TargetMode="External"/><Relationship Id="rId7" Type="http://schemas.openxmlformats.org/officeDocument/2006/relationships/hyperlink" Target="http://www.shimlamc.org/MC/admin/Pages/page/CDPChap7.aspx" TargetMode="External"/><Relationship Id="rId2" Type="http://schemas.openxmlformats.org/officeDocument/2006/relationships/hyperlink" Target="http://atlasofurbanexpansion.org/cities/view/Jaipur" TargetMode="External"/><Relationship Id="rId1" Type="http://schemas.openxmlformats.org/officeDocument/2006/relationships/hyperlink" Target="http://www.atlasofurbanexpansion.org/cities/view/Hyderabad" TargetMode="External"/><Relationship Id="rId6" Type="http://schemas.openxmlformats.org/officeDocument/2006/relationships/hyperlink" Target="https://smartranchi.jharkhand.gov.in/" TargetMode="External"/><Relationship Id="rId5" Type="http://schemas.openxmlformats.org/officeDocument/2006/relationships/hyperlink" Target="https://tcpd.py.gov.in/master-plans" TargetMode="External"/><Relationship Id="rId4" Type="http://schemas.openxmlformats.org/officeDocument/2006/relationships/hyperlink" Target="https://www.moneycontrol.com/news/india/mumbai-development-plan-heres-how-new-development-plan-transform-mumbai-city-2342567.html" TargetMode="External"/><Relationship Id="rId9" Type="http://schemas.openxmlformats.org/officeDocument/2006/relationships/hyperlink" Target="http://www.jda.gov.in/wp-content/uploads/2016/03/Report-Master-Plan-Jalandhar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du.gov.co/Archivos_Portal/2019/Transparencia/Presupuesto/Ejecuciones%20Presupuestales/01_Enero/PRESUPUESTO_IDU_VIGENCIA_2019.pdf" TargetMode="External"/><Relationship Id="rId1" Type="http://schemas.openxmlformats.org/officeDocument/2006/relationships/hyperlink" Target="https://unhabitat.org/wp-content/uploads/2015/10/Global%20Public%20Space%20Toolkit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indikosh.com/city/708736/kurno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D8"/>
  <sheetViews>
    <sheetView zoomScale="70" zoomScaleNormal="70" workbookViewId="0">
      <selection activeCell="B8" sqref="B8"/>
    </sheetView>
  </sheetViews>
  <sheetFormatPr defaultRowHeight="14.5" x14ac:dyDescent="0.35"/>
  <cols>
    <col min="1" max="1" width="5.7265625" style="3" bestFit="1" customWidth="1"/>
    <col min="2" max="2" width="74.26953125" bestFit="1" customWidth="1"/>
    <col min="3" max="3" width="25.7265625" customWidth="1"/>
    <col min="4" max="4" width="75.453125" bestFit="1" customWidth="1"/>
  </cols>
  <sheetData>
    <row r="1" spans="1:4" s="2" customFormat="1" x14ac:dyDescent="0.35">
      <c r="A1" s="5" t="s">
        <v>12</v>
      </c>
      <c r="B1" s="6" t="s">
        <v>13</v>
      </c>
      <c r="C1" s="6" t="s">
        <v>18</v>
      </c>
      <c r="D1" s="2" t="s">
        <v>19</v>
      </c>
    </row>
    <row r="2" spans="1:4" x14ac:dyDescent="0.35">
      <c r="A2" s="198" t="s">
        <v>11</v>
      </c>
      <c r="B2" s="198"/>
      <c r="C2" s="198"/>
    </row>
    <row r="3" spans="1:4" x14ac:dyDescent="0.35">
      <c r="A3" s="3">
        <v>1</v>
      </c>
      <c r="B3" t="s">
        <v>36</v>
      </c>
      <c r="C3" s="1">
        <f>'Cost Calculations'!K508</f>
        <v>127658470990.12506</v>
      </c>
    </row>
    <row r="4" spans="1:4" x14ac:dyDescent="0.35">
      <c r="A4" s="3">
        <v>2</v>
      </c>
      <c r="B4" t="s">
        <v>22</v>
      </c>
      <c r="C4" s="1">
        <f>'Cost Calculations'!L508</f>
        <v>18743538593.287079</v>
      </c>
    </row>
    <row r="5" spans="1:4" x14ac:dyDescent="0.35">
      <c r="A5" s="198" t="s">
        <v>15</v>
      </c>
      <c r="B5" s="198"/>
      <c r="C5" s="198"/>
    </row>
    <row r="6" spans="1:4" x14ac:dyDescent="0.35">
      <c r="A6" s="3">
        <v>1</v>
      </c>
      <c r="B6" t="s">
        <v>21</v>
      </c>
      <c r="C6" s="1">
        <v>0</v>
      </c>
    </row>
    <row r="7" spans="1:4" ht="15" thickBot="1" x14ac:dyDescent="0.4">
      <c r="A7" s="199" t="s">
        <v>37</v>
      </c>
      <c r="B7" s="199"/>
      <c r="C7" s="8">
        <f>SUM(C3,C4)</f>
        <v>146402009583.41214</v>
      </c>
    </row>
    <row r="8" spans="1:4" ht="15" thickTop="1" x14ac:dyDescent="0.35"/>
  </sheetData>
  <mergeCells count="3">
    <mergeCell ref="A2:C2"/>
    <mergeCell ref="A5:C5"/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L568"/>
  <sheetViews>
    <sheetView tabSelected="1" zoomScale="115" zoomScaleNormal="11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RowHeight="14.5" x14ac:dyDescent="0.35"/>
  <cols>
    <col min="1" max="1" width="3.453125" style="88" customWidth="1"/>
    <col min="2" max="2" width="20.1796875" style="87" bestFit="1" customWidth="1"/>
    <col min="3" max="3" width="5.1796875" style="88" bestFit="1" customWidth="1"/>
    <col min="4" max="4" width="11.7265625" style="95" bestFit="1" customWidth="1"/>
    <col min="5" max="5" width="9.26953125" style="95" bestFit="1" customWidth="1"/>
    <col min="6" max="6" width="11.7265625" bestFit="1" customWidth="1"/>
    <col min="7" max="7" width="19.54296875" customWidth="1"/>
    <col min="8" max="8" width="18" bestFit="1" customWidth="1"/>
    <col min="9" max="9" width="19.54296875" customWidth="1"/>
    <col min="10" max="10" width="19.54296875" style="1" customWidth="1"/>
    <col min="11" max="11" width="20.1796875" bestFit="1" customWidth="1"/>
    <col min="12" max="12" width="33.36328125" bestFit="1" customWidth="1"/>
  </cols>
  <sheetData>
    <row r="1" spans="1:12" x14ac:dyDescent="0.35">
      <c r="D1" s="89"/>
      <c r="E1" s="89"/>
      <c r="G1" s="200" t="s">
        <v>23</v>
      </c>
      <c r="H1" s="200"/>
      <c r="I1" s="200"/>
      <c r="J1" s="200"/>
      <c r="K1" s="200"/>
      <c r="L1" s="200"/>
    </row>
    <row r="2" spans="1:12" s="4" customFormat="1" ht="34.5" customHeight="1" x14ac:dyDescent="0.35">
      <c r="A2" s="88"/>
      <c r="B2" s="87"/>
      <c r="C2" s="88"/>
      <c r="D2" s="89"/>
      <c r="E2" s="89"/>
      <c r="G2" s="201" t="s">
        <v>32</v>
      </c>
      <c r="H2" s="201"/>
      <c r="I2" s="201"/>
      <c r="J2" s="201"/>
      <c r="K2" s="201"/>
      <c r="L2" s="24" t="s">
        <v>20</v>
      </c>
    </row>
    <row r="3" spans="1:12" s="7" customFormat="1" ht="60" customHeight="1" x14ac:dyDescent="0.35">
      <c r="A3" s="38" t="s">
        <v>16</v>
      </c>
      <c r="B3" s="38" t="s">
        <v>1</v>
      </c>
      <c r="C3" s="38" t="s">
        <v>0</v>
      </c>
      <c r="D3" s="90" t="s">
        <v>102</v>
      </c>
      <c r="E3" s="90" t="s">
        <v>108</v>
      </c>
      <c r="F3" s="38" t="s">
        <v>129</v>
      </c>
      <c r="G3" s="25" t="s">
        <v>33</v>
      </c>
      <c r="H3" s="25" t="s">
        <v>34</v>
      </c>
      <c r="I3" s="25" t="s">
        <v>35</v>
      </c>
      <c r="J3" s="196" t="s">
        <v>117</v>
      </c>
      <c r="K3" s="26" t="s">
        <v>17</v>
      </c>
      <c r="L3" s="26" t="s">
        <v>17</v>
      </c>
    </row>
    <row r="4" spans="1:12" x14ac:dyDescent="0.35">
      <c r="A4" s="91">
        <v>1</v>
      </c>
      <c r="B4" s="87" t="s">
        <v>59</v>
      </c>
      <c r="C4" s="88">
        <v>2019</v>
      </c>
      <c r="D4" s="92">
        <f>Population!D2</f>
        <v>482442.94573535857</v>
      </c>
      <c r="E4" s="92" t="str">
        <f>IF(D4&lt;100000,"Small",IF(D4&lt;1000000,"Medium","Large"))</f>
        <v>Medium</v>
      </c>
      <c r="F4" s="119">
        <f>Area!E2</f>
        <v>102.60768729895828</v>
      </c>
      <c r="G4" s="27">
        <f>D4*Variables!$C$9</f>
        <v>4.3419865116182272</v>
      </c>
      <c r="H4" s="212">
        <f>'Existing Open Space'!C2</f>
        <v>8.5500000000000007E-2</v>
      </c>
      <c r="I4" s="28">
        <f>IF(G4-H4&gt;0,G4-H4,0)</f>
        <v>4.2564865116182276</v>
      </c>
      <c r="J4" s="197">
        <f>VLOOKUP(A4,'Land costs'!$A$2:$F$96,5,FALSE)</f>
        <v>349411907.96390015</v>
      </c>
      <c r="K4" s="29">
        <f>I4*(J4+Variables!$C$10*Variables!$C$5)</f>
        <v>1506199995.4268906</v>
      </c>
      <c r="L4" s="29">
        <f>(G4*Variables!$C$11+D4*Variables!$C$12)*Variables!$C$5</f>
        <v>7876339.455497724</v>
      </c>
    </row>
    <row r="5" spans="1:12" x14ac:dyDescent="0.35">
      <c r="A5" s="91">
        <v>2</v>
      </c>
      <c r="B5" s="87" t="s">
        <v>60</v>
      </c>
      <c r="C5" s="88">
        <v>2019</v>
      </c>
      <c r="D5" s="92">
        <f>Population!D3</f>
        <v>353887.65953811951</v>
      </c>
      <c r="E5" s="92" t="str">
        <f t="shared" ref="E5:E68" si="0">IF(D5&lt;100000,"Small",IF(D5&lt;1000000,"Medium","Large"))</f>
        <v>Medium</v>
      </c>
      <c r="F5" s="119">
        <f>Area!E3</f>
        <v>616.99622494242021</v>
      </c>
      <c r="G5" s="27">
        <f>D5*Variables!$C$9</f>
        <v>3.1849889358430756</v>
      </c>
      <c r="H5" s="212">
        <f>'Existing Open Space'!C3</f>
        <v>12.956920723790825</v>
      </c>
      <c r="I5" s="28">
        <f t="shared" ref="I5:I68" si="1">IF(G5-H5&gt;0,G5-H5,0)</f>
        <v>0</v>
      </c>
      <c r="J5" s="197">
        <f>VLOOKUP(A5,'Land costs'!$A$2:$F$96,5,FALSE)</f>
        <v>207178319.55590102</v>
      </c>
      <c r="K5" s="29">
        <f>I5*(J5+Variables!$C$10*Variables!$C$5)</f>
        <v>0</v>
      </c>
      <c r="L5" s="29">
        <f>(G5*Variables!$C$11+D5*Variables!$C$12)*Variables!$C$5</f>
        <v>5777552.2686631139</v>
      </c>
    </row>
    <row r="6" spans="1:12" x14ac:dyDescent="0.35">
      <c r="A6" s="91">
        <v>3</v>
      </c>
      <c r="B6" s="87" t="s">
        <v>61</v>
      </c>
      <c r="C6" s="88">
        <v>2019</v>
      </c>
      <c r="D6" s="92">
        <f>Population!D4</f>
        <v>10183876.760812402</v>
      </c>
      <c r="E6" s="92" t="str">
        <f t="shared" si="0"/>
        <v>Large</v>
      </c>
      <c r="F6" s="119">
        <f>Area!E4</f>
        <v>727.7045191334015</v>
      </c>
      <c r="G6" s="27">
        <f>D6*Variables!$C$9</f>
        <v>91.65489084731162</v>
      </c>
      <c r="H6" s="212">
        <f>'Existing Open Space'!C4</f>
        <v>51.448709502731482</v>
      </c>
      <c r="I6" s="28">
        <f t="shared" si="1"/>
        <v>40.206181344580138</v>
      </c>
      <c r="J6" s="197">
        <f>VLOOKUP(A6,'Land costs'!$A$2:$F$96,5,FALSE)</f>
        <v>623490608.57078338</v>
      </c>
      <c r="K6" s="29">
        <f>I6*(J6+Variables!$C$10*Variables!$C$5)</f>
        <v>25247014232.333782</v>
      </c>
      <c r="L6" s="29">
        <f>(G6*Variables!$C$11+D6*Variables!$C$12)*Variables!$C$5</f>
        <v>166261463.76511171</v>
      </c>
    </row>
    <row r="7" spans="1:12" x14ac:dyDescent="0.35">
      <c r="A7" s="91">
        <v>4</v>
      </c>
      <c r="B7" s="87" t="s">
        <v>62</v>
      </c>
      <c r="C7" s="88">
        <v>2019</v>
      </c>
      <c r="D7" s="92">
        <f>Population!D5</f>
        <v>2168822.2842630199</v>
      </c>
      <c r="E7" s="92" t="str">
        <f t="shared" si="0"/>
        <v>Large</v>
      </c>
      <c r="F7" s="119">
        <f>Area!E5</f>
        <v>402.33014230381013</v>
      </c>
      <c r="G7" s="27">
        <f>D7*Variables!$C$9</f>
        <v>19.519400558367181</v>
      </c>
      <c r="H7" s="212">
        <f>'Existing Open Space'!C5</f>
        <v>100.58253557595253</v>
      </c>
      <c r="I7" s="28">
        <f t="shared" si="1"/>
        <v>0</v>
      </c>
      <c r="J7" s="197">
        <f>VLOOKUP(A7,'Land costs'!$A$2:$F$96,5,FALSE)</f>
        <v>258664564.88983455</v>
      </c>
      <c r="K7" s="29">
        <f>I7*(J7+Variables!$C$10*Variables!$C$5)</f>
        <v>0</v>
      </c>
      <c r="L7" s="29">
        <f>(G7*Variables!$C$11+D7*Variables!$C$12)*Variables!$C$5</f>
        <v>35408084.376621753</v>
      </c>
    </row>
    <row r="8" spans="1:12" x14ac:dyDescent="0.35">
      <c r="A8" s="91">
        <v>5</v>
      </c>
      <c r="B8" s="87" t="s">
        <v>63</v>
      </c>
      <c r="C8" s="88">
        <v>2019</v>
      </c>
      <c r="D8" s="92">
        <f>Population!D6</f>
        <v>1017223.1910658216</v>
      </c>
      <c r="E8" s="92" t="str">
        <f t="shared" si="0"/>
        <v>Large</v>
      </c>
      <c r="F8" s="119">
        <f>Area!E6</f>
        <v>182.26365507051798</v>
      </c>
      <c r="G8" s="27">
        <f>D8*Variables!$C$9</f>
        <v>9.155008719592395</v>
      </c>
      <c r="H8" s="212">
        <f>'Existing Open Space'!C6</f>
        <v>5.5043623831296431</v>
      </c>
      <c r="I8" s="28">
        <f t="shared" si="1"/>
        <v>3.6506463364627519</v>
      </c>
      <c r="J8" s="197">
        <f>VLOOKUP(A8,'Land costs'!$A$2:$F$96,5,FALSE)</f>
        <v>258664564.88983455</v>
      </c>
      <c r="K8" s="29">
        <f>I8*(J8+Variables!$C$10*Variables!$C$5)</f>
        <v>960530981.28007483</v>
      </c>
      <c r="L8" s="29">
        <f>(G8*Variables!$C$11+D8*Variables!$C$12)*Variables!$C$5</f>
        <v>16607135.052263705</v>
      </c>
    </row>
    <row r="9" spans="1:12" x14ac:dyDescent="0.35">
      <c r="A9" s="91">
        <v>6</v>
      </c>
      <c r="B9" s="87" t="s">
        <v>64</v>
      </c>
      <c r="C9" s="88">
        <v>2019</v>
      </c>
      <c r="D9" s="92">
        <f>Population!D7</f>
        <v>1159765.5644964206</v>
      </c>
      <c r="E9" s="92" t="str">
        <f t="shared" si="0"/>
        <v>Large</v>
      </c>
      <c r="F9" s="211">
        <f>Area!E7</f>
        <v>157</v>
      </c>
      <c r="G9" s="27">
        <f>D9*Variables!$C$9</f>
        <v>10.437890080467785</v>
      </c>
      <c r="H9" s="212">
        <f>'Existing Open Space'!C7</f>
        <v>10.71</v>
      </c>
      <c r="I9" s="28">
        <f t="shared" si="1"/>
        <v>0</v>
      </c>
      <c r="J9" s="197">
        <f>VLOOKUP(A9,'Land costs'!$A$2:$F$96,5,FALSE)</f>
        <v>421303330.51817626</v>
      </c>
      <c r="K9" s="29">
        <f>I9*(J9+Variables!$C$10*Variables!$C$5)</f>
        <v>0</v>
      </c>
      <c r="L9" s="29">
        <f>(G9*Variables!$C$11+D9*Variables!$C$12)*Variables!$C$5</f>
        <v>18934274.727236949</v>
      </c>
    </row>
    <row r="10" spans="1:12" x14ac:dyDescent="0.35">
      <c r="A10" s="91">
        <v>7</v>
      </c>
      <c r="B10" s="87" t="s">
        <v>65</v>
      </c>
      <c r="C10" s="88">
        <v>2019</v>
      </c>
      <c r="D10" s="92">
        <f>Population!D8</f>
        <v>5604401.6412904728</v>
      </c>
      <c r="E10" s="92" t="str">
        <f t="shared" si="0"/>
        <v>Large</v>
      </c>
      <c r="F10" s="119">
        <f>Area!E8</f>
        <v>1063.879705152357</v>
      </c>
      <c r="G10" s="27">
        <f>D10*Variables!$C$9</f>
        <v>50.439614771614259</v>
      </c>
      <c r="H10" s="212">
        <f>'Existing Open Space'!C8</f>
        <v>32.54</v>
      </c>
      <c r="I10" s="28">
        <f t="shared" si="1"/>
        <v>17.89961477161426</v>
      </c>
      <c r="J10" s="197">
        <f>VLOOKUP(A10,'Land costs'!$A$2:$F$96,5,FALSE)</f>
        <v>368904372.20152247</v>
      </c>
      <c r="K10" s="29">
        <f>I10*(J10+Variables!$C$10*Variables!$C$5)</f>
        <v>6682863931.5839767</v>
      </c>
      <c r="L10" s="29">
        <f>(G10*Variables!$C$11+D10*Variables!$C$12)*Variables!$C$5</f>
        <v>91497181.504994586</v>
      </c>
    </row>
    <row r="11" spans="1:12" x14ac:dyDescent="0.35">
      <c r="A11" s="91">
        <v>8</v>
      </c>
      <c r="B11" s="87" t="s">
        <v>66</v>
      </c>
      <c r="C11" s="88">
        <v>2019</v>
      </c>
      <c r="D11" s="92">
        <f>Population!D9</f>
        <v>53408.312224510621</v>
      </c>
      <c r="E11" s="92" t="str">
        <f t="shared" si="0"/>
        <v>Small</v>
      </c>
      <c r="F11" s="119">
        <f>Area!E9</f>
        <v>149.86122750242589</v>
      </c>
      <c r="G11" s="27">
        <f>D11*Variables!$C$9</f>
        <v>0.48067481002059559</v>
      </c>
      <c r="H11" s="213">
        <f>'Existing Open Space'!C9</f>
        <v>0</v>
      </c>
      <c r="I11" s="28">
        <f t="shared" si="1"/>
        <v>0.48067481002059559</v>
      </c>
      <c r="J11" s="197">
        <f>VLOOKUP(A11,'Land costs'!$A$2:$F$96,5,FALSE)</f>
        <v>399734297.50693494</v>
      </c>
      <c r="K11" s="29">
        <f>I11*(J11+Variables!$C$10*Variables!$C$5)</f>
        <v>194280256.99265039</v>
      </c>
      <c r="L11" s="29">
        <f>(G11*Variables!$C$11+D11*Variables!$C$12)*Variables!$C$5</f>
        <v>871941.44000647543</v>
      </c>
    </row>
    <row r="12" spans="1:12" x14ac:dyDescent="0.35">
      <c r="A12" s="91">
        <v>9</v>
      </c>
      <c r="B12" s="87" t="s">
        <v>67</v>
      </c>
      <c r="C12" s="88">
        <v>2019</v>
      </c>
      <c r="D12" s="92">
        <f>Population!D10</f>
        <v>686965.35071162798</v>
      </c>
      <c r="E12" s="92" t="str">
        <f t="shared" si="0"/>
        <v>Medium</v>
      </c>
      <c r="F12" s="119">
        <f>Area!E10</f>
        <v>405.03034460115111</v>
      </c>
      <c r="G12" s="27">
        <f>D12*Variables!$C$9</f>
        <v>6.1826881564046516</v>
      </c>
      <c r="H12" s="212">
        <f>'Existing Open Space'!C10</f>
        <v>0.46500000000000002</v>
      </c>
      <c r="I12" s="28">
        <f t="shared" si="1"/>
        <v>5.7176881564046518</v>
      </c>
      <c r="J12" s="197">
        <f>VLOOKUP(A12,'Land costs'!$A$2:$F$96,5,FALSE)</f>
        <v>292630299.54426229</v>
      </c>
      <c r="K12" s="29">
        <f>I12*(J12+Variables!$C$10*Variables!$C$5)</f>
        <v>1698601169.0957658</v>
      </c>
      <c r="L12" s="29">
        <f>(G12*Variables!$C$11+D12*Variables!$C$12)*Variables!$C$5</f>
        <v>11215362.032338381</v>
      </c>
    </row>
    <row r="13" spans="1:12" x14ac:dyDescent="0.35">
      <c r="A13" s="91">
        <v>10</v>
      </c>
      <c r="B13" s="87" t="s">
        <v>68</v>
      </c>
      <c r="C13" s="88">
        <v>2019</v>
      </c>
      <c r="D13" s="92">
        <f>Population!D11</f>
        <v>637497.35184327734</v>
      </c>
      <c r="E13" s="92" t="str">
        <f t="shared" si="0"/>
        <v>Medium</v>
      </c>
      <c r="F13" s="211">
        <f>Area!E11</f>
        <v>120</v>
      </c>
      <c r="G13" s="27">
        <f>D13*Variables!$C$9</f>
        <v>5.737476166589496</v>
      </c>
      <c r="H13" s="212">
        <f>'Existing Open Space'!C11</f>
        <v>1.1399999999999999</v>
      </c>
      <c r="I13" s="28">
        <f t="shared" si="1"/>
        <v>4.5974761665894963</v>
      </c>
      <c r="J13" s="197">
        <f>VLOOKUP(A13,'Land costs'!$A$2:$F$96,5,FALSE)</f>
        <v>207178319.55590102</v>
      </c>
      <c r="K13" s="29">
        <f>I13*(J13+Variables!$C$10*Variables!$C$5)</f>
        <v>972947036.17923737</v>
      </c>
      <c r="L13" s="29">
        <f>(G13*Variables!$C$11+D13*Variables!$C$12)*Variables!$C$5</f>
        <v>10407749.951541092</v>
      </c>
    </row>
    <row r="14" spans="1:12" x14ac:dyDescent="0.35">
      <c r="A14" s="91">
        <v>11</v>
      </c>
      <c r="B14" s="87" t="s">
        <v>69</v>
      </c>
      <c r="C14" s="88">
        <v>2019</v>
      </c>
      <c r="D14" s="92">
        <f>Population!D12</f>
        <v>248657.05041305005</v>
      </c>
      <c r="E14" s="92" t="str">
        <f t="shared" si="0"/>
        <v>Medium</v>
      </c>
      <c r="F14" s="119">
        <f>Area!E12</f>
        <v>153.91153094843742</v>
      </c>
      <c r="G14" s="27">
        <f>D14*Variables!$C$9</f>
        <v>2.2379134537174505</v>
      </c>
      <c r="H14" s="213">
        <f>'Existing Open Space'!C12</f>
        <v>0</v>
      </c>
      <c r="I14" s="28">
        <f t="shared" si="1"/>
        <v>2.2379134537174505</v>
      </c>
      <c r="J14" s="197">
        <f>VLOOKUP(A14,'Land costs'!$A$2:$F$96,5,FALSE)</f>
        <v>446522393.21506435</v>
      </c>
      <c r="K14" s="29">
        <f>I14*(J14+Variables!$C$10*Variables!$C$5)</f>
        <v>1009232747.1003993</v>
      </c>
      <c r="L14" s="29">
        <f>(G14*Variables!$C$11+D14*Variables!$C$12)*Variables!$C$5</f>
        <v>4059562.5956780417</v>
      </c>
    </row>
    <row r="15" spans="1:12" x14ac:dyDescent="0.35">
      <c r="A15" s="91">
        <v>12</v>
      </c>
      <c r="B15" s="87" t="s">
        <v>70</v>
      </c>
      <c r="C15" s="88">
        <v>2019</v>
      </c>
      <c r="D15" s="92">
        <f>Population!D13</f>
        <v>120954.47359530447</v>
      </c>
      <c r="E15" s="92" t="str">
        <f t="shared" si="0"/>
        <v>Medium</v>
      </c>
      <c r="F15" s="119">
        <f>Area!E13</f>
        <v>25.651921824739571</v>
      </c>
      <c r="G15" s="27">
        <f>D15*Variables!$C$9</f>
        <v>1.0885902623577404</v>
      </c>
      <c r="H15" s="213">
        <f>'Existing Open Space'!C13</f>
        <v>0</v>
      </c>
      <c r="I15" s="28">
        <f t="shared" si="1"/>
        <v>1.0885902623577404</v>
      </c>
      <c r="J15" s="197">
        <f>VLOOKUP(A15,'Land costs'!$A$2:$F$96,5,FALSE)</f>
        <v>207178319.55590102</v>
      </c>
      <c r="K15" s="29">
        <f>I15*(J15+Variables!$C$10*Variables!$C$5)</f>
        <v>230374368.67459273</v>
      </c>
      <c r="L15" s="29">
        <f>(G15*Variables!$C$11+D15*Variables!$C$12)*Variables!$C$5</f>
        <v>1974696.6996181158</v>
      </c>
    </row>
    <row r="16" spans="1:12" x14ac:dyDescent="0.35">
      <c r="A16" s="91">
        <v>13</v>
      </c>
      <c r="B16" s="87" t="s">
        <v>71</v>
      </c>
      <c r="C16" s="88">
        <v>2019</v>
      </c>
      <c r="D16" s="92">
        <f>Population!D14</f>
        <v>8119180.3023765497</v>
      </c>
      <c r="E16" s="92" t="str">
        <f t="shared" si="0"/>
        <v>Large</v>
      </c>
      <c r="F16" s="119">
        <f>Area!E14</f>
        <v>849.59789195702035</v>
      </c>
      <c r="G16" s="27">
        <f>D16*Variables!$C$9</f>
        <v>73.072622721388953</v>
      </c>
      <c r="H16" s="212">
        <f>'Existing Open Space'!C14</f>
        <v>279.82566666666668</v>
      </c>
      <c r="I16" s="28">
        <f t="shared" si="1"/>
        <v>0</v>
      </c>
      <c r="J16" s="197">
        <f>VLOOKUP(A16,'Land costs'!$A$2:$F$96,5,FALSE)</f>
        <v>225281113.07128146</v>
      </c>
      <c r="K16" s="29">
        <f>I16*(J16+Variables!$C$10*Variables!$C$5)</f>
        <v>0</v>
      </c>
      <c r="L16" s="29">
        <f>(G16*Variables!$C$11+D16*Variables!$C$12)*Variables!$C$5</f>
        <v>132553332.42448832</v>
      </c>
    </row>
    <row r="17" spans="1:12" x14ac:dyDescent="0.35">
      <c r="A17" s="91">
        <v>14</v>
      </c>
      <c r="B17" s="87" t="s">
        <v>72</v>
      </c>
      <c r="C17" s="88">
        <v>2019</v>
      </c>
      <c r="D17" s="92">
        <f>Population!D15</f>
        <v>323526.6224659998</v>
      </c>
      <c r="E17" s="92" t="str">
        <f t="shared" si="0"/>
        <v>Medium</v>
      </c>
      <c r="F17" s="119">
        <f>Area!E15</f>
        <v>40.50303446011511</v>
      </c>
      <c r="G17" s="27">
        <f>D17*Variables!$C$9</f>
        <v>2.9117396021939981</v>
      </c>
      <c r="H17" s="213">
        <f>'Existing Open Space'!C15</f>
        <v>0</v>
      </c>
      <c r="I17" s="28">
        <f t="shared" si="1"/>
        <v>2.9117396021939981</v>
      </c>
      <c r="J17" s="197">
        <f>VLOOKUP(A17,'Land costs'!$A$2:$F$96,5,FALSE)</f>
        <v>172078376.43406156</v>
      </c>
      <c r="K17" s="29">
        <f>I17*(J17+Variables!$C$10*Variables!$C$5)</f>
        <v>513998889.10029531</v>
      </c>
      <c r="L17" s="29">
        <f>(G17*Variables!$C$11+D17*Variables!$C$12)*Variables!$C$5</f>
        <v>5281879.492607764</v>
      </c>
    </row>
    <row r="18" spans="1:12" x14ac:dyDescent="0.35">
      <c r="A18" s="91">
        <v>15</v>
      </c>
      <c r="B18" s="87" t="s">
        <v>73</v>
      </c>
      <c r="C18" s="88">
        <v>2019</v>
      </c>
      <c r="D18" s="92">
        <f>Population!D16</f>
        <v>71750.609598395211</v>
      </c>
      <c r="E18" s="92" t="str">
        <f t="shared" si="0"/>
        <v>Small</v>
      </c>
      <c r="F18" s="119">
        <f>Area!E16</f>
        <v>225.46689182797411</v>
      </c>
      <c r="G18" s="27">
        <f>D18*Variables!$C$9</f>
        <v>0.64575548638555691</v>
      </c>
      <c r="H18" s="212">
        <f>'Existing Open Space'!C16</f>
        <v>43.35</v>
      </c>
      <c r="I18" s="28">
        <f t="shared" si="1"/>
        <v>0</v>
      </c>
      <c r="J18" s="197">
        <f>VLOOKUP(A18,'Land costs'!$A$2:$F$96,5,FALSE)</f>
        <v>399734297.50693494</v>
      </c>
      <c r="K18" s="29">
        <f>I18*(J18+Variables!$C$10*Variables!$C$5)</f>
        <v>0</v>
      </c>
      <c r="L18" s="29">
        <f>(G18*Variables!$C$11+D18*Variables!$C$12)*Variables!$C$5</f>
        <v>1171396.8715501833</v>
      </c>
    </row>
    <row r="19" spans="1:12" x14ac:dyDescent="0.35">
      <c r="A19" s="91">
        <v>16</v>
      </c>
      <c r="B19" s="87" t="s">
        <v>74</v>
      </c>
      <c r="C19" s="88">
        <v>2019</v>
      </c>
      <c r="D19" s="92">
        <f>Population!D17</f>
        <v>3673962.8876462663</v>
      </c>
      <c r="E19" s="92" t="str">
        <f t="shared" si="0"/>
        <v>Large</v>
      </c>
      <c r="F19" s="119">
        <f>Area!E17</f>
        <v>444.2225149751597</v>
      </c>
      <c r="G19" s="27">
        <f>D19*Variables!$C$9</f>
        <v>33.065665988816399</v>
      </c>
      <c r="H19" s="212">
        <f>'Existing Open Space'!C17</f>
        <v>108.39099999999998</v>
      </c>
      <c r="I19" s="28">
        <f t="shared" si="1"/>
        <v>0</v>
      </c>
      <c r="J19" s="197">
        <f>VLOOKUP(A19,'Land costs'!$A$2:$F$96,5,FALSE)</f>
        <v>258664564.88983455</v>
      </c>
      <c r="K19" s="29">
        <f>I19*(J19+Variables!$C$10*Variables!$C$5)</f>
        <v>0</v>
      </c>
      <c r="L19" s="29">
        <f>(G19*Variables!$C$11+D19*Variables!$C$12)*Variables!$C$5</f>
        <v>59980934.75259576</v>
      </c>
    </row>
    <row r="20" spans="1:12" x14ac:dyDescent="0.35">
      <c r="A20" s="91">
        <v>17</v>
      </c>
      <c r="B20" s="87" t="s">
        <v>75</v>
      </c>
      <c r="C20" s="88">
        <v>2019</v>
      </c>
      <c r="D20" s="92">
        <f>Population!D18</f>
        <v>13520.328350949914</v>
      </c>
      <c r="E20" s="92" t="str">
        <f t="shared" si="0"/>
        <v>Small</v>
      </c>
      <c r="F20" s="211">
        <f>Area!E18</f>
        <v>2.61</v>
      </c>
      <c r="G20" s="27">
        <f>D20*Variables!$C$9</f>
        <v>0.12168295515854922</v>
      </c>
      <c r="H20" s="213">
        <f>'Existing Open Space'!C18</f>
        <v>0</v>
      </c>
      <c r="I20" s="28">
        <f t="shared" si="1"/>
        <v>0.12168295515854922</v>
      </c>
      <c r="J20" s="197">
        <f>VLOOKUP(A20,'Land costs'!$A$2:$F$96,5,FALSE)</f>
        <v>399734297.50693494</v>
      </c>
      <c r="K20" s="29">
        <f>I20*(J20+Variables!$C$10*Variables!$C$5)</f>
        <v>49182098.389585182</v>
      </c>
      <c r="L20" s="29">
        <f>(G20*Variables!$C$11+D20*Variables!$C$12)*Variables!$C$5</f>
        <v>220732.20591826452</v>
      </c>
    </row>
    <row r="21" spans="1:12" x14ac:dyDescent="0.35">
      <c r="A21" s="91">
        <v>18</v>
      </c>
      <c r="B21" s="87" t="s">
        <v>76</v>
      </c>
      <c r="C21" s="88">
        <v>2019</v>
      </c>
      <c r="D21" s="92">
        <f>Population!D19</f>
        <v>119450.47275198292</v>
      </c>
      <c r="E21" s="92" t="str">
        <f t="shared" si="0"/>
        <v>Medium</v>
      </c>
      <c r="F21" s="119">
        <f>Area!E19</f>
        <v>27.002022973410075</v>
      </c>
      <c r="G21" s="27">
        <f>D21*Variables!$C$9</f>
        <v>1.0750542547678463</v>
      </c>
      <c r="H21" s="213">
        <f>'Existing Open Space'!C19</f>
        <v>0</v>
      </c>
      <c r="I21" s="28">
        <f t="shared" si="1"/>
        <v>1.0750542547678463</v>
      </c>
      <c r="J21" s="197">
        <f>VLOOKUP(A21,'Land costs'!$A$2:$F$96,5,FALSE)</f>
        <v>207178319.55590102</v>
      </c>
      <c r="K21" s="29">
        <f>I21*(J21+Variables!$C$10*Variables!$C$5)</f>
        <v>227509792.98369649</v>
      </c>
      <c r="L21" s="29">
        <f>(G21*Variables!$C$11+D21*Variables!$C$12)*Variables!$C$5</f>
        <v>1950142.4569080286</v>
      </c>
    </row>
    <row r="22" spans="1:12" x14ac:dyDescent="0.35">
      <c r="A22" s="91">
        <v>19</v>
      </c>
      <c r="B22" s="87" t="s">
        <v>77</v>
      </c>
      <c r="C22" s="88">
        <v>2019</v>
      </c>
      <c r="D22" s="92">
        <f>Population!D20</f>
        <v>5423441.5141611397</v>
      </c>
      <c r="E22" s="92" t="str">
        <f t="shared" si="0"/>
        <v>Large</v>
      </c>
      <c r="F22" s="119">
        <f>Area!E20</f>
        <v>1152.98256473843</v>
      </c>
      <c r="G22" s="27">
        <f>D22*Variables!$C$9</f>
        <v>48.810973627450259</v>
      </c>
      <c r="H22" s="212">
        <f>'Existing Open Space'!C20</f>
        <v>0.39245529999999995</v>
      </c>
      <c r="I22" s="28">
        <f t="shared" si="1"/>
        <v>48.418518327450258</v>
      </c>
      <c r="J22" s="197">
        <f>VLOOKUP(A22,'Land costs'!$A$2:$F$96,5,FALSE)</f>
        <v>69556263.81201373</v>
      </c>
      <c r="K22" s="29">
        <f>I22*(J22+Variables!$C$10*Variables!$C$5)</f>
        <v>3583177601.9606133</v>
      </c>
      <c r="L22" s="29">
        <f>(G22*Variables!$C$11+D22*Variables!$C$12)*Variables!$C$5</f>
        <v>88542835.500394702</v>
      </c>
    </row>
    <row r="23" spans="1:12" x14ac:dyDescent="0.35">
      <c r="A23" s="91">
        <v>20</v>
      </c>
      <c r="B23" s="87" t="s">
        <v>78</v>
      </c>
      <c r="C23" s="88">
        <v>2019</v>
      </c>
      <c r="D23" s="92">
        <f>Population!D21</f>
        <v>3397697.1096434216</v>
      </c>
      <c r="E23" s="92" t="str">
        <f t="shared" si="0"/>
        <v>Large</v>
      </c>
      <c r="F23" s="119">
        <f>Area!E21</f>
        <v>454.98408710195969</v>
      </c>
      <c r="G23" s="27">
        <f>D23*Variables!$C$9</f>
        <v>30.579273986790795</v>
      </c>
      <c r="H23" s="212">
        <f>'Existing Open Space'!C21</f>
        <v>38.65</v>
      </c>
      <c r="I23" s="28">
        <f t="shared" si="1"/>
        <v>0</v>
      </c>
      <c r="J23" s="197">
        <f>VLOOKUP(A23,'Land costs'!$A$2:$F$96,5,FALSE)</f>
        <v>423084709.93427253</v>
      </c>
      <c r="K23" s="29">
        <f>I23*(J23+Variables!$C$10*Variables!$C$5)</f>
        <v>0</v>
      </c>
      <c r="L23" s="29">
        <f>(G23*Variables!$C$11+D23*Variables!$C$12)*Variables!$C$5</f>
        <v>55470633.448115312</v>
      </c>
    </row>
    <row r="24" spans="1:12" x14ac:dyDescent="0.35">
      <c r="A24" s="91">
        <v>21</v>
      </c>
      <c r="B24" s="98" t="s">
        <v>79</v>
      </c>
      <c r="C24" s="93">
        <v>2019</v>
      </c>
      <c r="D24" s="92">
        <f>Population!D22</f>
        <v>15006687.638268843</v>
      </c>
      <c r="E24" s="92" t="str">
        <f t="shared" si="0"/>
        <v>Large</v>
      </c>
      <c r="F24" s="119">
        <f>Area!E22</f>
        <v>853.62446743758471</v>
      </c>
      <c r="G24" s="27">
        <f>D24*Variables!$C$9</f>
        <v>135.06018874441961</v>
      </c>
      <c r="H24" s="212">
        <f>'Existing Open Space'!C22</f>
        <v>15.92623744</v>
      </c>
      <c r="I24" s="28">
        <f t="shared" si="1"/>
        <v>119.13395130441961</v>
      </c>
      <c r="J24" s="197">
        <f>VLOOKUP(A24,'Land costs'!$A$2:$F$96,5,FALSE)</f>
        <v>136261714.31466237</v>
      </c>
      <c r="K24" s="29">
        <f>I24*(J24+Variables!$C$10*Variables!$C$5)</f>
        <v>16763306217.36614</v>
      </c>
      <c r="L24" s="29">
        <f>(G24*Variables!$C$11+D24*Variables!$C$12)*Variables!$C$5</f>
        <v>244998433.46546432</v>
      </c>
    </row>
    <row r="25" spans="1:12" x14ac:dyDescent="0.35">
      <c r="A25" s="91">
        <v>22</v>
      </c>
      <c r="B25" s="87" t="s">
        <v>80</v>
      </c>
      <c r="C25" s="88">
        <v>2019</v>
      </c>
      <c r="D25" s="92">
        <f>Population!D23</f>
        <v>13308724.96044747</v>
      </c>
      <c r="E25" s="92" t="str">
        <f>IF(D25&lt;100000,"Small",IF(D25&lt;1000000,"Medium","Large"))</f>
        <v>Large</v>
      </c>
      <c r="F25" s="119">
        <f>Area!E23</f>
        <v>1055.7790982603337</v>
      </c>
      <c r="G25" s="27">
        <f>D25*Variables!$C$9</f>
        <v>119.77852464402723</v>
      </c>
      <c r="H25" s="212">
        <f>'Existing Open Space'!C23</f>
        <v>87.22</v>
      </c>
      <c r="I25" s="28">
        <f t="shared" si="1"/>
        <v>32.55852464402723</v>
      </c>
      <c r="J25" s="197">
        <f>VLOOKUP(A25,'Land costs'!$A$2:$F$96,5,FALSE)</f>
        <v>181431544.56336635</v>
      </c>
      <c r="K25" s="29">
        <f>I25*(J25+Variables!$C$10*Variables!$C$5)</f>
        <v>6051964269.2746449</v>
      </c>
      <c r="L25" s="29">
        <f>(G25*Variables!$C$11+D25*Variables!$C$12)*Variables!$C$5</f>
        <v>217277579.52510396</v>
      </c>
    </row>
    <row r="26" spans="1:12" x14ac:dyDescent="0.35">
      <c r="A26" s="91">
        <v>23</v>
      </c>
      <c r="B26" s="87" t="s">
        <v>81</v>
      </c>
      <c r="C26" s="88">
        <v>2019</v>
      </c>
      <c r="D26" s="92">
        <f>Population!D24</f>
        <v>48264.315755572054</v>
      </c>
      <c r="E26" s="92" t="str">
        <f t="shared" si="0"/>
        <v>Small</v>
      </c>
      <c r="F26" s="119">
        <f>Area!E24</f>
        <v>100.17137226140898</v>
      </c>
      <c r="G26" s="27">
        <f>D26*Variables!$C$9</f>
        <v>0.43437884180014852</v>
      </c>
      <c r="H26" s="212">
        <f>'Existing Open Space'!C24</f>
        <v>0.8</v>
      </c>
      <c r="I26" s="28">
        <f t="shared" si="1"/>
        <v>0</v>
      </c>
      <c r="J26" s="197">
        <f>VLOOKUP(A26,'Land costs'!$A$2:$F$96,5,FALSE)</f>
        <v>679160605.168293</v>
      </c>
      <c r="K26" s="29">
        <f>I26*(J26+Variables!$C$10*Variables!$C$5)</f>
        <v>0</v>
      </c>
      <c r="L26" s="29">
        <f>(G26*Variables!$C$11+D26*Variables!$C$12)*Variables!$C$5</f>
        <v>787960.81036852743</v>
      </c>
    </row>
    <row r="27" spans="1:12" x14ac:dyDescent="0.35">
      <c r="A27" s="91">
        <v>24</v>
      </c>
      <c r="B27" s="87" t="s">
        <v>82</v>
      </c>
      <c r="C27" s="88">
        <v>2019</v>
      </c>
      <c r="D27" s="92">
        <f>Population!D25</f>
        <v>2031332.2440583021</v>
      </c>
      <c r="E27" s="92" t="str">
        <f t="shared" si="0"/>
        <v>Large</v>
      </c>
      <c r="F27" s="119">
        <f>Area!E25</f>
        <v>102.60768729895828</v>
      </c>
      <c r="G27" s="27">
        <f>D27*Variables!$C$9</f>
        <v>18.28199019652472</v>
      </c>
      <c r="H27" s="213">
        <f>'Existing Open Space'!C25</f>
        <v>0</v>
      </c>
      <c r="I27" s="28">
        <f t="shared" si="1"/>
        <v>18.28199019652472</v>
      </c>
      <c r="J27" s="197">
        <f>VLOOKUP(A27,'Land costs'!$A$2:$F$96,5,FALSE)</f>
        <v>273857556.71751869</v>
      </c>
      <c r="K27" s="29">
        <f>I27*(J27+Variables!$C$10*Variables!$C$5)</f>
        <v>5087979760.9605789</v>
      </c>
      <c r="L27" s="29">
        <f>(G27*Variables!$C$11+D27*Variables!$C$12)*Variables!$C$5</f>
        <v>33163428.841754805</v>
      </c>
    </row>
    <row r="28" spans="1:12" x14ac:dyDescent="0.35">
      <c r="A28" s="91">
        <v>25</v>
      </c>
      <c r="B28" s="87" t="s">
        <v>83</v>
      </c>
      <c r="C28" s="88">
        <v>2019</v>
      </c>
      <c r="D28" s="92">
        <f>Population!D26</f>
        <v>291601.27978538926</v>
      </c>
      <c r="E28" s="92" t="str">
        <f t="shared" si="0"/>
        <v>Medium</v>
      </c>
      <c r="F28" s="119">
        <f>Area!E26</f>
        <v>182.26365507051801</v>
      </c>
      <c r="G28" s="27">
        <f>D28*Variables!$C$9</f>
        <v>2.6244115180685035</v>
      </c>
      <c r="H28" s="212">
        <f>'Existing Open Space'!C26</f>
        <v>0.56000000000000005</v>
      </c>
      <c r="I28" s="28">
        <f t="shared" si="1"/>
        <v>2.0644115180685034</v>
      </c>
      <c r="J28" s="197">
        <f>VLOOKUP(A28,'Land costs'!$A$2:$F$96,5,FALSE)</f>
        <v>202576692.05248237</v>
      </c>
      <c r="K28" s="29">
        <f>I28*(J28+Variables!$C$10*Variables!$C$5)</f>
        <v>427384192.833386</v>
      </c>
      <c r="L28" s="29">
        <f>(G28*Variables!$C$11+D28*Variables!$C$12)*Variables!$C$5</f>
        <v>4760667.9412557166</v>
      </c>
    </row>
    <row r="29" spans="1:12" x14ac:dyDescent="0.35">
      <c r="A29" s="91">
        <v>26</v>
      </c>
      <c r="B29" s="87" t="s">
        <v>84</v>
      </c>
      <c r="C29" s="88">
        <v>2019</v>
      </c>
      <c r="D29" s="92">
        <f>Population!D27</f>
        <v>120833.86406496594</v>
      </c>
      <c r="E29" s="92" t="str">
        <f t="shared" si="0"/>
        <v>Medium</v>
      </c>
      <c r="F29" s="119">
        <f>Area!E27</f>
        <v>650.74875365918274</v>
      </c>
      <c r="G29" s="27">
        <f>D29*Variables!$C$9</f>
        <v>1.0875047765846935</v>
      </c>
      <c r="H29" s="212">
        <f>'Existing Open Space'!C27</f>
        <v>0.12592400000000001</v>
      </c>
      <c r="I29" s="28">
        <f t="shared" si="1"/>
        <v>0.96158077658469343</v>
      </c>
      <c r="J29" s="197">
        <f>VLOOKUP(A29,'Land costs'!$A$2:$F$96,5,FALSE)</f>
        <v>207178319.55590102</v>
      </c>
      <c r="K29" s="29">
        <f>I29*(J29+Variables!$C$10*Variables!$C$5)</f>
        <v>203495816.55776808</v>
      </c>
      <c r="L29" s="29">
        <f>(G29*Variables!$C$11+D29*Variables!$C$12)*Variables!$C$5</f>
        <v>1972727.6344448929</v>
      </c>
    </row>
    <row r="30" spans="1:12" x14ac:dyDescent="0.35">
      <c r="A30" s="91">
        <v>27</v>
      </c>
      <c r="B30" s="87" t="s">
        <v>85</v>
      </c>
      <c r="C30" s="88">
        <v>2019</v>
      </c>
      <c r="D30" s="92">
        <f>Population!D28</f>
        <v>1218678.495685582</v>
      </c>
      <c r="E30" s="92" t="str">
        <f t="shared" si="0"/>
        <v>Large</v>
      </c>
      <c r="F30" s="119">
        <f>Area!E28</f>
        <v>121.50723651887085</v>
      </c>
      <c r="G30" s="27">
        <f>D30*Variables!$C$9</f>
        <v>10.968106461170239</v>
      </c>
      <c r="H30" s="212">
        <f>'Existing Open Space'!C28</f>
        <v>27.873100000000001</v>
      </c>
      <c r="I30" s="28">
        <f t="shared" si="1"/>
        <v>0</v>
      </c>
      <c r="J30" s="197">
        <f>VLOOKUP(A30,'Land costs'!$A$2:$F$96,5,FALSE)</f>
        <v>194110385.46713075</v>
      </c>
      <c r="K30" s="29">
        <f>I30*(J30+Variables!$C$10*Variables!$C$5)</f>
        <v>0</v>
      </c>
      <c r="L30" s="29">
        <f>(G30*Variables!$C$11+D30*Variables!$C$12)*Variables!$C$5</f>
        <v>19896084.301749315</v>
      </c>
    </row>
    <row r="31" spans="1:12" x14ac:dyDescent="0.35">
      <c r="A31" s="91">
        <v>28</v>
      </c>
      <c r="B31" s="87" t="s">
        <v>86</v>
      </c>
      <c r="C31" s="88">
        <v>2019</v>
      </c>
      <c r="D31" s="92">
        <f>Population!D29</f>
        <v>1294655.2632270395</v>
      </c>
      <c r="E31" s="92" t="str">
        <f t="shared" si="0"/>
        <v>Large</v>
      </c>
      <c r="F31" s="119">
        <f>Area!E29</f>
        <v>156.6117332457784</v>
      </c>
      <c r="G31" s="27">
        <f>D31*Variables!$C$9</f>
        <v>11.651897369043356</v>
      </c>
      <c r="H31" s="212">
        <f>'Existing Open Space'!C29</f>
        <v>59.512458633395788</v>
      </c>
      <c r="I31" s="28">
        <f t="shared" si="1"/>
        <v>0</v>
      </c>
      <c r="J31" s="197">
        <f>VLOOKUP(A31,'Land costs'!$A$2:$F$96,5,FALSE)</f>
        <v>106495314.22538668</v>
      </c>
      <c r="K31" s="29">
        <f>I31*(J31+Variables!$C$10*Variables!$C$5)</f>
        <v>0</v>
      </c>
      <c r="L31" s="29">
        <f>(G31*Variables!$C$11+D31*Variables!$C$12)*Variables!$C$5</f>
        <v>21136477.216969218</v>
      </c>
    </row>
    <row r="32" spans="1:12" x14ac:dyDescent="0.35">
      <c r="A32" s="91">
        <v>29</v>
      </c>
      <c r="B32" s="87" t="s">
        <v>87</v>
      </c>
      <c r="C32" s="88">
        <v>2019</v>
      </c>
      <c r="D32" s="92">
        <f>Population!D30</f>
        <v>172747.82420858208</v>
      </c>
      <c r="E32" s="92" t="str">
        <f t="shared" si="0"/>
        <v>Medium</v>
      </c>
      <c r="F32" s="119">
        <f>Area!E30</f>
        <v>880.26594893316826</v>
      </c>
      <c r="G32" s="27">
        <f>D32*Variables!$C$9</f>
        <v>1.5547304178772388</v>
      </c>
      <c r="H32" s="213">
        <f>'Existing Open Space'!C30</f>
        <v>0</v>
      </c>
      <c r="I32" s="28">
        <f t="shared" si="1"/>
        <v>1.5547304178772388</v>
      </c>
      <c r="J32" s="197">
        <f>VLOOKUP(A32,'Land costs'!$A$2:$F$96,5,FALSE)</f>
        <v>207178319.55590102</v>
      </c>
      <c r="K32" s="29">
        <f>I32*(J32+Variables!$C$10*Variables!$C$5)</f>
        <v>329021901.86958534</v>
      </c>
      <c r="L32" s="29">
        <f>(G32*Variables!$C$11+D32*Variables!$C$12)*Variables!$C$5</f>
        <v>2820272.356955139</v>
      </c>
    </row>
    <row r="33" spans="1:12" x14ac:dyDescent="0.35">
      <c r="A33" s="96">
        <v>30</v>
      </c>
      <c r="B33" s="87" t="s">
        <v>88</v>
      </c>
      <c r="C33" s="87">
        <v>2019</v>
      </c>
      <c r="D33" s="97">
        <f>Population!D31</f>
        <v>118516.95498716265</v>
      </c>
      <c r="E33" s="92" t="str">
        <f t="shared" si="0"/>
        <v>Medium</v>
      </c>
      <c r="F33" s="119">
        <f>Area!E31</f>
        <v>87.75657466358274</v>
      </c>
      <c r="G33" s="27">
        <f>D33*Variables!$C$9</f>
        <v>1.0666525948844638</v>
      </c>
      <c r="H33" s="212">
        <f>'Existing Open Space'!C31</f>
        <v>2.93E-2</v>
      </c>
      <c r="I33" s="28">
        <f t="shared" si="1"/>
        <v>1.0373525948844637</v>
      </c>
      <c r="J33" s="197">
        <f>VLOOKUP(A33,'Land costs'!$A$2:$F$96,5,FALSE)</f>
        <v>207178319.55590102</v>
      </c>
      <c r="K33" s="29">
        <f>I33*(J33+Variables!$C$10*Variables!$C$5)</f>
        <v>219531128.83984601</v>
      </c>
      <c r="L33" s="29">
        <f>(G33*Variables!$C$11+D33*Variables!$C$12)*Variables!$C$5</f>
        <v>1934901.892467285</v>
      </c>
    </row>
    <row r="34" spans="1:12" x14ac:dyDescent="0.35">
      <c r="A34" s="96">
        <v>31</v>
      </c>
      <c r="B34" s="87" t="s">
        <v>89</v>
      </c>
      <c r="C34" s="87">
        <v>2019</v>
      </c>
      <c r="D34" s="97">
        <f>Population!D32</f>
        <v>204527.22935748301</v>
      </c>
      <c r="E34" s="92" t="str">
        <f t="shared" si="0"/>
        <v>Medium</v>
      </c>
      <c r="F34" s="119">
        <f>Area!E32</f>
        <v>662.8996639972172</v>
      </c>
      <c r="G34" s="27">
        <f>D34*Variables!$C$9</f>
        <v>1.8407450642173471</v>
      </c>
      <c r="H34" s="212">
        <f>'Existing Open Space'!C32</f>
        <v>0.06</v>
      </c>
      <c r="I34" s="28">
        <f t="shared" si="1"/>
        <v>1.780745064217347</v>
      </c>
      <c r="J34" s="197">
        <f>VLOOKUP(A34,'Land costs'!$A$2:$F$96,5,FALSE)</f>
        <v>207178319.55590102</v>
      </c>
      <c r="K34" s="29">
        <f>I34*(J34+Variables!$C$10*Variables!$C$5)</f>
        <v>376852553.3665421</v>
      </c>
      <c r="L34" s="29">
        <f>(G34*Variables!$C$11+D34*Variables!$C$12)*Variables!$C$5</f>
        <v>3339101.3394475882</v>
      </c>
    </row>
    <row r="35" spans="1:12" x14ac:dyDescent="0.35">
      <c r="A35" s="96">
        <v>32</v>
      </c>
      <c r="B35" s="87" t="s">
        <v>90</v>
      </c>
      <c r="C35" s="87">
        <v>2019</v>
      </c>
      <c r="D35" s="97">
        <f>Population!D33</f>
        <v>1423879.9323176574</v>
      </c>
      <c r="E35" s="92" t="str">
        <f t="shared" si="0"/>
        <v>Large</v>
      </c>
      <c r="F35" s="119">
        <f>Area!E33</f>
        <v>39.152933311444599</v>
      </c>
      <c r="G35" s="27">
        <f>D35*Variables!$C$9</f>
        <v>12.814919390858917</v>
      </c>
      <c r="H35" s="212">
        <f>'Existing Open Space'!C33</f>
        <v>2.5</v>
      </c>
      <c r="I35" s="28">
        <f t="shared" si="1"/>
        <v>10.314919390858917</v>
      </c>
      <c r="J35" s="197">
        <f>VLOOKUP(A35,'Land costs'!$A$2:$F$96,5,FALSE)</f>
        <v>258664564.88983455</v>
      </c>
      <c r="K35" s="29">
        <f>I35*(J35+Variables!$C$10*Variables!$C$5)</f>
        <v>2713985067.6213751</v>
      </c>
      <c r="L35" s="29">
        <f>(G35*Variables!$C$11+D35*Variables!$C$12)*Variables!$C$5</f>
        <v>23246192.715515211</v>
      </c>
    </row>
    <row r="36" spans="1:12" x14ac:dyDescent="0.35">
      <c r="A36" s="96">
        <v>33</v>
      </c>
      <c r="B36" s="87" t="s">
        <v>91</v>
      </c>
      <c r="C36" s="87">
        <v>2019</v>
      </c>
      <c r="D36" s="97">
        <f>Population!D34</f>
        <v>896962.22226996359</v>
      </c>
      <c r="E36" s="92" t="str">
        <f t="shared" si="0"/>
        <v>Medium</v>
      </c>
      <c r="F36" s="119">
        <f>Area!E34</f>
        <v>326.7244779782618</v>
      </c>
      <c r="G36" s="27">
        <f>D36*Variables!$C$9</f>
        <v>8.0726600004296731</v>
      </c>
      <c r="H36" s="212">
        <f>'Existing Open Space'!C34</f>
        <v>0.54</v>
      </c>
      <c r="I36" s="28">
        <f t="shared" si="1"/>
        <v>7.5326600004296731</v>
      </c>
      <c r="J36" s="197">
        <f>VLOOKUP(A36,'Land costs'!$A$2:$F$96,5,FALSE)</f>
        <v>147442586.65970939</v>
      </c>
      <c r="K36" s="29">
        <f>I36*(J36+Variables!$C$10*Variables!$C$5)</f>
        <v>1144140270.7632742</v>
      </c>
      <c r="L36" s="29">
        <f>(G36*Variables!$C$11+D36*Variables!$C$12)*Variables!$C$5</f>
        <v>14643760.477391619</v>
      </c>
    </row>
    <row r="37" spans="1:12" x14ac:dyDescent="0.35">
      <c r="A37" s="96">
        <v>34</v>
      </c>
      <c r="B37" s="87" t="s">
        <v>92</v>
      </c>
      <c r="C37" s="87">
        <v>2019</v>
      </c>
      <c r="D37" s="97">
        <f>Population!D35</f>
        <v>518879.08485063037</v>
      </c>
      <c r="E37" s="92" t="str">
        <f t="shared" si="0"/>
        <v>Medium</v>
      </c>
      <c r="F37" s="119">
        <f>Area!E35</f>
        <v>99.391480730223122</v>
      </c>
      <c r="G37" s="27">
        <f>D37*Variables!$C$9</f>
        <v>4.6699117636556737</v>
      </c>
      <c r="H37" s="213">
        <f>'Existing Open Space'!C35</f>
        <v>0</v>
      </c>
      <c r="I37" s="28">
        <f t="shared" si="1"/>
        <v>4.6699117636556737</v>
      </c>
      <c r="J37" s="197">
        <f>VLOOKUP(A37,'Land costs'!$A$2:$F$96,5,FALSE)</f>
        <v>382950815.48123109</v>
      </c>
      <c r="K37" s="29">
        <f>I37*(J37+Variables!$C$10*Variables!$C$5)</f>
        <v>1809118362.6342397</v>
      </c>
      <c r="L37" s="29">
        <f>(G37*Variables!$C$11+D37*Variables!$C$12)*Variables!$C$5</f>
        <v>8471194.0443283021</v>
      </c>
    </row>
    <row r="38" spans="1:12" x14ac:dyDescent="0.35">
      <c r="A38" s="96">
        <v>35</v>
      </c>
      <c r="B38" s="87" t="s">
        <v>93</v>
      </c>
      <c r="C38" s="87">
        <v>2019</v>
      </c>
      <c r="D38" s="97">
        <f>Population!D36</f>
        <v>221055.55939507601</v>
      </c>
      <c r="E38" s="92" t="str">
        <f t="shared" si="0"/>
        <v>Medium</v>
      </c>
      <c r="F38" s="211">
        <f>Area!E36</f>
        <v>33.799999999999997</v>
      </c>
      <c r="G38" s="27">
        <f>D38*Variables!$C$9</f>
        <v>1.9895000345556841</v>
      </c>
      <c r="H38" s="213">
        <f>'Existing Open Space'!C36</f>
        <v>0</v>
      </c>
      <c r="I38" s="28">
        <f t="shared" si="1"/>
        <v>1.9895000345556841</v>
      </c>
      <c r="J38" s="197">
        <f>VLOOKUP(A38,'Land costs'!$A$2:$F$96,5,FALSE)</f>
        <v>83219953.906071469</v>
      </c>
      <c r="K38" s="29">
        <f>I38*(J38+Variables!$C$10*Variables!$C$5)</f>
        <v>174415430.12615684</v>
      </c>
      <c r="L38" s="29">
        <f>(G38*Variables!$C$11+D38*Variables!$C$12)*Variables!$C$5</f>
        <v>3608942.0307860267</v>
      </c>
    </row>
    <row r="39" spans="1:12" x14ac:dyDescent="0.35">
      <c r="A39" s="96">
        <v>36</v>
      </c>
      <c r="B39" s="87" t="s">
        <v>94</v>
      </c>
      <c r="C39" s="87">
        <v>2019</v>
      </c>
      <c r="D39" s="97">
        <f>Population!D37</f>
        <v>1417301.8885329936</v>
      </c>
      <c r="E39" s="92" t="str">
        <f t="shared" si="0"/>
        <v>Large</v>
      </c>
      <c r="F39" s="211">
        <f>Area!E37</f>
        <v>63.3</v>
      </c>
      <c r="G39" s="27">
        <f>D39*Variables!$C$9</f>
        <v>12.755716996796943</v>
      </c>
      <c r="H39" s="213">
        <f>'Existing Open Space'!C37</f>
        <v>0</v>
      </c>
      <c r="I39" s="28">
        <f t="shared" si="1"/>
        <v>12.755716996796943</v>
      </c>
      <c r="J39" s="197">
        <f>VLOOKUP(A39,'Land costs'!$A$2:$F$96,5,FALSE)</f>
        <v>115153966.74863443</v>
      </c>
      <c r="K39" s="29">
        <f>I39*(J39+Variables!$C$10*Variables!$C$5)</f>
        <v>1525609050.4075744</v>
      </c>
      <c r="L39" s="29">
        <f>(G39*Variables!$C$11+D39*Variables!$C$12)*Variables!$C$5</f>
        <v>23138799.90096765</v>
      </c>
    </row>
    <row r="40" spans="1:12" x14ac:dyDescent="0.35">
      <c r="A40" s="96">
        <v>37</v>
      </c>
      <c r="B40" s="87" t="s">
        <v>95</v>
      </c>
      <c r="C40" s="87">
        <v>2019</v>
      </c>
      <c r="D40" s="97">
        <f>Population!D38</f>
        <v>236463.42689582403</v>
      </c>
      <c r="E40" s="92" t="str">
        <f t="shared" si="0"/>
        <v>Medium</v>
      </c>
      <c r="F40" s="211">
        <f>Area!E38</f>
        <v>26.6</v>
      </c>
      <c r="G40" s="27">
        <f>D40*Variables!$C$9</f>
        <v>2.1281708420624161</v>
      </c>
      <c r="H40" s="212">
        <f>'Existing Open Space'!C38</f>
        <v>2.1246225000000001</v>
      </c>
      <c r="I40" s="28">
        <f t="shared" si="1"/>
        <v>3.5483420624160544E-3</v>
      </c>
      <c r="J40" s="197">
        <f>VLOOKUP(A40,'Land costs'!$A$2:$F$96,5,FALSE)</f>
        <v>135804860.55953482</v>
      </c>
      <c r="K40" s="29">
        <f>I40*(J40+Variables!$C$10*Variables!$C$5)</f>
        <v>497665.18299857742</v>
      </c>
      <c r="L40" s="29">
        <f>(G40*Variables!$C$11+D40*Variables!$C$12)*Variables!$C$5</f>
        <v>3860490.1066652266</v>
      </c>
    </row>
    <row r="41" spans="1:12" x14ac:dyDescent="0.35">
      <c r="A41" s="96">
        <v>38</v>
      </c>
      <c r="B41" s="87" t="s">
        <v>96</v>
      </c>
      <c r="C41" s="87">
        <v>2019</v>
      </c>
      <c r="D41" s="97">
        <f>Population!D39</f>
        <v>1039890.5461976461</v>
      </c>
      <c r="E41" s="92" t="str">
        <f t="shared" si="0"/>
        <v>Large</v>
      </c>
      <c r="F41" s="211">
        <f>Area!E39</f>
        <v>107</v>
      </c>
      <c r="G41" s="27">
        <f>D41*Variables!$C$9</f>
        <v>9.3590149157788147</v>
      </c>
      <c r="H41" s="212">
        <f>'Existing Open Space'!C39</f>
        <v>1.55</v>
      </c>
      <c r="I41" s="28">
        <f t="shared" si="1"/>
        <v>7.8090149157788149</v>
      </c>
      <c r="J41" s="197">
        <f>VLOOKUP(A41,'Land costs'!$A$2:$F$96,5,FALSE)</f>
        <v>223708463.42310071</v>
      </c>
      <c r="K41" s="29">
        <f>I41*(J41+Variables!$C$10*Variables!$C$5)</f>
        <v>1781677354.7484453</v>
      </c>
      <c r="L41" s="29">
        <f>(G41*Variables!$C$11+D41*Variables!$C$12)*Variables!$C$5</f>
        <v>16977201.160919178</v>
      </c>
    </row>
    <row r="42" spans="1:12" x14ac:dyDescent="0.35">
      <c r="A42" s="96">
        <v>39</v>
      </c>
      <c r="B42" s="87" t="s">
        <v>97</v>
      </c>
      <c r="C42" s="87">
        <v>2019</v>
      </c>
      <c r="D42" s="97">
        <f>Population!D40</f>
        <v>85608.644634293029</v>
      </c>
      <c r="E42" s="92" t="str">
        <f t="shared" si="0"/>
        <v>Small</v>
      </c>
      <c r="F42" s="211">
        <f>Area!E40</f>
        <v>25.5</v>
      </c>
      <c r="G42" s="27">
        <f>D42*Variables!$C$9</f>
        <v>0.77047780170863722</v>
      </c>
      <c r="H42" s="213">
        <f>'Existing Open Space'!C40</f>
        <v>0</v>
      </c>
      <c r="I42" s="28">
        <f t="shared" si="1"/>
        <v>0.77047780170863722</v>
      </c>
      <c r="J42" s="197">
        <f>VLOOKUP(A42,'Land costs'!$A$2:$F$96,5,FALSE)</f>
        <v>399734297.50693494</v>
      </c>
      <c r="K42" s="29">
        <f>I42*(J42+Variables!$C$10*Variables!$C$5)</f>
        <v>311413500.77544653</v>
      </c>
      <c r="L42" s="29">
        <f>(G42*Variables!$C$11+D42*Variables!$C$12)*Variables!$C$5</f>
        <v>1397642.4599534716</v>
      </c>
    </row>
    <row r="43" spans="1:12" x14ac:dyDescent="0.35">
      <c r="A43" s="96">
        <v>40</v>
      </c>
      <c r="B43" s="87" t="s">
        <v>98</v>
      </c>
      <c r="C43" s="87">
        <v>2019</v>
      </c>
      <c r="D43" s="97">
        <f>Population!D41</f>
        <v>152855.6943698473</v>
      </c>
      <c r="E43" s="92" t="str">
        <f t="shared" si="0"/>
        <v>Medium</v>
      </c>
      <c r="F43" s="211">
        <f>Area!E41</f>
        <v>35.6</v>
      </c>
      <c r="G43" s="27">
        <f>D43*Variables!$C$9</f>
        <v>1.3757012493286258</v>
      </c>
      <c r="H43" s="213">
        <f>'Existing Open Space'!C41</f>
        <v>0</v>
      </c>
      <c r="I43" s="28">
        <f t="shared" si="1"/>
        <v>1.3757012493286258</v>
      </c>
      <c r="J43" s="197">
        <f>VLOOKUP(A43,'Land costs'!$A$2:$F$96,5,FALSE)</f>
        <v>101660475.1170758</v>
      </c>
      <c r="K43" s="29">
        <f>I43*(J43+Variables!$C$10*Variables!$C$5)</f>
        <v>145973584.46390563</v>
      </c>
      <c r="L43" s="29">
        <f>(G43*Variables!$C$11+D43*Variables!$C$12)*Variables!$C$5</f>
        <v>2495514.4379355195</v>
      </c>
    </row>
    <row r="44" spans="1:12" x14ac:dyDescent="0.35">
      <c r="A44" s="96">
        <v>41</v>
      </c>
      <c r="B44" s="87" t="s">
        <v>99</v>
      </c>
      <c r="C44" s="87">
        <v>2019</v>
      </c>
      <c r="D44" s="97">
        <f>Population!D42</f>
        <v>73571.813506507111</v>
      </c>
      <c r="E44" s="92" t="str">
        <f t="shared" si="0"/>
        <v>Small</v>
      </c>
      <c r="F44" s="211">
        <f>Area!E42</f>
        <v>14.2</v>
      </c>
      <c r="G44" s="27">
        <f>D44*Variables!$C$9</f>
        <v>0.66214632155856401</v>
      </c>
      <c r="H44" s="213">
        <f>'Existing Open Space'!C42</f>
        <v>0</v>
      </c>
      <c r="I44" s="28">
        <f t="shared" si="1"/>
        <v>0.66214632155856401</v>
      </c>
      <c r="J44" s="197">
        <f>VLOOKUP(A44,'Land costs'!$A$2:$F$96,5,FALSE)</f>
        <v>399734297.50693494</v>
      </c>
      <c r="K44" s="29">
        <f>I44*(J44+Variables!$C$10*Variables!$C$5)</f>
        <v>267627832.45001748</v>
      </c>
      <c r="L44" s="29">
        <f>(G44*Variables!$C$11+D44*Variables!$C$12)*Variables!$C$5</f>
        <v>1201129.7556658462</v>
      </c>
    </row>
    <row r="45" spans="1:12" x14ac:dyDescent="0.35">
      <c r="A45" s="96">
        <v>42</v>
      </c>
      <c r="B45" s="87" t="s">
        <v>100</v>
      </c>
      <c r="C45" s="87">
        <v>2019</v>
      </c>
      <c r="D45" s="97">
        <f>Population!D43</f>
        <v>91108.43921773028</v>
      </c>
      <c r="E45" s="92" t="str">
        <f t="shared" si="0"/>
        <v>Small</v>
      </c>
      <c r="F45" s="211">
        <f>Area!E43</f>
        <v>15</v>
      </c>
      <c r="G45" s="27">
        <f>D45*Variables!$C$9</f>
        <v>0.81997595295957248</v>
      </c>
      <c r="H45" s="213">
        <f>'Existing Open Space'!C43</f>
        <v>0</v>
      </c>
      <c r="I45" s="28">
        <f t="shared" si="1"/>
        <v>0.81997595295957248</v>
      </c>
      <c r="J45" s="197">
        <f>VLOOKUP(A45,'Land costs'!$A$2:$F$96,5,FALSE)</f>
        <v>189319723.52178472</v>
      </c>
      <c r="K45" s="29">
        <f>I45*(J45+Variables!$C$10*Variables!$C$5)</f>
        <v>158884887.26640826</v>
      </c>
      <c r="L45" s="29">
        <f>(G45*Variables!$C$11+D45*Variables!$C$12)*Variables!$C$5</f>
        <v>1487431.8318524265</v>
      </c>
    </row>
    <row r="46" spans="1:12" x14ac:dyDescent="0.35">
      <c r="A46" s="96">
        <v>1</v>
      </c>
      <c r="B46" s="87" t="s">
        <v>59</v>
      </c>
      <c r="C46" s="87">
        <v>2020</v>
      </c>
      <c r="D46" s="97">
        <f>Population!E2</f>
        <v>493876.84354928654</v>
      </c>
      <c r="E46" s="92" t="str">
        <f t="shared" si="0"/>
        <v>Medium</v>
      </c>
      <c r="F46" s="119">
        <f>Area!G2</f>
        <v>104.06459158109358</v>
      </c>
      <c r="G46" s="27">
        <f>D46*Variables!$C$9</f>
        <v>4.4448915919435787</v>
      </c>
      <c r="H46" s="28">
        <f>H4+I4</f>
        <v>4.3419865116182272</v>
      </c>
      <c r="I46" s="28">
        <f t="shared" si="1"/>
        <v>0.10290508032535151</v>
      </c>
      <c r="J46" s="197">
        <f>VLOOKUP(A46,'Land costs'!$A$2:$F$96,5,FALSE)</f>
        <v>349411907.96390015</v>
      </c>
      <c r="K46" s="29">
        <f>I46*(J46+Variables!$C$10*Variables!$C$5)</f>
        <v>36413983.949527927</v>
      </c>
      <c r="L46" s="29">
        <f>(G46*Variables!$C$11+D46*Variables!$C$12)*Variables!$C$5</f>
        <v>8063008.7005930189</v>
      </c>
    </row>
    <row r="47" spans="1:12" x14ac:dyDescent="0.35">
      <c r="A47" s="96">
        <v>2</v>
      </c>
      <c r="B47" s="87" t="s">
        <v>60</v>
      </c>
      <c r="C47" s="87">
        <v>2020</v>
      </c>
      <c r="D47" s="97">
        <f>Population!E3</f>
        <v>362274.79706917296</v>
      </c>
      <c r="E47" s="92" t="str">
        <f t="shared" si="0"/>
        <v>Medium</v>
      </c>
      <c r="F47" s="119">
        <f>Area!G3</f>
        <v>625.756820428418</v>
      </c>
      <c r="G47" s="27">
        <f>D47*Variables!$C$9</f>
        <v>3.2604731736225565</v>
      </c>
      <c r="H47" s="28">
        <f t="shared" ref="H47:H110" si="2">H5+I5</f>
        <v>12.956920723790825</v>
      </c>
      <c r="I47" s="28">
        <f t="shared" si="1"/>
        <v>0</v>
      </c>
      <c r="J47" s="197">
        <f>VLOOKUP(A47,'Land costs'!$A$2:$F$96,5,FALSE)</f>
        <v>207178319.55590102</v>
      </c>
      <c r="K47" s="29">
        <f>I47*(J47+Variables!$C$10*Variables!$C$5)</f>
        <v>0</v>
      </c>
      <c r="L47" s="29">
        <f>(G47*Variables!$C$11+D47*Variables!$C$12)*Variables!$C$5</f>
        <v>5914480.2574304296</v>
      </c>
    </row>
    <row r="48" spans="1:12" x14ac:dyDescent="0.35">
      <c r="A48" s="96">
        <v>3</v>
      </c>
      <c r="B48" s="87" t="s">
        <v>61</v>
      </c>
      <c r="C48" s="87">
        <v>2020</v>
      </c>
      <c r="D48" s="97">
        <f>Population!E4</f>
        <v>10425234.640043655</v>
      </c>
      <c r="E48" s="92" t="str">
        <f t="shared" si="0"/>
        <v>Large</v>
      </c>
      <c r="F48" s="119">
        <f>Area!G4</f>
        <v>738.03703766065064</v>
      </c>
      <c r="G48" s="27">
        <f>D48*Variables!$C$9</f>
        <v>93.827111760392896</v>
      </c>
      <c r="H48" s="28">
        <f t="shared" si="2"/>
        <v>91.65489084731162</v>
      </c>
      <c r="I48" s="28">
        <f t="shared" si="1"/>
        <v>2.1722209130812757</v>
      </c>
      <c r="J48" s="197">
        <f>VLOOKUP(A48,'Land costs'!$A$2:$F$96,5,FALSE)</f>
        <v>623490608.57078338</v>
      </c>
      <c r="K48" s="29">
        <f>I48*(J48+Variables!$C$10*Variables!$C$5)</f>
        <v>1364021413.4817073</v>
      </c>
      <c r="L48" s="29">
        <f>(G48*Variables!$C$11+D48*Variables!$C$12)*Variables!$C$5</f>
        <v>170201860.45634484</v>
      </c>
    </row>
    <row r="49" spans="1:12" x14ac:dyDescent="0.35">
      <c r="A49" s="96">
        <v>4</v>
      </c>
      <c r="B49" s="87" t="s">
        <v>62</v>
      </c>
      <c r="C49" s="87">
        <v>2020</v>
      </c>
      <c r="D49" s="97">
        <f>Population!E5</f>
        <v>2220223.3724000533</v>
      </c>
      <c r="E49" s="92" t="str">
        <f t="shared" si="0"/>
        <v>Large</v>
      </c>
      <c r="F49" s="119">
        <f>Area!G5</f>
        <v>408.04274067323541</v>
      </c>
      <c r="G49" s="27">
        <f>D49*Variables!$C$9</f>
        <v>19.982010351600479</v>
      </c>
      <c r="H49" s="28">
        <f t="shared" si="2"/>
        <v>100.58253557595253</v>
      </c>
      <c r="I49" s="28">
        <f t="shared" si="1"/>
        <v>0</v>
      </c>
      <c r="J49" s="197">
        <f>VLOOKUP(A49,'Land costs'!$A$2:$F$96,5,FALSE)</f>
        <v>258664564.88983455</v>
      </c>
      <c r="K49" s="29">
        <f>I49*(J49+Variables!$C$10*Variables!$C$5)</f>
        <v>0</v>
      </c>
      <c r="L49" s="29">
        <f>(G49*Variables!$C$11+D49*Variables!$C$12)*Variables!$C$5</f>
        <v>36247255.976347685</v>
      </c>
    </row>
    <row r="50" spans="1:12" x14ac:dyDescent="0.35">
      <c r="A50" s="96">
        <v>5</v>
      </c>
      <c r="B50" s="87" t="s">
        <v>63</v>
      </c>
      <c r="C50" s="87">
        <v>2020</v>
      </c>
      <c r="D50" s="97">
        <f>Population!E6</f>
        <v>1041331.3806940814</v>
      </c>
      <c r="E50" s="92" t="str">
        <f t="shared" si="0"/>
        <v>Large</v>
      </c>
      <c r="F50" s="119">
        <f>Area!G6</f>
        <v>184.85157715062675</v>
      </c>
      <c r="G50" s="27">
        <f>D50*Variables!$C$9</f>
        <v>9.3719824262467331</v>
      </c>
      <c r="H50" s="28">
        <f t="shared" si="2"/>
        <v>9.155008719592395</v>
      </c>
      <c r="I50" s="28">
        <f t="shared" si="1"/>
        <v>0.21697370665433802</v>
      </c>
      <c r="J50" s="197">
        <f>VLOOKUP(A50,'Land costs'!$A$2:$F$96,5,FALSE)</f>
        <v>258664564.88983455</v>
      </c>
      <c r="K50" s="29">
        <f>I50*(J50+Variables!$C$10*Variables!$C$5)</f>
        <v>57088512.048691802</v>
      </c>
      <c r="L50" s="29">
        <f>(G50*Variables!$C$11+D50*Variables!$C$12)*Variables!$C$5</f>
        <v>17000724.153002355</v>
      </c>
    </row>
    <row r="51" spans="1:12" x14ac:dyDescent="0.35">
      <c r="A51" s="96">
        <v>6</v>
      </c>
      <c r="B51" s="87" t="s">
        <v>64</v>
      </c>
      <c r="C51" s="87">
        <v>2020</v>
      </c>
      <c r="D51" s="97">
        <f>Population!E7</f>
        <v>1187252.0083749858</v>
      </c>
      <c r="E51" s="92" t="str">
        <f t="shared" si="0"/>
        <v>Large</v>
      </c>
      <c r="F51" s="119">
        <f>Area!G7</f>
        <v>159.22920892494929</v>
      </c>
      <c r="G51" s="27">
        <f>D51*Variables!$C$9</f>
        <v>10.685268075374871</v>
      </c>
      <c r="H51" s="28">
        <f t="shared" si="2"/>
        <v>10.71</v>
      </c>
      <c r="I51" s="28">
        <f t="shared" si="1"/>
        <v>0</v>
      </c>
      <c r="J51" s="197">
        <f>VLOOKUP(A51,'Land costs'!$A$2:$F$96,5,FALSE)</f>
        <v>421303330.51817626</v>
      </c>
      <c r="K51" s="29">
        <f>I51*(J51+Variables!$C$10*Variables!$C$5)</f>
        <v>0</v>
      </c>
      <c r="L51" s="29">
        <f>(G51*Variables!$C$11+D51*Variables!$C$12)*Variables!$C$5</f>
        <v>19383017.038272467</v>
      </c>
    </row>
    <row r="52" spans="1:12" x14ac:dyDescent="0.35">
      <c r="A52" s="96">
        <v>7</v>
      </c>
      <c r="B52" s="87" t="s">
        <v>65</v>
      </c>
      <c r="C52" s="87">
        <v>2020</v>
      </c>
      <c r="D52" s="97">
        <f>Population!E8</f>
        <v>5737225.9601890566</v>
      </c>
      <c r="E52" s="92" t="str">
        <f t="shared" si="0"/>
        <v>Large</v>
      </c>
      <c r="F52" s="119">
        <f>Area!G8</f>
        <v>1078.9855021829178</v>
      </c>
      <c r="G52" s="27">
        <f>D52*Variables!$C$9</f>
        <v>51.635033641701511</v>
      </c>
      <c r="H52" s="28">
        <f t="shared" si="2"/>
        <v>50.439614771614259</v>
      </c>
      <c r="I52" s="28">
        <f t="shared" si="1"/>
        <v>1.1954188700872521</v>
      </c>
      <c r="J52" s="197">
        <f>VLOOKUP(A52,'Land costs'!$A$2:$F$96,5,FALSE)</f>
        <v>368904372.20152247</v>
      </c>
      <c r="K52" s="29">
        <f>I52*(J52+Variables!$C$10*Variables!$C$5)</f>
        <v>446312490.63023853</v>
      </c>
      <c r="L52" s="29">
        <f>(G52*Variables!$C$11+D52*Variables!$C$12)*Variables!$C$5</f>
        <v>93665664.706662953</v>
      </c>
    </row>
    <row r="53" spans="1:12" x14ac:dyDescent="0.35">
      <c r="A53" s="96">
        <v>8</v>
      </c>
      <c r="B53" s="87" t="s">
        <v>66</v>
      </c>
      <c r="C53" s="87">
        <v>2020</v>
      </c>
      <c r="D53" s="97">
        <f>Population!E9</f>
        <v>54674.089224231524</v>
      </c>
      <c r="E53" s="92" t="str">
        <f t="shared" si="0"/>
        <v>Small</v>
      </c>
      <c r="F53" s="119">
        <f>Area!G9</f>
        <v>151.9890745460709</v>
      </c>
      <c r="G53" s="27">
        <f>D53*Variables!$C$9</f>
        <v>0.49206680301808375</v>
      </c>
      <c r="H53" s="28">
        <f t="shared" si="2"/>
        <v>0.48067481002059559</v>
      </c>
      <c r="I53" s="28">
        <f t="shared" si="1"/>
        <v>1.1391992997488165E-2</v>
      </c>
      <c r="J53" s="197">
        <f>VLOOKUP(A53,'Land costs'!$A$2:$F$96,5,FALSE)</f>
        <v>399734297.50693494</v>
      </c>
      <c r="K53" s="29">
        <f>I53*(J53+Variables!$C$10*Variables!$C$5)</f>
        <v>4604442.0907258345</v>
      </c>
      <c r="L53" s="29">
        <f>(G53*Variables!$C$11+D53*Variables!$C$12)*Variables!$C$5</f>
        <v>892606.4521346289</v>
      </c>
    </row>
    <row r="54" spans="1:12" x14ac:dyDescent="0.35">
      <c r="A54" s="96">
        <v>9</v>
      </c>
      <c r="B54" s="87" t="s">
        <v>67</v>
      </c>
      <c r="C54" s="87">
        <v>2020</v>
      </c>
      <c r="D54" s="97">
        <f>Population!E10</f>
        <v>703246.42952349363</v>
      </c>
      <c r="E54" s="92" t="str">
        <f t="shared" si="0"/>
        <v>Medium</v>
      </c>
      <c r="F54" s="119">
        <f>Area!G10</f>
        <v>410.78128255694838</v>
      </c>
      <c r="G54" s="27">
        <f>D54*Variables!$C$9</f>
        <v>6.3292178657114428</v>
      </c>
      <c r="H54" s="28">
        <f t="shared" si="2"/>
        <v>6.1826881564046516</v>
      </c>
      <c r="I54" s="28">
        <f t="shared" si="1"/>
        <v>0.14652970930679121</v>
      </c>
      <c r="J54" s="197">
        <f>VLOOKUP(A54,'Land costs'!$A$2:$F$96,5,FALSE)</f>
        <v>292630299.54426229</v>
      </c>
      <c r="K54" s="29">
        <f>I54*(J54+Variables!$C$10*Variables!$C$5)</f>
        <v>43530799.289390884</v>
      </c>
      <c r="L54" s="29">
        <f>(G54*Variables!$C$11+D54*Variables!$C$12)*Variables!$C$5</f>
        <v>11481166.112504803</v>
      </c>
    </row>
    <row r="55" spans="1:12" x14ac:dyDescent="0.35">
      <c r="A55" s="96">
        <v>10</v>
      </c>
      <c r="B55" s="87" t="s">
        <v>68</v>
      </c>
      <c r="C55" s="87">
        <v>2020</v>
      </c>
      <c r="D55" s="97">
        <f>Population!E11</f>
        <v>652606.03908196301</v>
      </c>
      <c r="E55" s="92" t="str">
        <f t="shared" si="0"/>
        <v>Medium</v>
      </c>
      <c r="F55" s="119">
        <f>Area!G11</f>
        <v>121.70385395537525</v>
      </c>
      <c r="G55" s="27">
        <f>D55*Variables!$C$9</f>
        <v>5.8734543517376672</v>
      </c>
      <c r="H55" s="28">
        <f t="shared" si="2"/>
        <v>5.737476166589496</v>
      </c>
      <c r="I55" s="28">
        <f t="shared" si="1"/>
        <v>0.13597818514817117</v>
      </c>
      <c r="J55" s="197">
        <f>VLOOKUP(A55,'Land costs'!$A$2:$F$96,5,FALSE)</f>
        <v>207178319.55590102</v>
      </c>
      <c r="K55" s="29">
        <f>I55*(J55+Variables!$C$10*Variables!$C$5)</f>
        <v>28776565.104651172</v>
      </c>
      <c r="L55" s="29">
        <f>(G55*Variables!$C$11+D55*Variables!$C$12)*Variables!$C$5</f>
        <v>10654413.625392618</v>
      </c>
    </row>
    <row r="56" spans="1:12" x14ac:dyDescent="0.35">
      <c r="A56" s="96">
        <v>11</v>
      </c>
      <c r="B56" s="87" t="s">
        <v>69</v>
      </c>
      <c r="C56" s="87">
        <v>2020</v>
      </c>
      <c r="D56" s="97">
        <f>Population!E12</f>
        <v>254550.22250783932</v>
      </c>
      <c r="E56" s="92" t="str">
        <f t="shared" si="0"/>
        <v>Medium</v>
      </c>
      <c r="F56" s="119">
        <f>Area!G12</f>
        <v>156.09688737164038</v>
      </c>
      <c r="G56" s="27">
        <f>D56*Variables!$C$9</f>
        <v>2.2909520025705539</v>
      </c>
      <c r="H56" s="28">
        <f t="shared" si="2"/>
        <v>2.2379134537174505</v>
      </c>
      <c r="I56" s="28">
        <f t="shared" si="1"/>
        <v>5.3038548853103329E-2</v>
      </c>
      <c r="J56" s="197">
        <f>VLOOKUP(A56,'Land costs'!$A$2:$F$96,5,FALSE)</f>
        <v>446522393.21506435</v>
      </c>
      <c r="K56" s="29">
        <f>I56*(J56+Variables!$C$10*Variables!$C$5)</f>
        <v>23918816.106279351</v>
      </c>
      <c r="L56" s="29">
        <f>(G56*Variables!$C$11+D56*Variables!$C$12)*Variables!$C$5</f>
        <v>4155774.2291956111</v>
      </c>
    </row>
    <row r="57" spans="1:12" x14ac:dyDescent="0.35">
      <c r="A57" s="96">
        <v>12</v>
      </c>
      <c r="B57" s="87" t="s">
        <v>70</v>
      </c>
      <c r="C57" s="87">
        <v>2020</v>
      </c>
      <c r="D57" s="97">
        <f>Population!E13</f>
        <v>123821.09461951318</v>
      </c>
      <c r="E57" s="92" t="str">
        <f t="shared" si="0"/>
        <v>Medium</v>
      </c>
      <c r="F57" s="119">
        <f>Area!G13</f>
        <v>26.016147895273399</v>
      </c>
      <c r="G57" s="27">
        <f>D57*Variables!$C$9</f>
        <v>1.1143898515756188</v>
      </c>
      <c r="H57" s="28">
        <f t="shared" si="2"/>
        <v>1.0885902623577404</v>
      </c>
      <c r="I57" s="28">
        <f t="shared" si="1"/>
        <v>2.5799589217878394E-2</v>
      </c>
      <c r="J57" s="197">
        <f>VLOOKUP(A57,'Land costs'!$A$2:$F$96,5,FALSE)</f>
        <v>207178319.55590102</v>
      </c>
      <c r="K57" s="29">
        <f>I57*(J57+Variables!$C$10*Variables!$C$5)</f>
        <v>5459872.5375878364</v>
      </c>
      <c r="L57" s="29">
        <f>(G57*Variables!$C$11+D57*Variables!$C$12)*Variables!$C$5</f>
        <v>2021497.0113990651</v>
      </c>
    </row>
    <row r="58" spans="1:12" x14ac:dyDescent="0.35">
      <c r="A58" s="96">
        <v>13</v>
      </c>
      <c r="B58" s="87" t="s">
        <v>71</v>
      </c>
      <c r="C58" s="87">
        <v>2020</v>
      </c>
      <c r="D58" s="97">
        <f>Population!E14</f>
        <v>8311604.8755428735</v>
      </c>
      <c r="E58" s="92" t="str">
        <f t="shared" si="0"/>
        <v>Large</v>
      </c>
      <c r="F58" s="119">
        <f>Area!G14</f>
        <v>858.17968884547497</v>
      </c>
      <c r="G58" s="27">
        <f>D58*Variables!$C$9</f>
        <v>74.804443879885866</v>
      </c>
      <c r="H58" s="28">
        <f t="shared" si="2"/>
        <v>279.82566666666668</v>
      </c>
      <c r="I58" s="28">
        <f t="shared" si="1"/>
        <v>0</v>
      </c>
      <c r="J58" s="197">
        <f>VLOOKUP(A58,'Land costs'!$A$2:$F$96,5,FALSE)</f>
        <v>225281113.07128146</v>
      </c>
      <c r="K58" s="29">
        <f>I58*(J58+Variables!$C$10*Variables!$C$5)</f>
        <v>0</v>
      </c>
      <c r="L58" s="29">
        <f>(G58*Variables!$C$11+D58*Variables!$C$12)*Variables!$C$5</f>
        <v>135694846.40294868</v>
      </c>
    </row>
    <row r="59" spans="1:12" x14ac:dyDescent="0.35">
      <c r="A59" s="96">
        <v>14</v>
      </c>
      <c r="B59" s="87" t="s">
        <v>72</v>
      </c>
      <c r="C59" s="87">
        <v>2020</v>
      </c>
      <c r="D59" s="97">
        <f>Population!E15</f>
        <v>331194.20341844397</v>
      </c>
      <c r="E59" s="92" t="str">
        <f t="shared" si="0"/>
        <v>Medium</v>
      </c>
      <c r="F59" s="119">
        <f>Area!G15</f>
        <v>41.078128255694836</v>
      </c>
      <c r="G59" s="27">
        <f>D59*Variables!$C$9</f>
        <v>2.9807478307659956</v>
      </c>
      <c r="H59" s="28">
        <f t="shared" si="2"/>
        <v>2.9117396021939981</v>
      </c>
      <c r="I59" s="28">
        <f t="shared" si="1"/>
        <v>6.900822857199751E-2</v>
      </c>
      <c r="J59" s="197">
        <f>VLOOKUP(A59,'Land costs'!$A$2:$F$96,5,FALSE)</f>
        <v>172078376.43406156</v>
      </c>
      <c r="K59" s="29">
        <f>I59*(J59+Variables!$C$10*Variables!$C$5)</f>
        <v>12181773.671676956</v>
      </c>
      <c r="L59" s="29">
        <f>(G59*Variables!$C$11+D59*Variables!$C$12)*Variables!$C$5</f>
        <v>5407060.0365825668</v>
      </c>
    </row>
    <row r="60" spans="1:12" x14ac:dyDescent="0.35">
      <c r="A60" s="96">
        <v>15</v>
      </c>
      <c r="B60" s="87" t="s">
        <v>73</v>
      </c>
      <c r="C60" s="87">
        <v>2020</v>
      </c>
      <c r="D60" s="97">
        <f>Population!E16</f>
        <v>73451.099045877185</v>
      </c>
      <c r="E60" s="92" t="str">
        <f t="shared" si="0"/>
        <v>Small</v>
      </c>
      <c r="F60" s="119">
        <f>Area!G16</f>
        <v>228.66824729003457</v>
      </c>
      <c r="G60" s="27">
        <f>D60*Variables!$C$9</f>
        <v>0.66105989141289467</v>
      </c>
      <c r="H60" s="28">
        <f t="shared" si="2"/>
        <v>43.35</v>
      </c>
      <c r="I60" s="28">
        <f t="shared" si="1"/>
        <v>0</v>
      </c>
      <c r="J60" s="197">
        <f>VLOOKUP(A60,'Land costs'!$A$2:$F$96,5,FALSE)</f>
        <v>399734297.50693494</v>
      </c>
      <c r="K60" s="29">
        <f>I60*(J60+Variables!$C$10*Variables!$C$5)</f>
        <v>0</v>
      </c>
      <c r="L60" s="29">
        <f>(G60*Variables!$C$11+D60*Variables!$C$12)*Variables!$C$5</f>
        <v>1199158.9774059227</v>
      </c>
    </row>
    <row r="61" spans="1:12" x14ac:dyDescent="0.35">
      <c r="A61" s="96">
        <v>16</v>
      </c>
      <c r="B61" s="87" t="s">
        <v>74</v>
      </c>
      <c r="C61" s="87">
        <v>2020</v>
      </c>
      <c r="D61" s="97">
        <f>Population!E17</f>
        <v>3761035.8080834826</v>
      </c>
      <c r="E61" s="92" t="str">
        <f t="shared" si="0"/>
        <v>Large</v>
      </c>
      <c r="F61" s="119">
        <f>Area!G17</f>
        <v>429.20049756054078</v>
      </c>
      <c r="G61" s="27">
        <f>D61*Variables!$C$9</f>
        <v>33.849322272751344</v>
      </c>
      <c r="H61" s="28">
        <f t="shared" si="2"/>
        <v>108.39099999999998</v>
      </c>
      <c r="I61" s="28">
        <f t="shared" si="1"/>
        <v>0</v>
      </c>
      <c r="J61" s="197">
        <f>VLOOKUP(A61,'Land costs'!$A$2:$F$96,5,FALSE)</f>
        <v>258664564.88983455</v>
      </c>
      <c r="K61" s="29">
        <f>I61*(J61+Variables!$C$10*Variables!$C$5)</f>
        <v>0</v>
      </c>
      <c r="L61" s="29">
        <f>(G61*Variables!$C$11+D61*Variables!$C$12)*Variables!$C$5</f>
        <v>61402482.906232275</v>
      </c>
    </row>
    <row r="62" spans="1:12" x14ac:dyDescent="0.35">
      <c r="A62" s="96">
        <v>17</v>
      </c>
      <c r="B62" s="87" t="s">
        <v>75</v>
      </c>
      <c r="C62" s="87">
        <v>2020</v>
      </c>
      <c r="D62" s="97">
        <f>Population!E18</f>
        <v>13840.760132867426</v>
      </c>
      <c r="E62" s="92" t="str">
        <f t="shared" si="0"/>
        <v>Small</v>
      </c>
      <c r="F62" s="119">
        <f>Area!G18</f>
        <v>2.6470588235294117</v>
      </c>
      <c r="G62" s="27">
        <f>D62*Variables!$C$9</f>
        <v>0.12456684119580684</v>
      </c>
      <c r="H62" s="28">
        <f t="shared" si="2"/>
        <v>0.12168295515854922</v>
      </c>
      <c r="I62" s="28">
        <f t="shared" si="1"/>
        <v>2.8838860372576158E-3</v>
      </c>
      <c r="J62" s="197">
        <f>VLOOKUP(A62,'Land costs'!$A$2:$F$96,5,FALSE)</f>
        <v>399734297.50693494</v>
      </c>
      <c r="K62" s="29">
        <f>I62*(J62+Variables!$C$10*Variables!$C$5)</f>
        <v>1165615.7318331685</v>
      </c>
      <c r="L62" s="29">
        <f>(G62*Variables!$C$11+D62*Variables!$C$12)*Variables!$C$5</f>
        <v>225963.55919852739</v>
      </c>
    </row>
    <row r="63" spans="1:12" x14ac:dyDescent="0.35">
      <c r="A63" s="96">
        <v>18</v>
      </c>
      <c r="B63" s="87" t="s">
        <v>76</v>
      </c>
      <c r="C63" s="87">
        <v>2020</v>
      </c>
      <c r="D63" s="97">
        <f>Population!E19</f>
        <v>122281.44895620491</v>
      </c>
      <c r="E63" s="92" t="str">
        <f t="shared" si="0"/>
        <v>Medium</v>
      </c>
      <c r="F63" s="119">
        <f>Area!G19</f>
        <v>27.385418837129897</v>
      </c>
      <c r="G63" s="27">
        <f>D63*Variables!$C$9</f>
        <v>1.1005330406058442</v>
      </c>
      <c r="H63" s="28">
        <f t="shared" si="2"/>
        <v>1.0750542547678463</v>
      </c>
      <c r="I63" s="28">
        <f t="shared" si="1"/>
        <v>2.5478785837997897E-2</v>
      </c>
      <c r="J63" s="197">
        <f>VLOOKUP(A63,'Land costs'!$A$2:$F$96,5,FALSE)</f>
        <v>207178319.55590102</v>
      </c>
      <c r="K63" s="29">
        <f>I63*(J63+Variables!$C$10*Variables!$C$5)</f>
        <v>5391982.0937135937</v>
      </c>
      <c r="L63" s="29">
        <f>(G63*Variables!$C$11+D63*Variables!$C$12)*Variables!$C$5</f>
        <v>1996360.8331367488</v>
      </c>
    </row>
    <row r="64" spans="1:12" x14ac:dyDescent="0.35">
      <c r="A64" s="96">
        <v>19</v>
      </c>
      <c r="B64" s="87" t="s">
        <v>77</v>
      </c>
      <c r="C64" s="87">
        <v>2020</v>
      </c>
      <c r="D64" s="97">
        <f>Population!E20</f>
        <v>5551977.0780467587</v>
      </c>
      <c r="E64" s="92" t="str">
        <f t="shared" si="0"/>
        <v>Large</v>
      </c>
      <c r="F64" s="119">
        <f>Area!G20</f>
        <v>1142.6982802164819</v>
      </c>
      <c r="G64" s="27">
        <f>D64*Variables!$C$9</f>
        <v>49.967793702420828</v>
      </c>
      <c r="H64" s="28">
        <f t="shared" si="2"/>
        <v>48.810973627450259</v>
      </c>
      <c r="I64" s="28">
        <f t="shared" si="1"/>
        <v>1.1568200749705682</v>
      </c>
      <c r="J64" s="197">
        <f>VLOOKUP(A64,'Land costs'!$A$2:$F$96,5,FALSE)</f>
        <v>69556263.81201373</v>
      </c>
      <c r="K64" s="29">
        <f>I64*(J64+Variables!$C$10*Variables!$C$5)</f>
        <v>85609637.083481967</v>
      </c>
      <c r="L64" s="29">
        <f>(G64*Variables!$C$11+D64*Variables!$C$12)*Variables!$C$5</f>
        <v>90641300.701754078</v>
      </c>
    </row>
    <row r="65" spans="1:12" x14ac:dyDescent="0.35">
      <c r="A65" s="96">
        <v>20</v>
      </c>
      <c r="B65" s="87" t="s">
        <v>78</v>
      </c>
      <c r="C65" s="87">
        <v>2020</v>
      </c>
      <c r="D65" s="97">
        <f>Population!E21</f>
        <v>3478222.5311419708</v>
      </c>
      <c r="E65" s="92" t="str">
        <f t="shared" si="0"/>
        <v>Large</v>
      </c>
      <c r="F65" s="119">
        <f>Area!G21</f>
        <v>461.4443074056386</v>
      </c>
      <c r="G65" s="27">
        <f>D65*Variables!$C$9</f>
        <v>31.304002780277738</v>
      </c>
      <c r="H65" s="28">
        <f t="shared" si="2"/>
        <v>38.65</v>
      </c>
      <c r="I65" s="28">
        <f t="shared" si="1"/>
        <v>0</v>
      </c>
      <c r="J65" s="197">
        <f>VLOOKUP(A65,'Land costs'!$A$2:$F$96,5,FALSE)</f>
        <v>423084709.93427253</v>
      </c>
      <c r="K65" s="29">
        <f>I65*(J65+Variables!$C$10*Variables!$C$5)</f>
        <v>0</v>
      </c>
      <c r="L65" s="29">
        <f>(G65*Variables!$C$11+D65*Variables!$C$12)*Variables!$C$5</f>
        <v>56785287.460835643</v>
      </c>
    </row>
    <row r="66" spans="1:12" x14ac:dyDescent="0.35">
      <c r="A66" s="96">
        <v>21</v>
      </c>
      <c r="B66" s="98" t="s">
        <v>79</v>
      </c>
      <c r="C66" s="87">
        <v>2020</v>
      </c>
      <c r="D66" s="97">
        <f>Population!E22</f>
        <v>15362346.135295814</v>
      </c>
      <c r="E66" s="92" t="str">
        <f t="shared" si="0"/>
        <v>Large</v>
      </c>
      <c r="F66" s="119">
        <f>Area!G22</f>
        <v>821.58274055590448</v>
      </c>
      <c r="G66" s="27">
        <f>D66*Variables!$C$9</f>
        <v>138.26111521766234</v>
      </c>
      <c r="H66" s="28">
        <f t="shared" si="2"/>
        <v>135.06018874441961</v>
      </c>
      <c r="I66" s="28">
        <f t="shared" si="1"/>
        <v>3.2009264732427312</v>
      </c>
      <c r="J66" s="197">
        <f>VLOOKUP(A66,'Land costs'!$A$2:$F$96,5,FALSE)</f>
        <v>136261714.31466237</v>
      </c>
      <c r="K66" s="29">
        <f>I66*(J66+Variables!$C$10*Variables!$C$5)</f>
        <v>450401502.36543983</v>
      </c>
      <c r="L66" s="29">
        <f>(G66*Variables!$C$11+D66*Variables!$C$12)*Variables!$C$5</f>
        <v>250804896.33859581</v>
      </c>
    </row>
    <row r="67" spans="1:12" x14ac:dyDescent="0.35">
      <c r="A67" s="96">
        <v>22</v>
      </c>
      <c r="B67" s="87" t="s">
        <v>80</v>
      </c>
      <c r="C67" s="87">
        <v>2020</v>
      </c>
      <c r="D67" s="97">
        <f>Population!E23</f>
        <v>13624141.742010074</v>
      </c>
      <c r="E67" s="92" t="str">
        <f t="shared" si="0"/>
        <v>Large</v>
      </c>
      <c r="F67" s="119">
        <f>Area!G23</f>
        <v>1070.7698765317787</v>
      </c>
      <c r="G67" s="27">
        <f>D67*Variables!$C$9</f>
        <v>122.61727567809066</v>
      </c>
      <c r="H67" s="28">
        <f t="shared" si="2"/>
        <v>119.77852464402723</v>
      </c>
      <c r="I67" s="28">
        <f t="shared" si="1"/>
        <v>2.838751034063435</v>
      </c>
      <c r="J67" s="197">
        <f>VLOOKUP(A67,'Land costs'!$A$2:$F$96,5,FALSE)</f>
        <v>181431544.56336635</v>
      </c>
      <c r="K67" s="29">
        <f>I67*(J67+Variables!$C$10*Variables!$C$5)</f>
        <v>527665796.14257747</v>
      </c>
      <c r="L67" s="29">
        <f>(G67*Variables!$C$11+D67*Variables!$C$12)*Variables!$C$5</f>
        <v>222427058.15984893</v>
      </c>
    </row>
    <row r="68" spans="1:12" x14ac:dyDescent="0.35">
      <c r="A68" s="96">
        <v>23</v>
      </c>
      <c r="B68" s="87" t="s">
        <v>81</v>
      </c>
      <c r="C68" s="87">
        <v>2020</v>
      </c>
      <c r="D68" s="97">
        <f>Population!E24</f>
        <v>49408.18003897911</v>
      </c>
      <c r="E68" s="92" t="str">
        <f t="shared" si="0"/>
        <v>Small</v>
      </c>
      <c r="F68" s="119">
        <f>Area!G24</f>
        <v>101.59368383510039</v>
      </c>
      <c r="G68" s="27">
        <f>D68*Variables!$C$9</f>
        <v>0.44467362035081198</v>
      </c>
      <c r="H68" s="28">
        <f t="shared" si="2"/>
        <v>0.8</v>
      </c>
      <c r="I68" s="28">
        <f t="shared" si="1"/>
        <v>0</v>
      </c>
      <c r="J68" s="197">
        <f>VLOOKUP(A68,'Land costs'!$A$2:$F$96,5,FALSE)</f>
        <v>679160605.168293</v>
      </c>
      <c r="K68" s="29">
        <f>I68*(J68+Variables!$C$10*Variables!$C$5)</f>
        <v>0</v>
      </c>
      <c r="L68" s="29">
        <f>(G68*Variables!$C$11+D68*Variables!$C$12)*Variables!$C$5</f>
        <v>806635.48157426144</v>
      </c>
    </row>
    <row r="69" spans="1:12" x14ac:dyDescent="0.35">
      <c r="A69" s="96">
        <v>24</v>
      </c>
      <c r="B69" s="87" t="s">
        <v>82</v>
      </c>
      <c r="C69" s="87">
        <v>2020</v>
      </c>
      <c r="D69" s="97">
        <f>Population!E25</f>
        <v>2079474.8182424838</v>
      </c>
      <c r="E69" s="92" t="str">
        <f t="shared" ref="E69:E132" si="3">IF(D69&lt;100000,"Small",IF(D69&lt;1000000,"Medium","Large"))</f>
        <v>Large</v>
      </c>
      <c r="F69" s="119">
        <f>Area!G25</f>
        <v>104.06459158109359</v>
      </c>
      <c r="G69" s="27">
        <f>D69*Variables!$C$9</f>
        <v>18.715273364182355</v>
      </c>
      <c r="H69" s="28">
        <f t="shared" si="2"/>
        <v>18.28199019652472</v>
      </c>
      <c r="I69" s="28">
        <f t="shared" ref="I69:I132" si="4">IF(G69-H69&gt;0,G69-H69,0)</f>
        <v>0.43328316765763475</v>
      </c>
      <c r="J69" s="197">
        <f>VLOOKUP(A69,'Land costs'!$A$2:$F$96,5,FALSE)</f>
        <v>273857556.71751869</v>
      </c>
      <c r="K69" s="29">
        <f>I69*(J69+Variables!$C$10*Variables!$C$5)</f>
        <v>120585120.33476542</v>
      </c>
      <c r="L69" s="29">
        <f>(G69*Variables!$C$11+D69*Variables!$C$12)*Variables!$C$5</f>
        <v>33949402.10530439</v>
      </c>
    </row>
    <row r="70" spans="1:12" x14ac:dyDescent="0.35">
      <c r="A70" s="96">
        <v>25</v>
      </c>
      <c r="B70" s="87" t="s">
        <v>83</v>
      </c>
      <c r="C70" s="87">
        <v>2020</v>
      </c>
      <c r="D70" s="97">
        <f>Population!E26</f>
        <v>298512.23011630296</v>
      </c>
      <c r="E70" s="92" t="str">
        <f t="shared" si="3"/>
        <v>Medium</v>
      </c>
      <c r="F70" s="119">
        <f>Area!G26</f>
        <v>184.85157715062678</v>
      </c>
      <c r="G70" s="27">
        <f>D70*Variables!$C$9</f>
        <v>2.6866100710467267</v>
      </c>
      <c r="H70" s="28">
        <f t="shared" si="2"/>
        <v>2.6244115180685035</v>
      </c>
      <c r="I70" s="28">
        <f t="shared" si="4"/>
        <v>6.2198552978223187E-2</v>
      </c>
      <c r="J70" s="197">
        <f>VLOOKUP(A70,'Land costs'!$A$2:$F$96,5,FALSE)</f>
        <v>202576692.05248237</v>
      </c>
      <c r="K70" s="29">
        <f>I70*(J70+Variables!$C$10*Variables!$C$5)</f>
        <v>12876637.301885283</v>
      </c>
      <c r="L70" s="29">
        <f>(G70*Variables!$C$11+D70*Variables!$C$12)*Variables!$C$5</f>
        <v>4873495.7714634752</v>
      </c>
    </row>
    <row r="71" spans="1:12" x14ac:dyDescent="0.35">
      <c r="A71" s="96">
        <v>26</v>
      </c>
      <c r="B71" s="87" t="s">
        <v>84</v>
      </c>
      <c r="C71" s="87">
        <v>2020</v>
      </c>
      <c r="D71" s="97">
        <f>Population!E27</f>
        <v>123697.62664330562</v>
      </c>
      <c r="E71" s="92" t="str">
        <f t="shared" si="3"/>
        <v>Medium</v>
      </c>
      <c r="F71" s="119">
        <f>Area!G27</f>
        <v>659.98859397483045</v>
      </c>
      <c r="G71" s="27">
        <f>D71*Variables!$C$9</f>
        <v>1.1132786397897505</v>
      </c>
      <c r="H71" s="28">
        <f t="shared" si="2"/>
        <v>1.0875047765846935</v>
      </c>
      <c r="I71" s="28">
        <f t="shared" si="4"/>
        <v>2.5773863205057035E-2</v>
      </c>
      <c r="J71" s="197">
        <f>VLOOKUP(A71,'Land costs'!$A$2:$F$96,5,FALSE)</f>
        <v>207178319.55590102</v>
      </c>
      <c r="K71" s="29">
        <f>I71*(J71+Variables!$C$10*Variables!$C$5)</f>
        <v>5454428.2357534636</v>
      </c>
      <c r="L71" s="29">
        <f>(G71*Variables!$C$11+D71*Variables!$C$12)*Variables!$C$5</f>
        <v>2019481.2793812368</v>
      </c>
    </row>
    <row r="72" spans="1:12" x14ac:dyDescent="0.35">
      <c r="A72" s="96">
        <v>27</v>
      </c>
      <c r="B72" s="87" t="s">
        <v>85</v>
      </c>
      <c r="C72" s="87">
        <v>2020</v>
      </c>
      <c r="D72" s="97">
        <f>Population!E28</f>
        <v>1247561.1760333304</v>
      </c>
      <c r="E72" s="92" t="str">
        <f t="shared" si="3"/>
        <v>Large</v>
      </c>
      <c r="F72" s="119">
        <f>Area!G28</f>
        <v>123.23249139844914</v>
      </c>
      <c r="G72" s="27">
        <f>D72*Variables!$C$9</f>
        <v>11.228050584299973</v>
      </c>
      <c r="H72" s="28">
        <f t="shared" si="2"/>
        <v>27.873100000000001</v>
      </c>
      <c r="I72" s="28">
        <f t="shared" si="4"/>
        <v>0</v>
      </c>
      <c r="J72" s="197">
        <f>VLOOKUP(A72,'Land costs'!$A$2:$F$96,5,FALSE)</f>
        <v>194110385.46713075</v>
      </c>
      <c r="K72" s="29">
        <f>I72*(J72+Variables!$C$10*Variables!$C$5)</f>
        <v>0</v>
      </c>
      <c r="L72" s="29">
        <f>(G72*Variables!$C$11+D72*Variables!$C$12)*Variables!$C$5</f>
        <v>20367621.499700774</v>
      </c>
    </row>
    <row r="73" spans="1:12" x14ac:dyDescent="0.35">
      <c r="A73" s="96">
        <v>28</v>
      </c>
      <c r="B73" s="87" t="s">
        <v>86</v>
      </c>
      <c r="C73" s="87">
        <v>2020</v>
      </c>
      <c r="D73" s="97">
        <f>Population!E29</f>
        <v>1325338.5929655205</v>
      </c>
      <c r="E73" s="92" t="str">
        <f t="shared" si="3"/>
        <v>Large</v>
      </c>
      <c r="F73" s="119">
        <f>Area!G29</f>
        <v>158.83542925535335</v>
      </c>
      <c r="G73" s="27">
        <f>D73*Variables!$C$9</f>
        <v>11.928047336689684</v>
      </c>
      <c r="H73" s="28">
        <f t="shared" si="2"/>
        <v>59.512458633395788</v>
      </c>
      <c r="I73" s="28">
        <f t="shared" si="4"/>
        <v>0</v>
      </c>
      <c r="J73" s="197">
        <f>VLOOKUP(A73,'Land costs'!$A$2:$F$96,5,FALSE)</f>
        <v>106495314.22538668</v>
      </c>
      <c r="K73" s="29">
        <f>I73*(J73+Variables!$C$10*Variables!$C$5)</f>
        <v>0</v>
      </c>
      <c r="L73" s="29">
        <f>(G73*Variables!$C$11+D73*Variables!$C$12)*Variables!$C$5</f>
        <v>21637411.72701139</v>
      </c>
    </row>
    <row r="74" spans="1:12" x14ac:dyDescent="0.35">
      <c r="A74" s="96">
        <v>29</v>
      </c>
      <c r="B74" s="87" t="s">
        <v>87</v>
      </c>
      <c r="C74" s="87">
        <v>2020</v>
      </c>
      <c r="D74" s="97">
        <f>Population!E30</f>
        <v>176841.94764232548</v>
      </c>
      <c r="E74" s="92" t="str">
        <f t="shared" si="3"/>
        <v>Medium</v>
      </c>
      <c r="F74" s="119">
        <f>Area!G30</f>
        <v>892.76465409043442</v>
      </c>
      <c r="G74" s="27">
        <f>D74*Variables!$C$9</f>
        <v>1.5915775287809293</v>
      </c>
      <c r="H74" s="28">
        <f t="shared" si="2"/>
        <v>1.5547304178772388</v>
      </c>
      <c r="I74" s="28">
        <f t="shared" si="4"/>
        <v>3.6847110903690528E-2</v>
      </c>
      <c r="J74" s="197">
        <f>VLOOKUP(A74,'Land costs'!$A$2:$F$96,5,FALSE)</f>
        <v>207178319.55590102</v>
      </c>
      <c r="K74" s="29">
        <f>I74*(J74+Variables!$C$10*Variables!$C$5)</f>
        <v>7797819.0743091656</v>
      </c>
      <c r="L74" s="29">
        <f>(G74*Variables!$C$11+D74*Variables!$C$12)*Variables!$C$5</f>
        <v>2887112.8118149759</v>
      </c>
    </row>
    <row r="75" spans="1:12" x14ac:dyDescent="0.35">
      <c r="A75" s="96">
        <v>30</v>
      </c>
      <c r="B75" s="87" t="s">
        <v>88</v>
      </c>
      <c r="C75" s="87">
        <v>2020</v>
      </c>
      <c r="D75" s="97">
        <f>Population!E31</f>
        <v>121325.8068203584</v>
      </c>
      <c r="E75" s="92" t="str">
        <f t="shared" si="3"/>
        <v>Medium</v>
      </c>
      <c r="F75" s="119">
        <f>Area!G31</f>
        <v>89.002611220672151</v>
      </c>
      <c r="G75" s="27">
        <f>D75*Variables!$C$9</f>
        <v>1.0919322613832256</v>
      </c>
      <c r="H75" s="28">
        <f t="shared" si="2"/>
        <v>1.0666525948844638</v>
      </c>
      <c r="I75" s="28">
        <f t="shared" si="4"/>
        <v>2.5279666498761788E-2</v>
      </c>
      <c r="J75" s="197">
        <f>VLOOKUP(A75,'Land costs'!$A$2:$F$96,5,FALSE)</f>
        <v>207178319.55590102</v>
      </c>
      <c r="K75" s="29">
        <f>I75*(J75+Variables!$C$10*Variables!$C$5)</f>
        <v>5349843.1975158015</v>
      </c>
      <c r="L75" s="29">
        <f>(G75*Variables!$C$11+D75*Variables!$C$12)*Variables!$C$5</f>
        <v>1980759.0673187596</v>
      </c>
    </row>
    <row r="76" spans="1:12" x14ac:dyDescent="0.35">
      <c r="A76" s="96">
        <v>31</v>
      </c>
      <c r="B76" s="87" t="s">
        <v>89</v>
      </c>
      <c r="C76" s="87">
        <v>2020</v>
      </c>
      <c r="D76" s="97">
        <f>Population!E32</f>
        <v>209374.52469325534</v>
      </c>
      <c r="E76" s="92" t="str">
        <f t="shared" si="3"/>
        <v>Medium</v>
      </c>
      <c r="F76" s="119">
        <f>Area!G32</f>
        <v>672.31203245153881</v>
      </c>
      <c r="G76" s="27">
        <f>D76*Variables!$C$9</f>
        <v>1.884370722239298</v>
      </c>
      <c r="H76" s="28">
        <f t="shared" si="2"/>
        <v>1.8407450642173471</v>
      </c>
      <c r="I76" s="28">
        <f t="shared" si="4"/>
        <v>4.3625658021950953E-2</v>
      </c>
      <c r="J76" s="197">
        <f>VLOOKUP(A76,'Land costs'!$A$2:$F$96,5,FALSE)</f>
        <v>207178319.55590102</v>
      </c>
      <c r="K76" s="29">
        <f>I76*(J76+Variables!$C$10*Variables!$C$5)</f>
        <v>9232338.164639812</v>
      </c>
      <c r="L76" s="29">
        <f>(G76*Variables!$C$11+D76*Variables!$C$12)*Variables!$C$5</f>
        <v>3418238.0411924953</v>
      </c>
    </row>
    <row r="77" spans="1:12" x14ac:dyDescent="0.35">
      <c r="A77" s="96">
        <v>32</v>
      </c>
      <c r="B77" s="87" t="s">
        <v>90</v>
      </c>
      <c r="C77" s="87">
        <v>2020</v>
      </c>
      <c r="D77" s="97">
        <f>Population!E33</f>
        <v>1457625.8867135858</v>
      </c>
      <c r="E77" s="92" t="str">
        <f t="shared" si="3"/>
        <v>Large</v>
      </c>
      <c r="F77" s="119">
        <f>Area!G33</f>
        <v>39.708857313838344</v>
      </c>
      <c r="G77" s="27">
        <f>D77*Variables!$C$9</f>
        <v>13.118632980422273</v>
      </c>
      <c r="H77" s="28">
        <f t="shared" si="2"/>
        <v>12.814919390858917</v>
      </c>
      <c r="I77" s="28">
        <f t="shared" si="4"/>
        <v>0.30371358956335648</v>
      </c>
      <c r="J77" s="197">
        <f>VLOOKUP(A77,'Land costs'!$A$2:$F$96,5,FALSE)</f>
        <v>258664564.88983455</v>
      </c>
      <c r="K77" s="29">
        <f>I77*(J77+Variables!$C$10*Variables!$C$5)</f>
        <v>79910866.549195573</v>
      </c>
      <c r="L77" s="29">
        <f>(G77*Variables!$C$11+D77*Variables!$C$12)*Variables!$C$5</f>
        <v>23797127.482872926</v>
      </c>
    </row>
    <row r="78" spans="1:12" x14ac:dyDescent="0.35">
      <c r="A78" s="96">
        <v>33</v>
      </c>
      <c r="B78" s="87" t="s">
        <v>91</v>
      </c>
      <c r="C78" s="87">
        <v>2020</v>
      </c>
      <c r="D78" s="97">
        <f>Population!E34</f>
        <v>918220.22693776176</v>
      </c>
      <c r="E78" s="92" t="str">
        <f t="shared" si="3"/>
        <v>Medium</v>
      </c>
      <c r="F78" s="119">
        <f>Area!G34</f>
        <v>331.3635679292716</v>
      </c>
      <c r="G78" s="27">
        <f>D78*Variables!$C$9</f>
        <v>8.2639820424398565</v>
      </c>
      <c r="H78" s="28">
        <f t="shared" si="2"/>
        <v>8.0726600004296731</v>
      </c>
      <c r="I78" s="28">
        <f t="shared" si="4"/>
        <v>0.19132204201018332</v>
      </c>
      <c r="J78" s="197">
        <f>VLOOKUP(A78,'Land costs'!$A$2:$F$96,5,FALSE)</f>
        <v>147442586.65970939</v>
      </c>
      <c r="K78" s="29">
        <f>I78*(J78+Variables!$C$10*Variables!$C$5)</f>
        <v>29060020.356159363</v>
      </c>
      <c r="L78" s="29">
        <f>(G78*Variables!$C$11+D78*Variables!$C$12)*Variables!$C$5</f>
        <v>14990817.600705804</v>
      </c>
    </row>
    <row r="79" spans="1:12" x14ac:dyDescent="0.35">
      <c r="A79" s="96">
        <v>34</v>
      </c>
      <c r="B79" s="87" t="s">
        <v>92</v>
      </c>
      <c r="C79" s="87">
        <v>2020</v>
      </c>
      <c r="D79" s="97">
        <f>Population!E35</f>
        <v>531176.51916159026</v>
      </c>
      <c r="E79" s="92" t="str">
        <f t="shared" si="3"/>
        <v>Medium</v>
      </c>
      <c r="F79" s="119">
        <f>Area!G35</f>
        <v>100.80271879332975</v>
      </c>
      <c r="G79" s="27">
        <f>D79*Variables!$C$9</f>
        <v>4.7805886724543125</v>
      </c>
      <c r="H79" s="28">
        <f t="shared" si="2"/>
        <v>4.6699117636556737</v>
      </c>
      <c r="I79" s="28">
        <f t="shared" si="4"/>
        <v>0.11067690879863878</v>
      </c>
      <c r="J79" s="197">
        <f>VLOOKUP(A79,'Land costs'!$A$2:$F$96,5,FALSE)</f>
        <v>382950815.48123109</v>
      </c>
      <c r="K79" s="29">
        <f>I79*(J79+Variables!$C$10*Variables!$C$5)</f>
        <v>42876105.194431216</v>
      </c>
      <c r="L79" s="29">
        <f>(G79*Variables!$C$11+D79*Variables!$C$12)*Variables!$C$5</f>
        <v>8671961.3431788813</v>
      </c>
    </row>
    <row r="80" spans="1:12" x14ac:dyDescent="0.35">
      <c r="A80" s="96">
        <v>35</v>
      </c>
      <c r="B80" s="87" t="s">
        <v>93</v>
      </c>
      <c r="C80" s="87">
        <v>2020</v>
      </c>
      <c r="D80" s="97">
        <f>Population!E36</f>
        <v>226294.57615273932</v>
      </c>
      <c r="E80" s="92" t="str">
        <f t="shared" si="3"/>
        <v>Medium</v>
      </c>
      <c r="F80" s="119">
        <f>Area!G36</f>
        <v>34.279918864097361</v>
      </c>
      <c r="G80" s="27">
        <f>D80*Variables!$C$9</f>
        <v>2.0366511853746538</v>
      </c>
      <c r="H80" s="28">
        <f t="shared" si="2"/>
        <v>1.9895000345556841</v>
      </c>
      <c r="I80" s="28">
        <f t="shared" si="4"/>
        <v>4.71511508189697E-2</v>
      </c>
      <c r="J80" s="197">
        <f>VLOOKUP(A80,'Land costs'!$A$2:$F$96,5,FALSE)</f>
        <v>83219953.906071469</v>
      </c>
      <c r="K80" s="29">
        <f>I80*(J80+Variables!$C$10*Variables!$C$5)</f>
        <v>4133645.6939899158</v>
      </c>
      <c r="L80" s="29">
        <f>(G80*Variables!$C$11+D80*Variables!$C$12)*Variables!$C$5</f>
        <v>3694473.9569156556</v>
      </c>
    </row>
    <row r="81" spans="1:12" x14ac:dyDescent="0.35">
      <c r="A81" s="96">
        <v>36</v>
      </c>
      <c r="B81" s="87" t="s">
        <v>94</v>
      </c>
      <c r="C81" s="87">
        <v>2020</v>
      </c>
      <c r="D81" s="97">
        <f>Population!E37</f>
        <v>1450891.9432912257</v>
      </c>
      <c r="E81" s="92" t="str">
        <f t="shared" si="3"/>
        <v>Large</v>
      </c>
      <c r="F81" s="119">
        <f>Area!G37</f>
        <v>64.198782961460452</v>
      </c>
      <c r="G81" s="27">
        <f>D81*Variables!$C$9</f>
        <v>13.058027489621031</v>
      </c>
      <c r="H81" s="28">
        <f t="shared" si="2"/>
        <v>12.755716996796943</v>
      </c>
      <c r="I81" s="28">
        <f t="shared" si="4"/>
        <v>0.30231049282408762</v>
      </c>
      <c r="J81" s="197">
        <f>VLOOKUP(A81,'Land costs'!$A$2:$F$96,5,FALSE)</f>
        <v>115153966.74863443</v>
      </c>
      <c r="K81" s="29">
        <f>I81*(J81+Variables!$C$10*Variables!$C$5)</f>
        <v>36156934.494659521</v>
      </c>
      <c r="L81" s="29">
        <f>(G81*Variables!$C$11+D81*Variables!$C$12)*Variables!$C$5</f>
        <v>23687189.458620582</v>
      </c>
    </row>
    <row r="82" spans="1:12" x14ac:dyDescent="0.35">
      <c r="A82" s="96">
        <v>37</v>
      </c>
      <c r="B82" s="87" t="s">
        <v>95</v>
      </c>
      <c r="C82" s="87">
        <v>2020</v>
      </c>
      <c r="D82" s="97">
        <f>Population!E38</f>
        <v>242067.61011325504</v>
      </c>
      <c r="E82" s="92" t="str">
        <f t="shared" si="3"/>
        <v>Medium</v>
      </c>
      <c r="F82" s="119">
        <f>Area!G38</f>
        <v>26.977687626774848</v>
      </c>
      <c r="G82" s="27">
        <f>D82*Variables!$C$9</f>
        <v>2.1786084910192955</v>
      </c>
      <c r="H82" s="28">
        <f t="shared" si="2"/>
        <v>2.1281708420624161</v>
      </c>
      <c r="I82" s="28">
        <f t="shared" si="4"/>
        <v>5.0437648956879411E-2</v>
      </c>
      <c r="J82" s="197">
        <f>VLOOKUP(A82,'Land costs'!$A$2:$F$96,5,FALSE)</f>
        <v>135804860.55953482</v>
      </c>
      <c r="K82" s="29">
        <f>I82*(J82+Variables!$C$10*Variables!$C$5)</f>
        <v>7074025.3776582545</v>
      </c>
      <c r="L82" s="29">
        <f>(G82*Variables!$C$11+D82*Variables!$C$12)*Variables!$C$5</f>
        <v>3951983.7221931927</v>
      </c>
    </row>
    <row r="83" spans="1:12" x14ac:dyDescent="0.35">
      <c r="A83" s="96">
        <v>38</v>
      </c>
      <c r="B83" s="87" t="s">
        <v>96</v>
      </c>
      <c r="C83" s="87">
        <v>2020</v>
      </c>
      <c r="D83" s="97">
        <f>Population!E39</f>
        <v>1064535.9521425301</v>
      </c>
      <c r="E83" s="92" t="str">
        <f t="shared" si="3"/>
        <v>Large</v>
      </c>
      <c r="F83" s="119">
        <f>Area!G39</f>
        <v>108.51926977687629</v>
      </c>
      <c r="G83" s="27">
        <f>D83*Variables!$C$9</f>
        <v>9.5808235692827708</v>
      </c>
      <c r="H83" s="28">
        <f t="shared" si="2"/>
        <v>9.3590149157788147</v>
      </c>
      <c r="I83" s="28">
        <f t="shared" si="4"/>
        <v>0.22180865350395607</v>
      </c>
      <c r="J83" s="197">
        <f>VLOOKUP(A83,'Land costs'!$A$2:$F$96,5,FALSE)</f>
        <v>223708463.42310071</v>
      </c>
      <c r="K83" s="29">
        <f>I83*(J83+Variables!$C$10*Variables!$C$5)</f>
        <v>50607081.597030006</v>
      </c>
      <c r="L83" s="29">
        <f>(G83*Variables!$C$11+D83*Variables!$C$12)*Variables!$C$5</f>
        <v>17379560.828432959</v>
      </c>
    </row>
    <row r="84" spans="1:12" x14ac:dyDescent="0.35">
      <c r="A84" s="96">
        <v>39</v>
      </c>
      <c r="B84" s="87" t="s">
        <v>97</v>
      </c>
      <c r="C84" s="87">
        <v>2020</v>
      </c>
      <c r="D84" s="97">
        <f>Population!E40</f>
        <v>87637.569512125774</v>
      </c>
      <c r="E84" s="92" t="str">
        <f t="shared" si="3"/>
        <v>Small</v>
      </c>
      <c r="F84" s="119">
        <f>Area!G40</f>
        <v>25.862068965517242</v>
      </c>
      <c r="G84" s="27">
        <f>D84*Variables!$C$9</f>
        <v>0.78873812560913203</v>
      </c>
      <c r="H84" s="28">
        <f t="shared" si="2"/>
        <v>0.77047780170863722</v>
      </c>
      <c r="I84" s="28">
        <f t="shared" si="4"/>
        <v>1.8260323900494813E-2</v>
      </c>
      <c r="J84" s="197">
        <f>VLOOKUP(A84,'Land costs'!$A$2:$F$96,5,FALSE)</f>
        <v>399734297.50693494</v>
      </c>
      <c r="K84" s="29">
        <f>I84*(J84+Variables!$C$10*Variables!$C$5)</f>
        <v>7380499.9683781285</v>
      </c>
      <c r="L84" s="29">
        <f>(G84*Variables!$C$11+D84*Variables!$C$12)*Variables!$C$5</f>
        <v>1430766.586254369</v>
      </c>
    </row>
    <row r="85" spans="1:12" x14ac:dyDescent="0.35">
      <c r="A85" s="96">
        <v>40</v>
      </c>
      <c r="B85" s="87" t="s">
        <v>98</v>
      </c>
      <c r="C85" s="87">
        <v>2020</v>
      </c>
      <c r="D85" s="97">
        <f>Population!E41</f>
        <v>156478.37432641268</v>
      </c>
      <c r="E85" s="92" t="str">
        <f t="shared" si="3"/>
        <v>Medium</v>
      </c>
      <c r="F85" s="119">
        <f>Area!G41</f>
        <v>36.105476673427994</v>
      </c>
      <c r="G85" s="27">
        <f>D85*Variables!$C$9</f>
        <v>1.4083053689377141</v>
      </c>
      <c r="H85" s="28">
        <f t="shared" si="2"/>
        <v>1.3757012493286258</v>
      </c>
      <c r="I85" s="28">
        <f t="shared" si="4"/>
        <v>3.2604119609088267E-2</v>
      </c>
      <c r="J85" s="197">
        <f>VLOOKUP(A85,'Land costs'!$A$2:$F$96,5,FALSE)</f>
        <v>101660475.1170758</v>
      </c>
      <c r="K85" s="29">
        <f>I85*(J85+Variables!$C$10*Variables!$C$5)</f>
        <v>3459573.9517945461</v>
      </c>
      <c r="L85" s="29">
        <f>(G85*Variables!$C$11+D85*Variables!$C$12)*Variables!$C$5</f>
        <v>2554658.1301145912</v>
      </c>
    </row>
    <row r="86" spans="1:12" x14ac:dyDescent="0.35">
      <c r="A86" s="96">
        <v>41</v>
      </c>
      <c r="B86" s="87" t="s">
        <v>99</v>
      </c>
      <c r="C86" s="87">
        <v>2020</v>
      </c>
      <c r="D86" s="97">
        <f>Population!E42</f>
        <v>75315.465486611327</v>
      </c>
      <c r="E86" s="92" t="str">
        <f t="shared" si="3"/>
        <v>Small</v>
      </c>
      <c r="F86" s="119">
        <f>Area!G42</f>
        <v>14.401622718052739</v>
      </c>
      <c r="G86" s="27">
        <f>D86*Variables!$C$9</f>
        <v>0.67783918937950194</v>
      </c>
      <c r="H86" s="28">
        <f t="shared" si="2"/>
        <v>0.66214632155856401</v>
      </c>
      <c r="I86" s="28">
        <f t="shared" si="4"/>
        <v>1.5692867820937928E-2</v>
      </c>
      <c r="J86" s="197">
        <f>VLOOKUP(A86,'Land costs'!$A$2:$F$96,5,FALSE)</f>
        <v>399734297.50693494</v>
      </c>
      <c r="K86" s="29">
        <f>I86*(J86+Variables!$C$10*Variables!$C$5)</f>
        <v>6342779.6290653991</v>
      </c>
      <c r="L86" s="29">
        <f>(G86*Variables!$C$11+D86*Variables!$C$12)*Variables!$C$5</f>
        <v>1229596.5308751266</v>
      </c>
    </row>
    <row r="87" spans="1:12" x14ac:dyDescent="0.35">
      <c r="A87" s="96">
        <v>42</v>
      </c>
      <c r="B87" s="87" t="s">
        <v>100</v>
      </c>
      <c r="C87" s="87">
        <v>2020</v>
      </c>
      <c r="D87" s="97">
        <f>Population!E43</f>
        <v>93267.709227190498</v>
      </c>
      <c r="E87" s="92" t="str">
        <f t="shared" si="3"/>
        <v>Small</v>
      </c>
      <c r="F87" s="119">
        <f>Area!G43</f>
        <v>15.212981744421906</v>
      </c>
      <c r="G87" s="27">
        <f>D87*Variables!$C$9</f>
        <v>0.83940938304471446</v>
      </c>
      <c r="H87" s="28">
        <f t="shared" si="2"/>
        <v>0.81997595295957248</v>
      </c>
      <c r="I87" s="28">
        <f t="shared" si="4"/>
        <v>1.9433430085141978E-2</v>
      </c>
      <c r="J87" s="197">
        <f>VLOOKUP(A87,'Land costs'!$A$2:$F$96,5,FALSE)</f>
        <v>189319723.52178472</v>
      </c>
      <c r="K87" s="29">
        <f>I87*(J87+Variables!$C$10*Variables!$C$5)</f>
        <v>3765571.8282138971</v>
      </c>
      <c r="L87" s="29">
        <f>(G87*Variables!$C$11+D87*Variables!$C$12)*Variables!$C$5</f>
        <v>1522683.9662673292</v>
      </c>
    </row>
    <row r="88" spans="1:12" x14ac:dyDescent="0.35">
      <c r="A88" s="96">
        <v>1</v>
      </c>
      <c r="B88" s="87" t="s">
        <v>59</v>
      </c>
      <c r="C88" s="87">
        <v>2021</v>
      </c>
      <c r="D88" s="97">
        <f>Population!F2</f>
        <v>505581.7247414047</v>
      </c>
      <c r="E88" s="92" t="str">
        <f t="shared" si="3"/>
        <v>Medium</v>
      </c>
      <c r="F88" s="119">
        <f>Area!H2</f>
        <v>105.54218213092655</v>
      </c>
      <c r="G88" s="27">
        <f>D88*Variables!$C$9</f>
        <v>4.5502355226726428</v>
      </c>
      <c r="H88" s="28">
        <f t="shared" si="2"/>
        <v>4.4448915919435787</v>
      </c>
      <c r="I88" s="28">
        <f t="shared" si="4"/>
        <v>0.10534393072906401</v>
      </c>
      <c r="J88" s="197">
        <f>VLOOKUP(A88,'Land costs'!$A$2:$F$96,5,FALSE)</f>
        <v>349411907.96390015</v>
      </c>
      <c r="K88" s="29">
        <f>I88*(J88+Variables!$C$10*Variables!$C$5)</f>
        <v>37276995.369132325</v>
      </c>
      <c r="L88" s="29">
        <f>(G88*Variables!$C$11+D88*Variables!$C$12)*Variables!$C$5</f>
        <v>8254102.0067970762</v>
      </c>
    </row>
    <row r="89" spans="1:12" x14ac:dyDescent="0.35">
      <c r="A89" s="96">
        <v>2</v>
      </c>
      <c r="B89" s="87" t="s">
        <v>60</v>
      </c>
      <c r="C89" s="87">
        <v>2021</v>
      </c>
      <c r="D89" s="97">
        <f>Population!F3</f>
        <v>370860.70975971239</v>
      </c>
      <c r="E89" s="92" t="str">
        <f t="shared" si="3"/>
        <v>Medium</v>
      </c>
      <c r="F89" s="119">
        <f>Area!H3</f>
        <v>634.64180570833469</v>
      </c>
      <c r="G89" s="27">
        <f>D89*Variables!$C$9</f>
        <v>3.3377463878374116</v>
      </c>
      <c r="H89" s="28">
        <f t="shared" si="2"/>
        <v>12.956920723790825</v>
      </c>
      <c r="I89" s="28">
        <f t="shared" si="4"/>
        <v>0</v>
      </c>
      <c r="J89" s="197">
        <f>VLOOKUP(A89,'Land costs'!$A$2:$F$96,5,FALSE)</f>
        <v>207178319.55590102</v>
      </c>
      <c r="K89" s="29">
        <f>I89*(J89+Variables!$C$10*Variables!$C$5)</f>
        <v>0</v>
      </c>
      <c r="L89" s="29">
        <f>(G89*Variables!$C$11+D89*Variables!$C$12)*Variables!$C$5</f>
        <v>6054653.4395315312</v>
      </c>
    </row>
    <row r="90" spans="1:12" x14ac:dyDescent="0.35">
      <c r="A90" s="96">
        <v>3</v>
      </c>
      <c r="B90" s="87" t="s">
        <v>61</v>
      </c>
      <c r="C90" s="87">
        <v>2021</v>
      </c>
      <c r="D90" s="97">
        <f>Population!F4</f>
        <v>10672312.70101269</v>
      </c>
      <c r="E90" s="92" t="str">
        <f t="shared" si="3"/>
        <v>Large</v>
      </c>
      <c r="F90" s="119">
        <f>Area!H4</f>
        <v>748.51626537591346</v>
      </c>
      <c r="G90" s="27">
        <f>D90*Variables!$C$9</f>
        <v>96.050814309114216</v>
      </c>
      <c r="H90" s="28">
        <f t="shared" si="2"/>
        <v>93.827111760392896</v>
      </c>
      <c r="I90" s="28">
        <f t="shared" si="4"/>
        <v>2.2237025487213202</v>
      </c>
      <c r="J90" s="197">
        <f>VLOOKUP(A90,'Land costs'!$A$2:$F$96,5,FALSE)</f>
        <v>623490608.57078338</v>
      </c>
      <c r="K90" s="29">
        <f>I90*(J90+Variables!$C$10*Variables!$C$5)</f>
        <v>1396348720.9812353</v>
      </c>
      <c r="L90" s="29">
        <f>(G90*Variables!$C$11+D90*Variables!$C$12)*Variables!$C$5</f>
        <v>174235644.54916024</v>
      </c>
    </row>
    <row r="91" spans="1:12" x14ac:dyDescent="0.35">
      <c r="A91" s="96">
        <v>4</v>
      </c>
      <c r="B91" s="87" t="s">
        <v>62</v>
      </c>
      <c r="C91" s="87">
        <v>2021</v>
      </c>
      <c r="D91" s="97">
        <f>Population!F5</f>
        <v>2272842.6663259347</v>
      </c>
      <c r="E91" s="92" t="str">
        <f t="shared" si="3"/>
        <v>Large</v>
      </c>
      <c r="F91" s="119">
        <f>Area!H5</f>
        <v>413.83645098705415</v>
      </c>
      <c r="G91" s="27">
        <f>D91*Variables!$C$9</f>
        <v>20.455583996933413</v>
      </c>
      <c r="H91" s="28">
        <f t="shared" si="2"/>
        <v>100.58253557595253</v>
      </c>
      <c r="I91" s="28">
        <f t="shared" si="4"/>
        <v>0</v>
      </c>
      <c r="J91" s="197">
        <f>VLOOKUP(A91,'Land costs'!$A$2:$F$96,5,FALSE)</f>
        <v>258664564.88983455</v>
      </c>
      <c r="K91" s="29">
        <f>I91*(J91+Variables!$C$10*Variables!$C$5)</f>
        <v>0</v>
      </c>
      <c r="L91" s="29">
        <f>(G91*Variables!$C$11+D91*Variables!$C$12)*Variables!$C$5</f>
        <v>37106315.942987122</v>
      </c>
    </row>
    <row r="92" spans="1:12" x14ac:dyDescent="0.35">
      <c r="A92" s="96">
        <v>5</v>
      </c>
      <c r="B92" s="87" t="s">
        <v>63</v>
      </c>
      <c r="C92" s="87">
        <v>2021</v>
      </c>
      <c r="D92" s="97">
        <f>Population!F6</f>
        <v>1066010.9344165314</v>
      </c>
      <c r="E92" s="92" t="str">
        <f t="shared" si="3"/>
        <v>Large</v>
      </c>
      <c r="F92" s="119">
        <f>Area!H6</f>
        <v>187.47624457467219</v>
      </c>
      <c r="G92" s="27">
        <f>D92*Variables!$C$9</f>
        <v>9.5940984097487831</v>
      </c>
      <c r="H92" s="28">
        <f t="shared" si="2"/>
        <v>9.3719824262467331</v>
      </c>
      <c r="I92" s="28">
        <f t="shared" si="4"/>
        <v>0.22211598350205009</v>
      </c>
      <c r="J92" s="197">
        <f>VLOOKUP(A92,'Land costs'!$A$2:$F$96,5,FALSE)</f>
        <v>258664564.88983455</v>
      </c>
      <c r="K92" s="29">
        <f>I92*(J92+Variables!$C$10*Variables!$C$5)</f>
        <v>58441509.784246922</v>
      </c>
      <c r="L92" s="29">
        <f>(G92*Variables!$C$11+D92*Variables!$C$12)*Variables!$C$5</f>
        <v>17403641.315428514</v>
      </c>
    </row>
    <row r="93" spans="1:12" x14ac:dyDescent="0.35">
      <c r="A93" s="96">
        <v>6</v>
      </c>
      <c r="B93" s="87" t="s">
        <v>64</v>
      </c>
      <c r="C93" s="87">
        <v>2021</v>
      </c>
      <c r="D93" s="97">
        <f>Population!F7</f>
        <v>1215389.880973473</v>
      </c>
      <c r="E93" s="92" t="str">
        <f t="shared" si="3"/>
        <v>Large</v>
      </c>
      <c r="F93" s="119">
        <f>Area!H7</f>
        <v>161.4900699035997</v>
      </c>
      <c r="G93" s="27">
        <f>D93*Variables!$C$9</f>
        <v>10.938508928761257</v>
      </c>
      <c r="H93" s="28">
        <f t="shared" si="2"/>
        <v>10.71</v>
      </c>
      <c r="I93" s="28">
        <f t="shared" si="4"/>
        <v>0.22850892876125606</v>
      </c>
      <c r="J93" s="197">
        <f>VLOOKUP(A93,'Land costs'!$A$2:$F$96,5,FALSE)</f>
        <v>421303330.51817626</v>
      </c>
      <c r="K93" s="29">
        <f>I93*(J93+Variables!$C$10*Variables!$C$5)</f>
        <v>97287984.222781822</v>
      </c>
      <c r="L93" s="29">
        <f>(G93*Variables!$C$11+D93*Variables!$C$12)*Variables!$C$5</f>
        <v>19842394.542079523</v>
      </c>
    </row>
    <row r="94" spans="1:12" x14ac:dyDescent="0.35">
      <c r="A94" s="96">
        <v>7</v>
      </c>
      <c r="B94" s="87" t="s">
        <v>65</v>
      </c>
      <c r="C94" s="87">
        <v>2021</v>
      </c>
      <c r="D94" s="97">
        <f>Population!F8</f>
        <v>5873198.2154455381</v>
      </c>
      <c r="E94" s="92" t="str">
        <f t="shared" si="3"/>
        <v>Large</v>
      </c>
      <c r="F94" s="119">
        <f>Area!H8</f>
        <v>1094.3057831469755</v>
      </c>
      <c r="G94" s="27">
        <f>D94*Variables!$C$9</f>
        <v>52.858783939009847</v>
      </c>
      <c r="H94" s="28">
        <f t="shared" si="2"/>
        <v>51.635033641701511</v>
      </c>
      <c r="I94" s="28">
        <f t="shared" si="4"/>
        <v>1.2237502973083352</v>
      </c>
      <c r="J94" s="197">
        <f>VLOOKUP(A94,'Land costs'!$A$2:$F$96,5,FALSE)</f>
        <v>368904372.20152247</v>
      </c>
      <c r="K94" s="29">
        <f>I94*(J94+Variables!$C$10*Variables!$C$5)</f>
        <v>456890096.65818083</v>
      </c>
      <c r="L94" s="29">
        <f>(G94*Variables!$C$11+D94*Variables!$C$12)*Variables!$C$5</f>
        <v>95885540.96021089</v>
      </c>
    </row>
    <row r="95" spans="1:12" x14ac:dyDescent="0.35">
      <c r="A95" s="96">
        <v>8</v>
      </c>
      <c r="B95" s="87" t="s">
        <v>66</v>
      </c>
      <c r="C95" s="87">
        <v>2021</v>
      </c>
      <c r="D95" s="97">
        <f>Population!F9</f>
        <v>55969.865138845817</v>
      </c>
      <c r="E95" s="92" t="str">
        <f t="shared" si="3"/>
        <v>Small</v>
      </c>
      <c r="F95" s="119">
        <f>Area!H9</f>
        <v>154.14713442806377</v>
      </c>
      <c r="G95" s="27">
        <f>D95*Variables!$C$9</f>
        <v>0.50372878624961237</v>
      </c>
      <c r="H95" s="28">
        <f t="shared" si="2"/>
        <v>0.49206680301808375</v>
      </c>
      <c r="I95" s="28">
        <f t="shared" si="4"/>
        <v>1.1661983231528616E-2</v>
      </c>
      <c r="J95" s="197">
        <f>VLOOKUP(A95,'Land costs'!$A$2:$F$96,5,FALSE)</f>
        <v>399734297.50693494</v>
      </c>
      <c r="K95" s="29">
        <f>I95*(J95+Variables!$C$10*Variables!$C$5)</f>
        <v>4713567.3682760298</v>
      </c>
      <c r="L95" s="29">
        <f>(G95*Variables!$C$11+D95*Variables!$C$12)*Variables!$C$5</f>
        <v>913761.22505021968</v>
      </c>
    </row>
    <row r="96" spans="1:12" x14ac:dyDescent="0.35">
      <c r="A96" s="96">
        <v>9</v>
      </c>
      <c r="B96" s="87" t="s">
        <v>67</v>
      </c>
      <c r="C96" s="87">
        <v>2021</v>
      </c>
      <c r="D96" s="97">
        <f>Population!F10</f>
        <v>719913.36990320042</v>
      </c>
      <c r="E96" s="92" t="str">
        <f t="shared" si="3"/>
        <v>Medium</v>
      </c>
      <c r="F96" s="119">
        <f>Area!H10</f>
        <v>416.61387683260489</v>
      </c>
      <c r="G96" s="27">
        <f>D96*Variables!$C$9</f>
        <v>6.479220329128804</v>
      </c>
      <c r="H96" s="28">
        <f t="shared" si="2"/>
        <v>6.3292178657114428</v>
      </c>
      <c r="I96" s="28">
        <f t="shared" si="4"/>
        <v>0.15000246341736112</v>
      </c>
      <c r="J96" s="197">
        <f>VLOOKUP(A96,'Land costs'!$A$2:$F$96,5,FALSE)</f>
        <v>292630299.54426229</v>
      </c>
      <c r="K96" s="29">
        <f>I96*(J96+Variables!$C$10*Variables!$C$5)</f>
        <v>44562479.232549138</v>
      </c>
      <c r="L96" s="29">
        <f>(G96*Variables!$C$11+D96*Variables!$C$12)*Variables!$C$5</f>
        <v>11753269.749371167</v>
      </c>
    </row>
    <row r="97" spans="1:12" x14ac:dyDescent="0.35">
      <c r="A97" s="96">
        <v>10</v>
      </c>
      <c r="B97" s="87" t="s">
        <v>68</v>
      </c>
      <c r="C97" s="87">
        <v>2021</v>
      </c>
      <c r="D97" s="97">
        <f>Population!F11</f>
        <v>668072.80220820569</v>
      </c>
      <c r="E97" s="92" t="str">
        <f t="shared" si="3"/>
        <v>Medium</v>
      </c>
      <c r="F97" s="119">
        <f>Area!H11</f>
        <v>123.4319005632609</v>
      </c>
      <c r="G97" s="27">
        <f>D97*Variables!$C$9</f>
        <v>6.0126552198738512</v>
      </c>
      <c r="H97" s="28">
        <f t="shared" si="2"/>
        <v>5.8734543517376672</v>
      </c>
      <c r="I97" s="28">
        <f t="shared" si="4"/>
        <v>0.13920086813618404</v>
      </c>
      <c r="J97" s="197">
        <f>VLOOKUP(A97,'Land costs'!$A$2:$F$96,5,FALSE)</f>
        <v>207178319.55590102</v>
      </c>
      <c r="K97" s="29">
        <f>I97*(J97+Variables!$C$10*Variables!$C$5)</f>
        <v>29458569.697631661</v>
      </c>
      <c r="L97" s="29">
        <f>(G97*Variables!$C$11+D97*Variables!$C$12)*Variables!$C$5</f>
        <v>10906923.228314424</v>
      </c>
    </row>
    <row r="98" spans="1:12" x14ac:dyDescent="0.35">
      <c r="A98" s="96">
        <v>11</v>
      </c>
      <c r="B98" s="87" t="s">
        <v>69</v>
      </c>
      <c r="C98" s="87">
        <v>2021</v>
      </c>
      <c r="D98" s="97">
        <f>Population!F12</f>
        <v>260583.06278127513</v>
      </c>
      <c r="E98" s="92" t="str">
        <f t="shared" si="3"/>
        <v>Medium</v>
      </c>
      <c r="F98" s="119">
        <f>Area!H12</f>
        <v>158.31327319638984</v>
      </c>
      <c r="G98" s="27">
        <f>D98*Variables!$C$9</f>
        <v>2.3452475650314764</v>
      </c>
      <c r="H98" s="28">
        <f t="shared" si="2"/>
        <v>2.2909520025705539</v>
      </c>
      <c r="I98" s="28">
        <f t="shared" si="4"/>
        <v>5.4295562460922486E-2</v>
      </c>
      <c r="J98" s="197">
        <f>VLOOKUP(A98,'Land costs'!$A$2:$F$96,5,FALSE)</f>
        <v>446522393.21506435</v>
      </c>
      <c r="K98" s="29">
        <f>I98*(J98+Variables!$C$10*Variables!$C$5)</f>
        <v>24485692.047998447</v>
      </c>
      <c r="L98" s="29">
        <f>(G98*Variables!$C$11+D98*Variables!$C$12)*Variables!$C$5</f>
        <v>4254266.0784275476</v>
      </c>
    </row>
    <row r="99" spans="1:12" x14ac:dyDescent="0.35">
      <c r="A99" s="96">
        <v>12</v>
      </c>
      <c r="B99" s="87" t="s">
        <v>70</v>
      </c>
      <c r="C99" s="87">
        <v>2021</v>
      </c>
      <c r="D99" s="97">
        <f>Population!F13</f>
        <v>126755.65456199566</v>
      </c>
      <c r="E99" s="92" t="str">
        <f t="shared" si="3"/>
        <v>Medium</v>
      </c>
      <c r="F99" s="119">
        <f>Area!H13</f>
        <v>26.385545532731644</v>
      </c>
      <c r="G99" s="27">
        <f>D99*Variables!$C$9</f>
        <v>1.140800891057961</v>
      </c>
      <c r="H99" s="28">
        <f t="shared" si="2"/>
        <v>1.1143898515756188</v>
      </c>
      <c r="I99" s="28">
        <f t="shared" si="4"/>
        <v>2.6411039482342247E-2</v>
      </c>
      <c r="J99" s="197">
        <f>VLOOKUP(A99,'Land costs'!$A$2:$F$96,5,FALSE)</f>
        <v>207178319.55590102</v>
      </c>
      <c r="K99" s="29">
        <f>I99*(J99+Variables!$C$10*Variables!$C$5)</f>
        <v>5589271.5167286964</v>
      </c>
      <c r="L99" s="29">
        <f>(G99*Variables!$C$11+D99*Variables!$C$12)*Variables!$C$5</f>
        <v>2069406.4905692234</v>
      </c>
    </row>
    <row r="100" spans="1:12" x14ac:dyDescent="0.35">
      <c r="A100" s="96">
        <v>13</v>
      </c>
      <c r="B100" s="87" t="s">
        <v>71</v>
      </c>
      <c r="C100" s="87">
        <v>2021</v>
      </c>
      <c r="D100" s="97">
        <f>Population!F14</f>
        <v>8508589.9110932406</v>
      </c>
      <c r="E100" s="92" t="str">
        <f t="shared" si="3"/>
        <v>Large</v>
      </c>
      <c r="F100" s="119">
        <f>Area!H14</f>
        <v>866.84817055098495</v>
      </c>
      <c r="G100" s="27">
        <f>D100*Variables!$C$9</f>
        <v>76.577309199839164</v>
      </c>
      <c r="H100" s="28">
        <f t="shared" si="2"/>
        <v>279.82566666666668</v>
      </c>
      <c r="I100" s="28">
        <f t="shared" si="4"/>
        <v>0</v>
      </c>
      <c r="J100" s="197">
        <f>VLOOKUP(A100,'Land costs'!$A$2:$F$96,5,FALSE)</f>
        <v>225281113.07128146</v>
      </c>
      <c r="K100" s="29">
        <f>I100*(J100+Variables!$C$10*Variables!$C$5)</f>
        <v>0</v>
      </c>
      <c r="L100" s="29">
        <f>(G100*Variables!$C$11+D100*Variables!$C$12)*Variables!$C$5</f>
        <v>138910814.26269859</v>
      </c>
    </row>
    <row r="101" spans="1:12" x14ac:dyDescent="0.35">
      <c r="A101" s="96">
        <v>14</v>
      </c>
      <c r="B101" s="87" t="s">
        <v>72</v>
      </c>
      <c r="C101" s="87">
        <v>2021</v>
      </c>
      <c r="D101" s="97">
        <f>Population!F15</f>
        <v>339043.50603946112</v>
      </c>
      <c r="E101" s="92" t="str">
        <f t="shared" si="3"/>
        <v>Medium</v>
      </c>
      <c r="F101" s="119">
        <f>Area!H15</f>
        <v>41.661387683260486</v>
      </c>
      <c r="G101" s="27">
        <f>D101*Variables!$C$9</f>
        <v>3.05139155435515</v>
      </c>
      <c r="H101" s="28">
        <f t="shared" si="2"/>
        <v>2.9807478307659956</v>
      </c>
      <c r="I101" s="28">
        <f t="shared" si="4"/>
        <v>7.0643723589154384E-2</v>
      </c>
      <c r="J101" s="197">
        <f>VLOOKUP(A101,'Land costs'!$A$2:$F$96,5,FALSE)</f>
        <v>172078376.43406156</v>
      </c>
      <c r="K101" s="29">
        <f>I101*(J101+Variables!$C$10*Variables!$C$5)</f>
        <v>12470481.707695793</v>
      </c>
      <c r="L101" s="29">
        <f>(G101*Variables!$C$11+D101*Variables!$C$12)*Variables!$C$5</f>
        <v>5535207.3594495757</v>
      </c>
    </row>
    <row r="102" spans="1:12" x14ac:dyDescent="0.35">
      <c r="A102" s="96">
        <v>15</v>
      </c>
      <c r="B102" s="87" t="s">
        <v>73</v>
      </c>
      <c r="C102" s="87">
        <v>2021</v>
      </c>
      <c r="D102" s="97">
        <f>Population!F16</f>
        <v>75191.890093264476</v>
      </c>
      <c r="E102" s="92" t="str">
        <f t="shared" si="3"/>
        <v>Small</v>
      </c>
      <c r="F102" s="119">
        <f>Area!H16</f>
        <v>231.91505810348335</v>
      </c>
      <c r="G102" s="27">
        <f>D102*Variables!$C$9</f>
        <v>0.67672701083938025</v>
      </c>
      <c r="H102" s="28">
        <f t="shared" si="2"/>
        <v>43.35</v>
      </c>
      <c r="I102" s="28">
        <f t="shared" si="4"/>
        <v>0</v>
      </c>
      <c r="J102" s="197">
        <f>VLOOKUP(A102,'Land costs'!$A$2:$F$96,5,FALSE)</f>
        <v>399734297.50693494</v>
      </c>
      <c r="K102" s="29">
        <f>I102*(J102+Variables!$C$10*Variables!$C$5)</f>
        <v>0</v>
      </c>
      <c r="L102" s="29">
        <f>(G102*Variables!$C$11+D102*Variables!$C$12)*Variables!$C$5</f>
        <v>1227579.0451704431</v>
      </c>
    </row>
    <row r="103" spans="1:12" x14ac:dyDescent="0.35">
      <c r="A103" s="96">
        <v>16</v>
      </c>
      <c r="B103" s="87" t="s">
        <v>74</v>
      </c>
      <c r="C103" s="87">
        <v>2021</v>
      </c>
      <c r="D103" s="97">
        <f>Population!F17</f>
        <v>3850172.3567350614</v>
      </c>
      <c r="E103" s="92" t="str">
        <f t="shared" si="3"/>
        <v>Large</v>
      </c>
      <c r="F103" s="119">
        <f>Area!H17</f>
        <v>414.68647107298631</v>
      </c>
      <c r="G103" s="27">
        <f>D103*Variables!$C$9</f>
        <v>34.651551210615551</v>
      </c>
      <c r="H103" s="28">
        <f t="shared" si="2"/>
        <v>108.39099999999998</v>
      </c>
      <c r="I103" s="28">
        <f t="shared" si="4"/>
        <v>0</v>
      </c>
      <c r="J103" s="197">
        <f>VLOOKUP(A103,'Land costs'!$A$2:$F$96,5,FALSE)</f>
        <v>258664564.88983455</v>
      </c>
      <c r="K103" s="29">
        <f>I103*(J103+Variables!$C$10*Variables!$C$5)</f>
        <v>0</v>
      </c>
      <c r="L103" s="29">
        <f>(G103*Variables!$C$11+D103*Variables!$C$12)*Variables!$C$5</f>
        <v>62857721.751109987</v>
      </c>
    </row>
    <row r="104" spans="1:12" x14ac:dyDescent="0.35">
      <c r="A104" s="96">
        <v>17</v>
      </c>
      <c r="B104" s="87" t="s">
        <v>75</v>
      </c>
      <c r="C104" s="87">
        <v>2021</v>
      </c>
      <c r="D104" s="97">
        <f>Population!F18</f>
        <v>14168.786148016387</v>
      </c>
      <c r="E104" s="92" t="str">
        <f t="shared" si="3"/>
        <v>Small</v>
      </c>
      <c r="F104" s="119">
        <f>Area!H18</f>
        <v>2.6846438372509249</v>
      </c>
      <c r="G104" s="27">
        <f>D104*Variables!$C$9</f>
        <v>0.12751907533214749</v>
      </c>
      <c r="H104" s="28">
        <f t="shared" si="2"/>
        <v>0.12456684119580684</v>
      </c>
      <c r="I104" s="28">
        <f t="shared" si="4"/>
        <v>2.9522341363406451E-3</v>
      </c>
      <c r="J104" s="197">
        <f>VLOOKUP(A104,'Land costs'!$A$2:$F$96,5,FALSE)</f>
        <v>399734297.50693494</v>
      </c>
      <c r="K104" s="29">
        <f>I104*(J104+Variables!$C$10*Variables!$C$5)</f>
        <v>1193240.8246776243</v>
      </c>
      <c r="L104" s="29">
        <f>(G104*Variables!$C$11+D104*Variables!$C$12)*Variables!$C$5</f>
        <v>231318.89555153254</v>
      </c>
    </row>
    <row r="105" spans="1:12" x14ac:dyDescent="0.35">
      <c r="A105" s="96">
        <v>18</v>
      </c>
      <c r="B105" s="87" t="s">
        <v>76</v>
      </c>
      <c r="C105" s="87">
        <v>2021</v>
      </c>
      <c r="D105" s="97">
        <f>Population!F19</f>
        <v>125179.51929646698</v>
      </c>
      <c r="E105" s="92" t="str">
        <f t="shared" si="3"/>
        <v>Medium</v>
      </c>
      <c r="F105" s="119">
        <f>Area!H19</f>
        <v>27.774258455506992</v>
      </c>
      <c r="G105" s="27">
        <f>D105*Variables!$C$9</f>
        <v>1.1266156736682029</v>
      </c>
      <c r="H105" s="28">
        <f t="shared" si="2"/>
        <v>1.1005330406058442</v>
      </c>
      <c r="I105" s="28">
        <f t="shared" si="4"/>
        <v>2.6082633062358695E-2</v>
      </c>
      <c r="J105" s="197">
        <f>VLOOKUP(A105,'Land costs'!$A$2:$F$96,5,FALSE)</f>
        <v>207178319.55590102</v>
      </c>
      <c r="K105" s="29">
        <f>I105*(J105+Variables!$C$10*Variables!$C$5)</f>
        <v>5519772.0693346588</v>
      </c>
      <c r="L105" s="29">
        <f>(G105*Variables!$C$11+D105*Variables!$C$12)*Variables!$C$5</f>
        <v>2043674.5848820901</v>
      </c>
    </row>
    <row r="106" spans="1:12" x14ac:dyDescent="0.35">
      <c r="A106" s="96">
        <v>19</v>
      </c>
      <c r="B106" s="87" t="s">
        <v>77</v>
      </c>
      <c r="C106" s="87">
        <v>2021</v>
      </c>
      <c r="D106" s="97">
        <f>Population!F20</f>
        <v>5683558.9347964674</v>
      </c>
      <c r="E106" s="92" t="str">
        <f t="shared" si="3"/>
        <v>Large</v>
      </c>
      <c r="F106" s="119">
        <f>Area!H20</f>
        <v>1132.5057286585547</v>
      </c>
      <c r="G106" s="27">
        <f>D106*Variables!$C$9</f>
        <v>51.152030413168205</v>
      </c>
      <c r="H106" s="28">
        <f t="shared" si="2"/>
        <v>49.967793702420828</v>
      </c>
      <c r="I106" s="28">
        <f t="shared" si="4"/>
        <v>1.1842367107473777</v>
      </c>
      <c r="J106" s="197">
        <f>VLOOKUP(A106,'Land costs'!$A$2:$F$96,5,FALSE)</f>
        <v>69556263.81201373</v>
      </c>
      <c r="K106" s="29">
        <f>I106*(J106+Variables!$C$10*Variables!$C$5)</f>
        <v>87638585.482361019</v>
      </c>
      <c r="L106" s="29">
        <f>(G106*Variables!$C$11+D106*Variables!$C$12)*Variables!$C$5</f>
        <v>92789499.528385639</v>
      </c>
    </row>
    <row r="107" spans="1:12" x14ac:dyDescent="0.35">
      <c r="A107" s="96">
        <v>20</v>
      </c>
      <c r="B107" s="87" t="s">
        <v>78</v>
      </c>
      <c r="C107" s="87">
        <v>2021</v>
      </c>
      <c r="D107" s="97">
        <f>Population!F21</f>
        <v>3560656.4051300357</v>
      </c>
      <c r="E107" s="92" t="str">
        <f t="shared" si="3"/>
        <v>Large</v>
      </c>
      <c r="F107" s="119">
        <f>Area!H21</f>
        <v>467.99625497529269</v>
      </c>
      <c r="G107" s="27">
        <f>D107*Variables!$C$9</f>
        <v>32.045907646170321</v>
      </c>
      <c r="H107" s="28">
        <f t="shared" si="2"/>
        <v>38.65</v>
      </c>
      <c r="I107" s="28">
        <f t="shared" si="4"/>
        <v>0</v>
      </c>
      <c r="J107" s="197">
        <f>VLOOKUP(A107,'Land costs'!$A$2:$F$96,5,FALSE)</f>
        <v>423084709.93427253</v>
      </c>
      <c r="K107" s="29">
        <f>I107*(J107+Variables!$C$10*Variables!$C$5)</f>
        <v>0</v>
      </c>
      <c r="L107" s="29">
        <f>(G107*Variables!$C$11+D107*Variables!$C$12)*Variables!$C$5</f>
        <v>58131098.773657449</v>
      </c>
    </row>
    <row r="108" spans="1:12" x14ac:dyDescent="0.35">
      <c r="A108" s="96">
        <v>21</v>
      </c>
      <c r="B108" s="98" t="s">
        <v>79</v>
      </c>
      <c r="C108" s="87">
        <v>2021</v>
      </c>
      <c r="D108" s="97">
        <f>Population!F22</f>
        <v>15726433.738702327</v>
      </c>
      <c r="E108" s="92" t="str">
        <f t="shared" si="3"/>
        <v>Large</v>
      </c>
      <c r="F108" s="119">
        <f>Area!H22</f>
        <v>790.74373489499953</v>
      </c>
      <c r="G108" s="27">
        <f>D108*Variables!$C$9</f>
        <v>141.53790364832093</v>
      </c>
      <c r="H108" s="28">
        <f t="shared" si="2"/>
        <v>138.26111521766234</v>
      </c>
      <c r="I108" s="28">
        <f t="shared" si="4"/>
        <v>3.2767884306585984</v>
      </c>
      <c r="J108" s="197">
        <f>VLOOKUP(A108,'Land costs'!$A$2:$F$96,5,FALSE)</f>
        <v>136261714.31466237</v>
      </c>
      <c r="K108" s="29">
        <f>I108*(J108+Variables!$C$10*Variables!$C$5)</f>
        <v>461076017.97150284</v>
      </c>
      <c r="L108" s="29">
        <f>(G108*Variables!$C$11+D108*Variables!$C$12)*Variables!$C$5</f>
        <v>256748972.38182056</v>
      </c>
    </row>
    <row r="109" spans="1:12" x14ac:dyDescent="0.35">
      <c r="A109" s="96">
        <v>22</v>
      </c>
      <c r="B109" s="87" t="s">
        <v>80</v>
      </c>
      <c r="C109" s="87">
        <v>2021</v>
      </c>
      <c r="D109" s="97">
        <f>Population!F23</f>
        <v>13947033.901295714</v>
      </c>
      <c r="E109" s="92" t="str">
        <f t="shared" si="3"/>
        <v>Large</v>
      </c>
      <c r="F109" s="119">
        <f>Area!H23</f>
        <v>1085.9735056103232</v>
      </c>
      <c r="G109" s="27">
        <f>D109*Variables!$C$9</f>
        <v>125.52330511166143</v>
      </c>
      <c r="H109" s="28">
        <f t="shared" si="2"/>
        <v>122.61727567809066</v>
      </c>
      <c r="I109" s="28">
        <f t="shared" si="4"/>
        <v>2.9060294335707653</v>
      </c>
      <c r="J109" s="197">
        <f>VLOOKUP(A109,'Land costs'!$A$2:$F$96,5,FALSE)</f>
        <v>181431544.56336635</v>
      </c>
      <c r="K109" s="29">
        <f>I109*(J109+Variables!$C$10*Variables!$C$5)</f>
        <v>540171475.51116157</v>
      </c>
      <c r="L109" s="29">
        <f>(G109*Variables!$C$11+D109*Variables!$C$12)*Variables!$C$5</f>
        <v>227698579.4382374</v>
      </c>
    </row>
    <row r="110" spans="1:12" x14ac:dyDescent="0.35">
      <c r="A110" s="96">
        <v>23</v>
      </c>
      <c r="B110" s="87" t="s">
        <v>81</v>
      </c>
      <c r="C110" s="87">
        <v>2021</v>
      </c>
      <c r="D110" s="97">
        <f>Population!F24</f>
        <v>50579.153905902916</v>
      </c>
      <c r="E110" s="92" t="str">
        <f t="shared" si="3"/>
        <v>Small</v>
      </c>
      <c r="F110" s="119">
        <f>Area!H24</f>
        <v>103.03619050213022</v>
      </c>
      <c r="G110" s="27">
        <f>D110*Variables!$C$9</f>
        <v>0.45521238515312629</v>
      </c>
      <c r="H110" s="28">
        <f t="shared" si="2"/>
        <v>0.8</v>
      </c>
      <c r="I110" s="28">
        <f t="shared" si="4"/>
        <v>0</v>
      </c>
      <c r="J110" s="197">
        <f>VLOOKUP(A110,'Land costs'!$A$2:$F$96,5,FALSE)</f>
        <v>679160605.168293</v>
      </c>
      <c r="K110" s="29">
        <f>I110*(J110+Variables!$C$10*Variables!$C$5)</f>
        <v>0</v>
      </c>
      <c r="L110" s="29">
        <f>(G110*Variables!$C$11+D110*Variables!$C$12)*Variables!$C$5</f>
        <v>825752.74248757155</v>
      </c>
    </row>
    <row r="111" spans="1:12" x14ac:dyDescent="0.35">
      <c r="A111" s="96">
        <v>24</v>
      </c>
      <c r="B111" s="87" t="s">
        <v>82</v>
      </c>
      <c r="C111" s="87">
        <v>2021</v>
      </c>
      <c r="D111" s="97">
        <f>Population!F25</f>
        <v>2128758.3714348311</v>
      </c>
      <c r="E111" s="92" t="str">
        <f t="shared" si="3"/>
        <v>Large</v>
      </c>
      <c r="F111" s="119">
        <f>Area!H25</f>
        <v>105.54218213092658</v>
      </c>
      <c r="G111" s="27">
        <f>D111*Variables!$C$9</f>
        <v>19.158825342913481</v>
      </c>
      <c r="H111" s="28">
        <f t="shared" ref="H111:H174" si="5">H69+I69</f>
        <v>18.715273364182355</v>
      </c>
      <c r="I111" s="28">
        <f t="shared" si="4"/>
        <v>0.44355197873112573</v>
      </c>
      <c r="J111" s="197">
        <f>VLOOKUP(A111,'Land costs'!$A$2:$F$96,5,FALSE)</f>
        <v>273857556.71751869</v>
      </c>
      <c r="K111" s="29">
        <f>I111*(J111+Variables!$C$10*Variables!$C$5)</f>
        <v>123442987.68670076</v>
      </c>
      <c r="L111" s="29">
        <f>(G111*Variables!$C$11+D111*Variables!$C$12)*Variables!$C$5</f>
        <v>34754002.935200118</v>
      </c>
    </row>
    <row r="112" spans="1:12" x14ac:dyDescent="0.35">
      <c r="A112" s="96">
        <v>25</v>
      </c>
      <c r="B112" s="87" t="s">
        <v>83</v>
      </c>
      <c r="C112" s="87">
        <v>2021</v>
      </c>
      <c r="D112" s="97">
        <f>Population!F26</f>
        <v>305586.96997005941</v>
      </c>
      <c r="E112" s="92" t="str">
        <f t="shared" si="3"/>
        <v>Medium</v>
      </c>
      <c r="F112" s="119">
        <f>Area!H26</f>
        <v>187.47624457467219</v>
      </c>
      <c r="G112" s="27">
        <f>D112*Variables!$C$9</f>
        <v>2.7502827297305346</v>
      </c>
      <c r="H112" s="28">
        <f t="shared" si="5"/>
        <v>2.6866100710467267</v>
      </c>
      <c r="I112" s="28">
        <f t="shared" si="4"/>
        <v>6.3672658683807892E-2</v>
      </c>
      <c r="J112" s="197">
        <f>VLOOKUP(A112,'Land costs'!$A$2:$F$96,5,FALSE)</f>
        <v>202576692.05248237</v>
      </c>
      <c r="K112" s="29">
        <f>I112*(J112+Variables!$C$10*Variables!$C$5)</f>
        <v>13181813.605940131</v>
      </c>
      <c r="L112" s="29">
        <f>(G112*Variables!$C$11+D112*Variables!$C$12)*Variables!$C$5</f>
        <v>4988997.6212471612</v>
      </c>
    </row>
    <row r="113" spans="1:12" x14ac:dyDescent="0.35">
      <c r="A113" s="96">
        <v>26</v>
      </c>
      <c r="B113" s="87" t="s">
        <v>84</v>
      </c>
      <c r="C113" s="87">
        <v>2021</v>
      </c>
      <c r="D113" s="97">
        <f>Population!F27</f>
        <v>126629.26039475198</v>
      </c>
      <c r="E113" s="92" t="str">
        <f t="shared" si="3"/>
        <v>Medium</v>
      </c>
      <c r="F113" s="119">
        <f>Area!H27</f>
        <v>669.35962877771863</v>
      </c>
      <c r="G113" s="27">
        <f>D113*Variables!$C$9</f>
        <v>1.1396633435527679</v>
      </c>
      <c r="H113" s="28">
        <f t="shared" si="5"/>
        <v>1.1132786397897505</v>
      </c>
      <c r="I113" s="28">
        <f t="shared" si="4"/>
        <v>2.6384703763017381E-2</v>
      </c>
      <c r="J113" s="197">
        <f>VLOOKUP(A113,'Land costs'!$A$2:$F$96,5,FALSE)</f>
        <v>207178319.55590102</v>
      </c>
      <c r="K113" s="29">
        <f>I113*(J113+Variables!$C$10*Variables!$C$5)</f>
        <v>5583698.1849409249</v>
      </c>
      <c r="L113" s="29">
        <f>(G113*Variables!$C$11+D113*Variables!$C$12)*Variables!$C$5</f>
        <v>2067342.9857025724</v>
      </c>
    </row>
    <row r="114" spans="1:12" x14ac:dyDescent="0.35">
      <c r="A114" s="96">
        <v>27</v>
      </c>
      <c r="B114" s="87" t="s">
        <v>85</v>
      </c>
      <c r="C114" s="87">
        <v>2021</v>
      </c>
      <c r="D114" s="97">
        <f>Population!F28</f>
        <v>1277128.3759053203</v>
      </c>
      <c r="E114" s="92" t="str">
        <f t="shared" si="3"/>
        <v>Large</v>
      </c>
      <c r="F114" s="119">
        <f>Area!H28</f>
        <v>124.98224279761575</v>
      </c>
      <c r="G114" s="27">
        <f>D114*Variables!$C$9</f>
        <v>11.494155383147882</v>
      </c>
      <c r="H114" s="28">
        <f t="shared" si="5"/>
        <v>27.873100000000001</v>
      </c>
      <c r="I114" s="28">
        <f t="shared" si="4"/>
        <v>0</v>
      </c>
      <c r="J114" s="197">
        <f>VLOOKUP(A114,'Land costs'!$A$2:$F$96,5,FALSE)</f>
        <v>194110385.46713075</v>
      </c>
      <c r="K114" s="29">
        <f>I114*(J114+Variables!$C$10*Variables!$C$5)</f>
        <v>0</v>
      </c>
      <c r="L114" s="29">
        <f>(G114*Variables!$C$11+D114*Variables!$C$12)*Variables!$C$5</f>
        <v>20850334.129243679</v>
      </c>
    </row>
    <row r="115" spans="1:12" x14ac:dyDescent="0.35">
      <c r="A115" s="96">
        <v>28</v>
      </c>
      <c r="B115" s="87" t="s">
        <v>86</v>
      </c>
      <c r="C115" s="87">
        <v>2021</v>
      </c>
      <c r="D115" s="97">
        <f>Population!F29</f>
        <v>1356749.1176188034</v>
      </c>
      <c r="E115" s="92" t="str">
        <f t="shared" si="3"/>
        <v>Large</v>
      </c>
      <c r="F115" s="119">
        <f>Area!H29</f>
        <v>161.0906990419405</v>
      </c>
      <c r="G115" s="27">
        <f>D115*Variables!$C$9</f>
        <v>12.210742058569231</v>
      </c>
      <c r="H115" s="28">
        <f t="shared" si="5"/>
        <v>59.512458633395788</v>
      </c>
      <c r="I115" s="28">
        <f t="shared" si="4"/>
        <v>0</v>
      </c>
      <c r="J115" s="197">
        <f>VLOOKUP(A115,'Land costs'!$A$2:$F$96,5,FALSE)</f>
        <v>106495314.22538668</v>
      </c>
      <c r="K115" s="29">
        <f>I115*(J115+Variables!$C$10*Variables!$C$5)</f>
        <v>0</v>
      </c>
      <c r="L115" s="29">
        <f>(G115*Variables!$C$11+D115*Variables!$C$12)*Variables!$C$5</f>
        <v>22150218.384941563</v>
      </c>
    </row>
    <row r="116" spans="1:12" x14ac:dyDescent="0.35">
      <c r="A116" s="96">
        <v>29</v>
      </c>
      <c r="B116" s="87" t="s">
        <v>87</v>
      </c>
      <c r="C116" s="87">
        <v>2021</v>
      </c>
      <c r="D116" s="97">
        <f>Population!F30</f>
        <v>181033.10180144862</v>
      </c>
      <c r="E116" s="92" t="str">
        <f t="shared" si="3"/>
        <v>Medium</v>
      </c>
      <c r="F116" s="119">
        <f>Area!H30</f>
        <v>905.44082564952782</v>
      </c>
      <c r="G116" s="27">
        <f>D116*Variables!$C$9</f>
        <v>1.6292979162130377</v>
      </c>
      <c r="H116" s="28">
        <f t="shared" si="5"/>
        <v>1.5915775287809293</v>
      </c>
      <c r="I116" s="28">
        <f t="shared" si="4"/>
        <v>3.7720387432108371E-2</v>
      </c>
      <c r="J116" s="197">
        <f>VLOOKUP(A116,'Land costs'!$A$2:$F$96,5,FALSE)</f>
        <v>207178319.55590102</v>
      </c>
      <c r="K116" s="29">
        <f>I116*(J116+Variables!$C$10*Variables!$C$5)</f>
        <v>7982627.386370373</v>
      </c>
      <c r="L116" s="29">
        <f>(G116*Variables!$C$11+D116*Variables!$C$12)*Variables!$C$5</f>
        <v>2955537.3854549914</v>
      </c>
    </row>
    <row r="117" spans="1:12" x14ac:dyDescent="0.35">
      <c r="A117" s="96">
        <v>30</v>
      </c>
      <c r="B117" s="87" t="s">
        <v>88</v>
      </c>
      <c r="C117" s="87">
        <v>2021</v>
      </c>
      <c r="D117" s="97">
        <f>Population!F31</f>
        <v>124201.22844200091</v>
      </c>
      <c r="E117" s="92" t="str">
        <f t="shared" si="3"/>
        <v>Medium</v>
      </c>
      <c r="F117" s="119">
        <f>Area!H31</f>
        <v>90.266339980397717</v>
      </c>
      <c r="G117" s="27">
        <f>D117*Variables!$C$9</f>
        <v>1.1178110559780081</v>
      </c>
      <c r="H117" s="28">
        <f t="shared" si="5"/>
        <v>1.0919322613832256</v>
      </c>
      <c r="I117" s="28">
        <f t="shared" si="4"/>
        <v>2.5878794594782484E-2</v>
      </c>
      <c r="J117" s="197">
        <f>VLOOKUP(A117,'Land costs'!$A$2:$F$96,5,FALSE)</f>
        <v>207178319.55590102</v>
      </c>
      <c r="K117" s="29">
        <f>I117*(J117+Variables!$C$10*Variables!$C$5)</f>
        <v>5476634.4812969342</v>
      </c>
      <c r="L117" s="29">
        <f>(G117*Variables!$C$11+D117*Variables!$C$12)*Variables!$C$5</f>
        <v>2027703.0572142145</v>
      </c>
    </row>
    <row r="118" spans="1:12" x14ac:dyDescent="0.35">
      <c r="A118" s="96">
        <v>31</v>
      </c>
      <c r="B118" s="87" t="s">
        <v>89</v>
      </c>
      <c r="C118" s="87">
        <v>2021</v>
      </c>
      <c r="D118" s="97">
        <f>Population!F32</f>
        <v>214336.70092848552</v>
      </c>
      <c r="E118" s="92" t="str">
        <f t="shared" si="3"/>
        <v>Medium</v>
      </c>
      <c r="F118" s="119">
        <f>Area!H32</f>
        <v>681.85804508269655</v>
      </c>
      <c r="G118" s="27">
        <f>D118*Variables!$C$9</f>
        <v>1.9290303083563698</v>
      </c>
      <c r="H118" s="28">
        <f t="shared" si="5"/>
        <v>1.884370722239298</v>
      </c>
      <c r="I118" s="28">
        <f t="shared" si="4"/>
        <v>4.465958611707177E-2</v>
      </c>
      <c r="J118" s="197">
        <f>VLOOKUP(A118,'Land costs'!$A$2:$F$96,5,FALSE)</f>
        <v>207178319.55590102</v>
      </c>
      <c r="K118" s="29">
        <f>I118*(J118+Variables!$C$10*Variables!$C$5)</f>
        <v>9451144.5791418981</v>
      </c>
      <c r="L118" s="29">
        <f>(G118*Variables!$C$11+D118*Variables!$C$12)*Variables!$C$5</f>
        <v>3499250.2827687585</v>
      </c>
    </row>
    <row r="119" spans="1:12" x14ac:dyDescent="0.35">
      <c r="A119" s="96">
        <v>32</v>
      </c>
      <c r="B119" s="87" t="s">
        <v>90</v>
      </c>
      <c r="C119" s="87">
        <v>2021</v>
      </c>
      <c r="D119" s="97">
        <f>Population!F33</f>
        <v>1492171.620228698</v>
      </c>
      <c r="E119" s="92" t="str">
        <f t="shared" si="3"/>
        <v>Large</v>
      </c>
      <c r="F119" s="119">
        <f>Area!H33</f>
        <v>40.272674760485138</v>
      </c>
      <c r="G119" s="27">
        <f>D119*Variables!$C$9</f>
        <v>13.429544582058282</v>
      </c>
      <c r="H119" s="28">
        <f t="shared" si="5"/>
        <v>13.118632980422273</v>
      </c>
      <c r="I119" s="28">
        <f t="shared" si="4"/>
        <v>0.31091160163600939</v>
      </c>
      <c r="J119" s="197">
        <f>VLOOKUP(A119,'Land costs'!$A$2:$F$96,5,FALSE)</f>
        <v>258664564.88983455</v>
      </c>
      <c r="K119" s="29">
        <f>I119*(J119+Variables!$C$10*Variables!$C$5)</f>
        <v>81804754.086411864</v>
      </c>
      <c r="L119" s="29">
        <f>(G119*Variables!$C$11+D119*Variables!$C$12)*Variables!$C$5</f>
        <v>24361119.404217016</v>
      </c>
    </row>
    <row r="120" spans="1:12" x14ac:dyDescent="0.35">
      <c r="A120" s="96">
        <v>33</v>
      </c>
      <c r="B120" s="87" t="s">
        <v>91</v>
      </c>
      <c r="C120" s="87">
        <v>2021</v>
      </c>
      <c r="D120" s="97">
        <f>Population!F34</f>
        <v>939982.04631618678</v>
      </c>
      <c r="E120" s="92" t="str">
        <f t="shared" si="3"/>
        <v>Medium</v>
      </c>
      <c r="F120" s="119">
        <f>Area!H34</f>
        <v>336.06852731163451</v>
      </c>
      <c r="G120" s="27">
        <f>D120*Variables!$C$9</f>
        <v>8.4598384168456811</v>
      </c>
      <c r="H120" s="28">
        <f t="shared" si="5"/>
        <v>8.2639820424398565</v>
      </c>
      <c r="I120" s="28">
        <f t="shared" si="4"/>
        <v>0.1958563744058246</v>
      </c>
      <c r="J120" s="197">
        <f>VLOOKUP(A120,'Land costs'!$A$2:$F$96,5,FALSE)</f>
        <v>147442586.65970939</v>
      </c>
      <c r="K120" s="29">
        <f>I120*(J120+Variables!$C$10*Variables!$C$5)</f>
        <v>29748742.838600326</v>
      </c>
      <c r="L120" s="29">
        <f>(G120*Variables!$C$11+D120*Variables!$C$12)*Variables!$C$5</f>
        <v>15346099.977842528</v>
      </c>
    </row>
    <row r="121" spans="1:12" x14ac:dyDescent="0.35">
      <c r="A121" s="96">
        <v>34</v>
      </c>
      <c r="B121" s="87" t="s">
        <v>92</v>
      </c>
      <c r="C121" s="87">
        <v>2021</v>
      </c>
      <c r="D121" s="97">
        <f>Population!F35</f>
        <v>543765.40266572009</v>
      </c>
      <c r="E121" s="92" t="str">
        <f t="shared" si="3"/>
        <v>Medium</v>
      </c>
      <c r="F121" s="119">
        <f>Area!H35</f>
        <v>102.23399471940137</v>
      </c>
      <c r="G121" s="27">
        <f>D121*Variables!$C$9</f>
        <v>4.8938886239914812</v>
      </c>
      <c r="H121" s="28">
        <f t="shared" si="5"/>
        <v>4.7805886724543125</v>
      </c>
      <c r="I121" s="28">
        <f t="shared" si="4"/>
        <v>0.11329995153716865</v>
      </c>
      <c r="J121" s="197">
        <f>VLOOKUP(A121,'Land costs'!$A$2:$F$96,5,FALSE)</f>
        <v>382950815.48123109</v>
      </c>
      <c r="K121" s="29">
        <f>I121*(J121+Variables!$C$10*Variables!$C$5)</f>
        <v>43892268.887540065</v>
      </c>
      <c r="L121" s="29">
        <f>(G121*Variables!$C$11+D121*Variables!$C$12)*Variables!$C$5</f>
        <v>8877486.8270122241</v>
      </c>
    </row>
    <row r="122" spans="1:12" x14ac:dyDescent="0.35">
      <c r="A122" s="96">
        <v>35</v>
      </c>
      <c r="B122" s="87" t="s">
        <v>93</v>
      </c>
      <c r="C122" s="87">
        <v>2021</v>
      </c>
      <c r="D122" s="97">
        <f>Population!F36</f>
        <v>231657.75760755927</v>
      </c>
      <c r="E122" s="92" t="str">
        <f t="shared" si="3"/>
        <v>Medium</v>
      </c>
      <c r="F122" s="119">
        <f>Area!H36</f>
        <v>34.766651991985157</v>
      </c>
      <c r="G122" s="27">
        <f>D122*Variables!$C$9</f>
        <v>2.0849198184680335</v>
      </c>
      <c r="H122" s="28">
        <f t="shared" si="5"/>
        <v>2.0366511853746538</v>
      </c>
      <c r="I122" s="28">
        <f t="shared" si="4"/>
        <v>4.8268633093379698E-2</v>
      </c>
      <c r="J122" s="197">
        <f>VLOOKUP(A122,'Land costs'!$A$2:$F$96,5,FALSE)</f>
        <v>83219953.906071469</v>
      </c>
      <c r="K122" s="29">
        <f>I122*(J122+Variables!$C$10*Variables!$C$5)</f>
        <v>4231613.096937513</v>
      </c>
      <c r="L122" s="29">
        <f>(G122*Variables!$C$11+D122*Variables!$C$12)*Variables!$C$5</f>
        <v>3782032.9896945572</v>
      </c>
    </row>
    <row r="123" spans="1:12" x14ac:dyDescent="0.35">
      <c r="A123" s="96">
        <v>36</v>
      </c>
      <c r="B123" s="87" t="s">
        <v>94</v>
      </c>
      <c r="C123" s="87">
        <v>2021</v>
      </c>
      <c r="D123" s="97">
        <f>Population!F37</f>
        <v>1485278.0823472277</v>
      </c>
      <c r="E123" s="92" t="str">
        <f t="shared" si="3"/>
        <v>Large</v>
      </c>
      <c r="F123" s="119">
        <f>Area!H37</f>
        <v>65.110327547120136</v>
      </c>
      <c r="G123" s="27">
        <f>D123*Variables!$C$9</f>
        <v>13.367502741125049</v>
      </c>
      <c r="H123" s="28">
        <f t="shared" si="5"/>
        <v>13.058027489621031</v>
      </c>
      <c r="I123" s="28">
        <f t="shared" si="4"/>
        <v>0.30947525150401844</v>
      </c>
      <c r="J123" s="197">
        <f>VLOOKUP(A123,'Land costs'!$A$2:$F$96,5,FALSE)</f>
        <v>115153966.74863443</v>
      </c>
      <c r="K123" s="29">
        <f>I123*(J123+Variables!$C$10*Variables!$C$5)</f>
        <v>37013853.842182942</v>
      </c>
      <c r="L123" s="29">
        <f>(G123*Variables!$C$11+D123*Variables!$C$12)*Variables!$C$5</f>
        <v>24248575.848789889</v>
      </c>
    </row>
    <row r="124" spans="1:12" x14ac:dyDescent="0.35">
      <c r="A124" s="96">
        <v>37</v>
      </c>
      <c r="B124" s="87" t="s">
        <v>95</v>
      </c>
      <c r="C124" s="87">
        <v>2021</v>
      </c>
      <c r="D124" s="97">
        <f>Population!F38</f>
        <v>247804.61247293922</v>
      </c>
      <c r="E124" s="92" t="str">
        <f t="shared" si="3"/>
        <v>Medium</v>
      </c>
      <c r="F124" s="119">
        <f>Area!H38</f>
        <v>27.3607379581895</v>
      </c>
      <c r="G124" s="27">
        <f>D124*Variables!$C$9</f>
        <v>2.2302415122564532</v>
      </c>
      <c r="H124" s="28">
        <f t="shared" si="5"/>
        <v>2.1786084910192955</v>
      </c>
      <c r="I124" s="28">
        <f t="shared" si="4"/>
        <v>5.1633021237157628E-2</v>
      </c>
      <c r="J124" s="197">
        <f>VLOOKUP(A124,'Land costs'!$A$2:$F$96,5,FALSE)</f>
        <v>135804860.55953482</v>
      </c>
      <c r="K124" s="29">
        <f>I124*(J124+Variables!$C$10*Variables!$C$5)</f>
        <v>7241679.7791087804</v>
      </c>
      <c r="L124" s="29">
        <f>(G124*Variables!$C$11+D124*Variables!$C$12)*Variables!$C$5</f>
        <v>4045645.7364091715</v>
      </c>
    </row>
    <row r="125" spans="1:12" x14ac:dyDescent="0.35">
      <c r="A125" s="96">
        <v>38</v>
      </c>
      <c r="B125" s="87" t="s">
        <v>96</v>
      </c>
      <c r="C125" s="87">
        <v>2021</v>
      </c>
      <c r="D125" s="97">
        <f>Population!F39</f>
        <v>1089765.4542083084</v>
      </c>
      <c r="E125" s="92" t="str">
        <f t="shared" si="3"/>
        <v>Large</v>
      </c>
      <c r="F125" s="119">
        <f>Area!H39</f>
        <v>110.06011133557433</v>
      </c>
      <c r="G125" s="27">
        <f>D125*Variables!$C$9</f>
        <v>9.8078890878747753</v>
      </c>
      <c r="H125" s="28">
        <f t="shared" si="5"/>
        <v>9.5808235692827708</v>
      </c>
      <c r="I125" s="28">
        <f t="shared" si="4"/>
        <v>0.22706551859200452</v>
      </c>
      <c r="J125" s="197">
        <f>VLOOKUP(A125,'Land costs'!$A$2:$F$96,5,FALSE)</f>
        <v>223708463.42310071</v>
      </c>
      <c r="K125" s="29">
        <f>I125*(J125+Variables!$C$10*Variables!$C$5)</f>
        <v>51806469.430880696</v>
      </c>
      <c r="L125" s="29">
        <f>(G125*Variables!$C$11+D125*Variables!$C$12)*Variables!$C$5</f>
        <v>17791456.42006683</v>
      </c>
    </row>
    <row r="126" spans="1:12" x14ac:dyDescent="0.35">
      <c r="A126" s="96">
        <v>39</v>
      </c>
      <c r="B126" s="87" t="s">
        <v>97</v>
      </c>
      <c r="C126" s="87">
        <v>2021</v>
      </c>
      <c r="D126" s="97">
        <f>Population!F40</f>
        <v>89714.579909563166</v>
      </c>
      <c r="E126" s="92" t="str">
        <f t="shared" si="3"/>
        <v>Small</v>
      </c>
      <c r="F126" s="119">
        <f>Area!H40</f>
        <v>26.229278869692944</v>
      </c>
      <c r="G126" s="27">
        <f>D126*Variables!$C$9</f>
        <v>0.80743121918606853</v>
      </c>
      <c r="H126" s="28">
        <f t="shared" si="5"/>
        <v>0.78873812560913203</v>
      </c>
      <c r="I126" s="28">
        <f t="shared" si="4"/>
        <v>1.8693093576936493E-2</v>
      </c>
      <c r="J126" s="197">
        <f>VLOOKUP(A126,'Land costs'!$A$2:$F$96,5,FALSE)</f>
        <v>399734297.50693494</v>
      </c>
      <c r="K126" s="29">
        <f>I126*(J126+Variables!$C$10*Variables!$C$5)</f>
        <v>7555417.8176286705</v>
      </c>
      <c r="L126" s="29">
        <f>(G126*Variables!$C$11+D126*Variables!$C$12)*Variables!$C$5</f>
        <v>1464675.7543485977</v>
      </c>
    </row>
    <row r="127" spans="1:12" x14ac:dyDescent="0.35">
      <c r="A127" s="96">
        <v>40</v>
      </c>
      <c r="B127" s="87" t="s">
        <v>98</v>
      </c>
      <c r="C127" s="87">
        <v>2021</v>
      </c>
      <c r="D127" s="97">
        <f>Population!F41</f>
        <v>160186.91179794868</v>
      </c>
      <c r="E127" s="92" t="str">
        <f t="shared" si="3"/>
        <v>Medium</v>
      </c>
      <c r="F127" s="119">
        <f>Area!H41</f>
        <v>36.61813050043407</v>
      </c>
      <c r="G127" s="27">
        <f>D127*Variables!$C$9</f>
        <v>1.4416822061815382</v>
      </c>
      <c r="H127" s="28">
        <f t="shared" si="5"/>
        <v>1.4083053689377141</v>
      </c>
      <c r="I127" s="28">
        <f t="shared" si="4"/>
        <v>3.337683724382412E-2</v>
      </c>
      <c r="J127" s="197">
        <f>VLOOKUP(A127,'Land costs'!$A$2:$F$96,5,FALSE)</f>
        <v>101660475.1170758</v>
      </c>
      <c r="K127" s="29">
        <f>I127*(J127+Variables!$C$10*Variables!$C$5)</f>
        <v>3541565.8544521257</v>
      </c>
      <c r="L127" s="29">
        <f>(G127*Variables!$C$11+D127*Variables!$C$12)*Variables!$C$5</f>
        <v>2615203.5277983071</v>
      </c>
    </row>
    <row r="128" spans="1:12" x14ac:dyDescent="0.35">
      <c r="A128" s="96">
        <v>41</v>
      </c>
      <c r="B128" s="87" t="s">
        <v>99</v>
      </c>
      <c r="C128" s="87">
        <v>2021</v>
      </c>
      <c r="D128" s="97">
        <f>Population!F42</f>
        <v>77100.442018644026</v>
      </c>
      <c r="E128" s="92" t="str">
        <f t="shared" si="3"/>
        <v>Small</v>
      </c>
      <c r="F128" s="119">
        <f>Area!H42</f>
        <v>14.606108233319206</v>
      </c>
      <c r="G128" s="27">
        <f>D128*Variables!$C$9</f>
        <v>0.69390397816779625</v>
      </c>
      <c r="H128" s="28">
        <f t="shared" si="5"/>
        <v>0.67783918937950194</v>
      </c>
      <c r="I128" s="28">
        <f t="shared" si="4"/>
        <v>1.6064788788294315E-2</v>
      </c>
      <c r="J128" s="197">
        <f>VLOOKUP(A128,'Land costs'!$A$2:$F$96,5,FALSE)</f>
        <v>399734297.50693494</v>
      </c>
      <c r="K128" s="29">
        <f>I128*(J128+Variables!$C$10*Variables!$C$5)</f>
        <v>6493103.5062743127</v>
      </c>
      <c r="L128" s="29">
        <f>(G128*Variables!$C$11+D128*Variables!$C$12)*Variables!$C$5</f>
        <v>1258737.9686568673</v>
      </c>
    </row>
    <row r="129" spans="1:12" x14ac:dyDescent="0.35">
      <c r="A129" s="96">
        <v>42</v>
      </c>
      <c r="B129" s="87" t="s">
        <v>100</v>
      </c>
      <c r="C129" s="87">
        <v>2021</v>
      </c>
      <c r="D129" s="97">
        <f>Population!F43</f>
        <v>95478.153935874914</v>
      </c>
      <c r="E129" s="92" t="str">
        <f t="shared" si="3"/>
        <v>Small</v>
      </c>
      <c r="F129" s="119">
        <f>Area!H43</f>
        <v>15.428987570407614</v>
      </c>
      <c r="G129" s="27">
        <f>D129*Variables!$C$9</f>
        <v>0.85930338542287421</v>
      </c>
      <c r="H129" s="28">
        <f t="shared" si="5"/>
        <v>0.83940938304471446</v>
      </c>
      <c r="I129" s="28">
        <f t="shared" si="4"/>
        <v>1.9894002378159747E-2</v>
      </c>
      <c r="J129" s="197">
        <f>VLOOKUP(A129,'Land costs'!$A$2:$F$96,5,FALSE)</f>
        <v>189319723.52178472</v>
      </c>
      <c r="K129" s="29">
        <f>I129*(J129+Variables!$C$10*Variables!$C$5)</f>
        <v>3854815.8805425479</v>
      </c>
      <c r="L129" s="29">
        <f>(G129*Variables!$C$11+D129*Variables!$C$12)*Variables!$C$5</f>
        <v>1558771.5762678648</v>
      </c>
    </row>
    <row r="130" spans="1:12" x14ac:dyDescent="0.35">
      <c r="A130" s="96">
        <v>1</v>
      </c>
      <c r="B130" s="87" t="s">
        <v>59</v>
      </c>
      <c r="C130" s="87">
        <v>2022</v>
      </c>
      <c r="D130" s="97">
        <f>Population!G2</f>
        <v>517564.01161777606</v>
      </c>
      <c r="E130" s="92" t="str">
        <f t="shared" si="3"/>
        <v>Medium</v>
      </c>
      <c r="F130" s="119">
        <f>Area!I2</f>
        <v>107.04075266828251</v>
      </c>
      <c r="G130" s="27">
        <f>D130*Variables!$C$9</f>
        <v>4.658076104559985</v>
      </c>
      <c r="H130" s="28">
        <f t="shared" si="5"/>
        <v>4.5502355226726428</v>
      </c>
      <c r="I130" s="28">
        <f t="shared" si="4"/>
        <v>0.10784058188734225</v>
      </c>
      <c r="J130" s="197">
        <f>VLOOKUP(A130,'Land costs'!$A$2:$F$96,5,FALSE)</f>
        <v>349411907.96390015</v>
      </c>
      <c r="K130" s="29">
        <f>I130*(J130+Variables!$C$10*Variables!$C$5)</f>
        <v>38160460.159380555</v>
      </c>
      <c r="L130" s="29">
        <f>(G130*Variables!$C$11+D130*Variables!$C$12)*Variables!$C$5</f>
        <v>8449724.2243581694</v>
      </c>
    </row>
    <row r="131" spans="1:12" x14ac:dyDescent="0.35">
      <c r="A131" s="96">
        <v>2</v>
      </c>
      <c r="B131" s="87" t="s">
        <v>60</v>
      </c>
      <c r="C131" s="87">
        <v>2022</v>
      </c>
      <c r="D131" s="97">
        <f>Population!G3</f>
        <v>379650.10858101764</v>
      </c>
      <c r="E131" s="92" t="str">
        <f t="shared" si="3"/>
        <v>Medium</v>
      </c>
      <c r="F131" s="119">
        <f>Area!I3</f>
        <v>643.6529469658567</v>
      </c>
      <c r="G131" s="27">
        <f>D131*Variables!$C$9</f>
        <v>3.4168509772291591</v>
      </c>
      <c r="H131" s="28">
        <f t="shared" si="5"/>
        <v>12.956920723790825</v>
      </c>
      <c r="I131" s="28">
        <f t="shared" si="4"/>
        <v>0</v>
      </c>
      <c r="J131" s="197">
        <f>VLOOKUP(A131,'Land costs'!$A$2:$F$96,5,FALSE)</f>
        <v>207178319.55590102</v>
      </c>
      <c r="K131" s="29">
        <f>I131*(J131+Variables!$C$10*Variables!$C$5)</f>
        <v>0</v>
      </c>
      <c r="L131" s="29">
        <f>(G131*Variables!$C$11+D131*Variables!$C$12)*Variables!$C$5</f>
        <v>6198148.7260484295</v>
      </c>
    </row>
    <row r="132" spans="1:12" x14ac:dyDescent="0.35">
      <c r="A132" s="96">
        <v>3</v>
      </c>
      <c r="B132" s="87" t="s">
        <v>61</v>
      </c>
      <c r="C132" s="87">
        <v>2022</v>
      </c>
      <c r="D132" s="97">
        <f>Population!G4</f>
        <v>10925246.512026692</v>
      </c>
      <c r="E132" s="92" t="str">
        <f t="shared" si="3"/>
        <v>Large</v>
      </c>
      <c r="F132" s="119">
        <f>Area!I4</f>
        <v>759.14428537110905</v>
      </c>
      <c r="G132" s="27">
        <f>D132*Variables!$C$9</f>
        <v>98.32721860824023</v>
      </c>
      <c r="H132" s="28">
        <f t="shared" si="5"/>
        <v>96.050814309114216</v>
      </c>
      <c r="I132" s="28">
        <f t="shared" si="4"/>
        <v>2.2764042991260141</v>
      </c>
      <c r="J132" s="197">
        <f>VLOOKUP(A132,'Land costs'!$A$2:$F$96,5,FALSE)</f>
        <v>623490608.57078338</v>
      </c>
      <c r="K132" s="29">
        <f>I132*(J132+Variables!$C$10*Variables!$C$5)</f>
        <v>1429442185.6684895</v>
      </c>
      <c r="L132" s="29">
        <f>(G132*Variables!$C$11+D132*Variables!$C$12)*Variables!$C$5</f>
        <v>178365029.32497537</v>
      </c>
    </row>
    <row r="133" spans="1:12" x14ac:dyDescent="0.35">
      <c r="A133" s="96">
        <v>4</v>
      </c>
      <c r="B133" s="87" t="s">
        <v>62</v>
      </c>
      <c r="C133" s="87">
        <v>2022</v>
      </c>
      <c r="D133" s="97">
        <f>Population!G5</f>
        <v>2326709.0375178596</v>
      </c>
      <c r="E133" s="92" t="str">
        <f t="shared" ref="E133:E196" si="6">IF(D133&lt;100000,"Small",IF(D133&lt;1000000,"Medium","Large"))</f>
        <v>Large</v>
      </c>
      <c r="F133" s="119">
        <f>Area!I5</f>
        <v>419.71242493616046</v>
      </c>
      <c r="G133" s="27">
        <f>D133*Variables!$C$9</f>
        <v>20.940381337660735</v>
      </c>
      <c r="H133" s="28">
        <f t="shared" si="5"/>
        <v>100.58253557595253</v>
      </c>
      <c r="I133" s="28">
        <f t="shared" ref="I133:I196" si="7">IF(G133-H133&gt;0,G133-H133,0)</f>
        <v>0</v>
      </c>
      <c r="J133" s="197">
        <f>VLOOKUP(A133,'Land costs'!$A$2:$F$96,5,FALSE)</f>
        <v>258664564.88983455</v>
      </c>
      <c r="K133" s="29">
        <f>I133*(J133+Variables!$C$10*Variables!$C$5)</f>
        <v>0</v>
      </c>
      <c r="L133" s="29">
        <f>(G133*Variables!$C$11+D133*Variables!$C$12)*Variables!$C$5</f>
        <v>37985735.630835921</v>
      </c>
    </row>
    <row r="134" spans="1:12" x14ac:dyDescent="0.35">
      <c r="A134" s="96">
        <v>5</v>
      </c>
      <c r="B134" s="87" t="s">
        <v>63</v>
      </c>
      <c r="C134" s="87">
        <v>2022</v>
      </c>
      <c r="D134" s="97">
        <f>Population!G6</f>
        <v>1091275.3935622033</v>
      </c>
      <c r="E134" s="92" t="str">
        <f t="shared" si="6"/>
        <v>Large</v>
      </c>
      <c r="F134" s="119">
        <f>Area!I6</f>
        <v>190.13817908181767</v>
      </c>
      <c r="G134" s="27">
        <f>D134*Variables!$C$9</f>
        <v>9.821478542059829</v>
      </c>
      <c r="H134" s="28">
        <f t="shared" si="5"/>
        <v>9.5940984097487831</v>
      </c>
      <c r="I134" s="28">
        <f t="shared" si="7"/>
        <v>0.22738013231104581</v>
      </c>
      <c r="J134" s="197">
        <f>VLOOKUP(A134,'Land costs'!$A$2:$F$96,5,FALSE)</f>
        <v>258664564.88983455</v>
      </c>
      <c r="K134" s="29">
        <f>I134*(J134+Variables!$C$10*Variables!$C$5)</f>
        <v>59826573.566132821</v>
      </c>
      <c r="L134" s="29">
        <f>(G134*Variables!$C$11+D134*Variables!$C$12)*Variables!$C$5</f>
        <v>17816107.614604171</v>
      </c>
    </row>
    <row r="135" spans="1:12" x14ac:dyDescent="0.35">
      <c r="A135" s="96">
        <v>6</v>
      </c>
      <c r="B135" s="87" t="s">
        <v>64</v>
      </c>
      <c r="C135" s="87">
        <v>2022</v>
      </c>
      <c r="D135" s="97">
        <f>Population!G7</f>
        <v>1244194.6211525444</v>
      </c>
      <c r="E135" s="92" t="str">
        <f t="shared" si="6"/>
        <v>Large</v>
      </c>
      <c r="F135" s="119">
        <f>Area!I7</f>
        <v>163.78303235659197</v>
      </c>
      <c r="G135" s="27">
        <f>D135*Variables!$C$9</f>
        <v>11.197751590372899</v>
      </c>
      <c r="H135" s="28">
        <f t="shared" si="5"/>
        <v>10.938508928761257</v>
      </c>
      <c r="I135" s="28">
        <f t="shared" si="7"/>
        <v>0.25924266161164233</v>
      </c>
      <c r="J135" s="197">
        <f>VLOOKUP(A135,'Land costs'!$A$2:$F$96,5,FALSE)</f>
        <v>421303330.51817626</v>
      </c>
      <c r="K135" s="29">
        <f>I135*(J135+Variables!$C$10*Variables!$C$5)</f>
        <v>110372912.3823266</v>
      </c>
      <c r="L135" s="29">
        <f>(G135*Variables!$C$11+D135*Variables!$C$12)*Variables!$C$5</f>
        <v>20312659.292726811</v>
      </c>
    </row>
    <row r="136" spans="1:12" x14ac:dyDescent="0.35">
      <c r="A136" s="96">
        <v>7</v>
      </c>
      <c r="B136" s="87" t="s">
        <v>65</v>
      </c>
      <c r="C136" s="87">
        <v>2022</v>
      </c>
      <c r="D136" s="97">
        <f>Population!G8</f>
        <v>6012393.0131515982</v>
      </c>
      <c r="E136" s="92" t="str">
        <f t="shared" si="6"/>
        <v>Large</v>
      </c>
      <c r="F136" s="119">
        <f>Area!I8</f>
        <v>1109.8435934553504</v>
      </c>
      <c r="G136" s="27">
        <f>D136*Variables!$C$9</f>
        <v>54.111537118364382</v>
      </c>
      <c r="H136" s="28">
        <f t="shared" si="5"/>
        <v>52.858783939009847</v>
      </c>
      <c r="I136" s="28">
        <f t="shared" si="7"/>
        <v>1.252753179354535</v>
      </c>
      <c r="J136" s="197">
        <f>VLOOKUP(A136,'Land costs'!$A$2:$F$96,5,FALSE)</f>
        <v>368904372.20152247</v>
      </c>
      <c r="K136" s="29">
        <f>I136*(J136+Variables!$C$10*Variables!$C$5)</f>
        <v>467718391.94897681</v>
      </c>
      <c r="L136" s="29">
        <f>(G136*Variables!$C$11+D136*Variables!$C$12)*Variables!$C$5</f>
        <v>98158028.280967876</v>
      </c>
    </row>
    <row r="137" spans="1:12" x14ac:dyDescent="0.35">
      <c r="A137" s="96">
        <v>8</v>
      </c>
      <c r="B137" s="87" t="s">
        <v>66</v>
      </c>
      <c r="C137" s="87">
        <v>2022</v>
      </c>
      <c r="D137" s="97">
        <f>Population!G9</f>
        <v>57296.350942636469</v>
      </c>
      <c r="E137" s="92" t="str">
        <f t="shared" si="6"/>
        <v>Small</v>
      </c>
      <c r="F137" s="119">
        <f>Area!I9</f>
        <v>156.3358361339389</v>
      </c>
      <c r="G137" s="27">
        <f>D137*Variables!$C$9</f>
        <v>0.51566715848372824</v>
      </c>
      <c r="H137" s="28">
        <f t="shared" si="5"/>
        <v>0.50372878624961237</v>
      </c>
      <c r="I137" s="28">
        <f t="shared" si="7"/>
        <v>1.1938372234115868E-2</v>
      </c>
      <c r="J137" s="197">
        <f>VLOOKUP(A137,'Land costs'!$A$2:$F$96,5,FALSE)</f>
        <v>399734297.50693494</v>
      </c>
      <c r="K137" s="29">
        <f>I137*(J137+Variables!$C$10*Variables!$C$5)</f>
        <v>4825278.9149041809</v>
      </c>
      <c r="L137" s="29">
        <f>(G137*Variables!$C$11+D137*Variables!$C$12)*Variables!$C$5</f>
        <v>935417.36608390999</v>
      </c>
    </row>
    <row r="138" spans="1:12" x14ac:dyDescent="0.35">
      <c r="A138" s="96">
        <v>9</v>
      </c>
      <c r="B138" s="87" t="s">
        <v>67</v>
      </c>
      <c r="C138" s="87">
        <v>2022</v>
      </c>
      <c r="D138" s="97">
        <f>Population!G10</f>
        <v>736975.31676990644</v>
      </c>
      <c r="E138" s="92" t="str">
        <f t="shared" si="6"/>
        <v>Medium</v>
      </c>
      <c r="F138" s="119">
        <f>Area!I10</f>
        <v>422.52928684848365</v>
      </c>
      <c r="G138" s="27">
        <f>D138*Variables!$C$9</f>
        <v>6.6327778509291582</v>
      </c>
      <c r="H138" s="28">
        <f t="shared" si="5"/>
        <v>6.479220329128804</v>
      </c>
      <c r="I138" s="28">
        <f t="shared" si="7"/>
        <v>0.1535575218003542</v>
      </c>
      <c r="J138" s="197">
        <f>VLOOKUP(A138,'Land costs'!$A$2:$F$96,5,FALSE)</f>
        <v>292630299.54426229</v>
      </c>
      <c r="K138" s="29">
        <f>I138*(J138+Variables!$C$10*Variables!$C$5)</f>
        <v>45618609.990361035</v>
      </c>
      <c r="L138" s="29">
        <f>(G138*Variables!$C$11+D138*Variables!$C$12)*Variables!$C$5</f>
        <v>12031822.242431268</v>
      </c>
    </row>
    <row r="139" spans="1:12" x14ac:dyDescent="0.35">
      <c r="A139" s="96">
        <v>10</v>
      </c>
      <c r="B139" s="87" t="s">
        <v>68</v>
      </c>
      <c r="C139" s="87">
        <v>2022</v>
      </c>
      <c r="D139" s="97">
        <f>Population!G11</f>
        <v>683906.12762054021</v>
      </c>
      <c r="E139" s="92" t="str">
        <f t="shared" si="6"/>
        <v>Medium</v>
      </c>
      <c r="F139" s="119">
        <f>Area!I11</f>
        <v>125.1844833298792</v>
      </c>
      <c r="G139" s="27">
        <f>D139*Variables!$C$9</f>
        <v>6.1551551485848623</v>
      </c>
      <c r="H139" s="28">
        <f t="shared" si="5"/>
        <v>6.0126552198738512</v>
      </c>
      <c r="I139" s="28">
        <f t="shared" si="7"/>
        <v>0.14249992871101114</v>
      </c>
      <c r="J139" s="197">
        <f>VLOOKUP(A139,'Land costs'!$A$2:$F$96,5,FALSE)</f>
        <v>207178319.55590102</v>
      </c>
      <c r="K139" s="29">
        <f>I139*(J139+Variables!$C$10*Variables!$C$5)</f>
        <v>30156737.799465433</v>
      </c>
      <c r="L139" s="29">
        <f>(G139*Variables!$C$11+D139*Variables!$C$12)*Variables!$C$5</f>
        <v>11165417.308825478</v>
      </c>
    </row>
    <row r="140" spans="1:12" x14ac:dyDescent="0.35">
      <c r="A140" s="96">
        <v>11</v>
      </c>
      <c r="B140" s="87" t="s">
        <v>69</v>
      </c>
      <c r="C140" s="87">
        <v>2022</v>
      </c>
      <c r="D140" s="97">
        <f>Population!G12</f>
        <v>266758.8813691914</v>
      </c>
      <c r="E140" s="92" t="str">
        <f t="shared" si="6"/>
        <v>Medium</v>
      </c>
      <c r="F140" s="119">
        <f>Area!I12</f>
        <v>160.56112900242377</v>
      </c>
      <c r="G140" s="27">
        <f>D140*Variables!$C$9</f>
        <v>2.4008299323227225</v>
      </c>
      <c r="H140" s="28">
        <f t="shared" si="5"/>
        <v>2.3452475650314764</v>
      </c>
      <c r="I140" s="28">
        <f t="shared" si="7"/>
        <v>5.5582367291246104E-2</v>
      </c>
      <c r="J140" s="197">
        <f>VLOOKUP(A140,'Land costs'!$A$2:$F$96,5,FALSE)</f>
        <v>446522393.21506435</v>
      </c>
      <c r="K140" s="29">
        <f>I140*(J140+Variables!$C$10*Variables!$C$5)</f>
        <v>25066002.949535899</v>
      </c>
      <c r="L140" s="29">
        <f>(G140*Variables!$C$11+D140*Variables!$C$12)*Variables!$C$5</f>
        <v>4355092.1844862802</v>
      </c>
    </row>
    <row r="141" spans="1:12" x14ac:dyDescent="0.35">
      <c r="A141" s="96">
        <v>12</v>
      </c>
      <c r="B141" s="87" t="s">
        <v>70</v>
      </c>
      <c r="C141" s="87">
        <v>2022</v>
      </c>
      <c r="D141" s="97">
        <f>Population!G13</f>
        <v>129759.76357511496</v>
      </c>
      <c r="E141" s="92" t="str">
        <f t="shared" si="6"/>
        <v>Medium</v>
      </c>
      <c r="F141" s="119">
        <f>Area!I13</f>
        <v>26.760188167070634</v>
      </c>
      <c r="G141" s="27">
        <f>D141*Variables!$C$9</f>
        <v>1.1678378721760347</v>
      </c>
      <c r="H141" s="28">
        <f t="shared" si="5"/>
        <v>1.140800891057961</v>
      </c>
      <c r="I141" s="28">
        <f t="shared" si="7"/>
        <v>2.7036981118073733E-2</v>
      </c>
      <c r="J141" s="197">
        <f>VLOOKUP(A141,'Land costs'!$A$2:$F$96,5,FALSE)</f>
        <v>207178319.55590102</v>
      </c>
      <c r="K141" s="29">
        <f>I141*(J141+Variables!$C$10*Variables!$C$5)</f>
        <v>5721737.2516751615</v>
      </c>
      <c r="L141" s="29">
        <f>(G141*Variables!$C$11+D141*Variables!$C$12)*Variables!$C$5</f>
        <v>2118451.424395714</v>
      </c>
    </row>
    <row r="142" spans="1:12" x14ac:dyDescent="0.35">
      <c r="A142" s="96">
        <v>13</v>
      </c>
      <c r="B142" s="87" t="s">
        <v>71</v>
      </c>
      <c r="C142" s="87">
        <v>2022</v>
      </c>
      <c r="D142" s="97">
        <f>Population!G14</f>
        <v>8710243.4919861518</v>
      </c>
      <c r="E142" s="92" t="str">
        <f t="shared" si="6"/>
        <v>Large</v>
      </c>
      <c r="F142" s="119">
        <f>Area!I14</f>
        <v>875.60421267776258</v>
      </c>
      <c r="G142" s="27">
        <f>D142*Variables!$C$9</f>
        <v>78.392191427875375</v>
      </c>
      <c r="H142" s="28">
        <f t="shared" si="5"/>
        <v>279.82566666666668</v>
      </c>
      <c r="I142" s="28">
        <f t="shared" si="7"/>
        <v>0</v>
      </c>
      <c r="J142" s="197">
        <f>VLOOKUP(A142,'Land costs'!$A$2:$F$96,5,FALSE)</f>
        <v>225281113.07128146</v>
      </c>
      <c r="K142" s="29">
        <f>I142*(J142+Variables!$C$10*Variables!$C$5)</f>
        <v>0</v>
      </c>
      <c r="L142" s="29">
        <f>(G142*Variables!$C$11+D142*Variables!$C$12)*Variables!$C$5</f>
        <v>142203000.56072459</v>
      </c>
    </row>
    <row r="143" spans="1:12" x14ac:dyDescent="0.35">
      <c r="A143" s="96">
        <v>14</v>
      </c>
      <c r="B143" s="87" t="s">
        <v>72</v>
      </c>
      <c r="C143" s="87">
        <v>2022</v>
      </c>
      <c r="D143" s="97">
        <f>Population!G15</f>
        <v>347078.83713259641</v>
      </c>
      <c r="E143" s="92" t="str">
        <f t="shared" si="6"/>
        <v>Medium</v>
      </c>
      <c r="F143" s="119">
        <f>Area!I15</f>
        <v>42.252928684848364</v>
      </c>
      <c r="G143" s="27">
        <f>D143*Variables!$C$9</f>
        <v>3.1237095341933676</v>
      </c>
      <c r="H143" s="28">
        <f t="shared" si="5"/>
        <v>3.05139155435515</v>
      </c>
      <c r="I143" s="28">
        <f t="shared" si="7"/>
        <v>7.2317979838217639E-2</v>
      </c>
      <c r="J143" s="197">
        <f>VLOOKUP(A143,'Land costs'!$A$2:$F$96,5,FALSE)</f>
        <v>172078376.43406156</v>
      </c>
      <c r="K143" s="29">
        <f>I143*(J143+Variables!$C$10*Variables!$C$5)</f>
        <v>12766032.124168236</v>
      </c>
      <c r="L143" s="29">
        <f>(G143*Variables!$C$11+D143*Variables!$C$12)*Variables!$C$5</f>
        <v>5666391.7738685301</v>
      </c>
    </row>
    <row r="144" spans="1:12" x14ac:dyDescent="0.35">
      <c r="A144" s="96">
        <v>15</v>
      </c>
      <c r="B144" s="87" t="s">
        <v>73</v>
      </c>
      <c r="C144" s="87">
        <v>2022</v>
      </c>
      <c r="D144" s="97">
        <f>Population!G16</f>
        <v>76973.937888474858</v>
      </c>
      <c r="E144" s="92" t="str">
        <f t="shared" si="6"/>
        <v>Small</v>
      </c>
      <c r="F144" s="119">
        <f>Area!I16</f>
        <v>235.20796967898917</v>
      </c>
      <c r="G144" s="27">
        <f>D144*Variables!$C$9</f>
        <v>0.6927654409962738</v>
      </c>
      <c r="H144" s="28">
        <f t="shared" si="5"/>
        <v>43.35</v>
      </c>
      <c r="I144" s="28">
        <f t="shared" si="7"/>
        <v>0</v>
      </c>
      <c r="J144" s="197">
        <f>VLOOKUP(A144,'Land costs'!$A$2:$F$96,5,FALSE)</f>
        <v>399734297.50693494</v>
      </c>
      <c r="K144" s="29">
        <f>I144*(J144+Variables!$C$10*Variables!$C$5)</f>
        <v>0</v>
      </c>
      <c r="L144" s="29">
        <f>(G144*Variables!$C$11+D144*Variables!$C$12)*Variables!$C$5</f>
        <v>1256672.668540983</v>
      </c>
    </row>
    <row r="145" spans="1:12" x14ac:dyDescent="0.35">
      <c r="A145" s="96">
        <v>16</v>
      </c>
      <c r="B145" s="87" t="s">
        <v>74</v>
      </c>
      <c r="C145" s="87">
        <v>2022</v>
      </c>
      <c r="D145" s="97">
        <f>Population!G17</f>
        <v>3941421.4415896828</v>
      </c>
      <c r="E145" s="92" t="str">
        <f t="shared" si="6"/>
        <v>Large</v>
      </c>
      <c r="F145" s="119">
        <f>Area!I17</f>
        <v>400.66325707534907</v>
      </c>
      <c r="G145" s="27">
        <f>D145*Variables!$C$9</f>
        <v>35.472792974307147</v>
      </c>
      <c r="H145" s="28">
        <f t="shared" si="5"/>
        <v>108.39099999999998</v>
      </c>
      <c r="I145" s="28">
        <f t="shared" si="7"/>
        <v>0</v>
      </c>
      <c r="J145" s="197">
        <f>VLOOKUP(A145,'Land costs'!$A$2:$F$96,5,FALSE)</f>
        <v>258664564.88983455</v>
      </c>
      <c r="K145" s="29">
        <f>I145*(J145+Variables!$C$10*Variables!$C$5)</f>
        <v>0</v>
      </c>
      <c r="L145" s="29">
        <f>(G145*Variables!$C$11+D145*Variables!$C$12)*Variables!$C$5</f>
        <v>64347449.756611302</v>
      </c>
    </row>
    <row r="146" spans="1:12" x14ac:dyDescent="0.35">
      <c r="A146" s="96">
        <v>17</v>
      </c>
      <c r="B146" s="87" t="s">
        <v>75</v>
      </c>
      <c r="C146" s="87">
        <v>2022</v>
      </c>
      <c r="D146" s="97">
        <f>Population!G18</f>
        <v>14504.586379724376</v>
      </c>
      <c r="E146" s="92" t="str">
        <f t="shared" si="6"/>
        <v>Small</v>
      </c>
      <c r="F146" s="119">
        <f>Area!I18</f>
        <v>2.7227625124248731</v>
      </c>
      <c r="G146" s="27">
        <f>D146*Variables!$C$9</f>
        <v>0.13054127741751939</v>
      </c>
      <c r="H146" s="28">
        <f t="shared" si="5"/>
        <v>0.12751907533214749</v>
      </c>
      <c r="I146" s="28">
        <f t="shared" si="7"/>
        <v>3.0222020853719056E-3</v>
      </c>
      <c r="J146" s="197">
        <f>VLOOKUP(A146,'Land costs'!$A$2:$F$96,5,FALSE)</f>
        <v>399734297.50693494</v>
      </c>
      <c r="K146" s="29">
        <f>I146*(J146+Variables!$C$10*Variables!$C$5)</f>
        <v>1221520.6322224787</v>
      </c>
      <c r="L146" s="29">
        <f>(G146*Variables!$C$11+D146*Variables!$C$12)*Variables!$C$5</f>
        <v>236801.1533761039</v>
      </c>
    </row>
    <row r="147" spans="1:12" x14ac:dyDescent="0.35">
      <c r="A147" s="96">
        <v>18</v>
      </c>
      <c r="B147" s="87" t="s">
        <v>76</v>
      </c>
      <c r="C147" s="87">
        <v>2022</v>
      </c>
      <c r="D147" s="97">
        <f>Population!G19</f>
        <v>128146.27390379326</v>
      </c>
      <c r="E147" s="92" t="str">
        <f t="shared" si="6"/>
        <v>Medium</v>
      </c>
      <c r="F147" s="119">
        <f>Area!I19</f>
        <v>28.168619123232247</v>
      </c>
      <c r="G147" s="27">
        <f>D147*Variables!$C$9</f>
        <v>1.1533164651341394</v>
      </c>
      <c r="H147" s="28">
        <f t="shared" si="5"/>
        <v>1.1266156736682029</v>
      </c>
      <c r="I147" s="28">
        <f t="shared" si="7"/>
        <v>2.6700791465936513E-2</v>
      </c>
      <c r="J147" s="197">
        <f>VLOOKUP(A147,'Land costs'!$A$2:$F$96,5,FALSE)</f>
        <v>207178319.55590102</v>
      </c>
      <c r="K147" s="29">
        <f>I147*(J147+Variables!$C$10*Variables!$C$5)</f>
        <v>5650590.6673778724</v>
      </c>
      <c r="L147" s="29">
        <f>(G147*Variables!$C$11+D147*Variables!$C$12)*Variables!$C$5</f>
        <v>2092109.6725437958</v>
      </c>
    </row>
    <row r="148" spans="1:12" x14ac:dyDescent="0.35">
      <c r="A148" s="96">
        <v>19</v>
      </c>
      <c r="B148" s="87" t="s">
        <v>77</v>
      </c>
      <c r="C148" s="87">
        <v>2022</v>
      </c>
      <c r="D148" s="97">
        <f>Population!G20</f>
        <v>5818259.2815511441</v>
      </c>
      <c r="E148" s="92" t="str">
        <f t="shared" si="6"/>
        <v>Large</v>
      </c>
      <c r="F148" s="119">
        <f>Area!I20</f>
        <v>1122.4040918320663</v>
      </c>
      <c r="G148" s="27">
        <f>D148*Variables!$C$9</f>
        <v>52.364333533960298</v>
      </c>
      <c r="H148" s="28">
        <f t="shared" si="5"/>
        <v>51.152030413168205</v>
      </c>
      <c r="I148" s="28">
        <f t="shared" si="7"/>
        <v>1.2123031207920931</v>
      </c>
      <c r="J148" s="197">
        <f>VLOOKUP(A148,'Land costs'!$A$2:$F$96,5,FALSE)</f>
        <v>69556263.81201373</v>
      </c>
      <c r="K148" s="29">
        <f>I148*(J148+Variables!$C$10*Variables!$C$5)</f>
        <v>89715619.95829317</v>
      </c>
      <c r="L148" s="29">
        <f>(G148*Variables!$C$11+D148*Variables!$C$12)*Variables!$C$5</f>
        <v>94988610.667208388</v>
      </c>
    </row>
    <row r="149" spans="1:12" x14ac:dyDescent="0.35">
      <c r="A149" s="96">
        <v>20</v>
      </c>
      <c r="B149" s="87" t="s">
        <v>78</v>
      </c>
      <c r="C149" s="87">
        <v>2022</v>
      </c>
      <c r="D149" s="97">
        <f>Population!G21</f>
        <v>3645043.9619316179</v>
      </c>
      <c r="E149" s="92" t="str">
        <f t="shared" si="6"/>
        <v>Large</v>
      </c>
      <c r="F149" s="119">
        <f>Area!I21</f>
        <v>474.64123222646322</v>
      </c>
      <c r="G149" s="27">
        <f>D149*Variables!$C$9</f>
        <v>32.805395657384565</v>
      </c>
      <c r="H149" s="28">
        <f t="shared" si="5"/>
        <v>38.65</v>
      </c>
      <c r="I149" s="28">
        <f t="shared" si="7"/>
        <v>0</v>
      </c>
      <c r="J149" s="197">
        <f>VLOOKUP(A149,'Land costs'!$A$2:$F$96,5,FALSE)</f>
        <v>423084709.93427253</v>
      </c>
      <c r="K149" s="29">
        <f>I149*(J149+Variables!$C$10*Variables!$C$5)</f>
        <v>0</v>
      </c>
      <c r="L149" s="29">
        <f>(G149*Variables!$C$11+D149*Variables!$C$12)*Variables!$C$5</f>
        <v>59508805.814593136</v>
      </c>
    </row>
    <row r="150" spans="1:12" x14ac:dyDescent="0.35">
      <c r="A150" s="96">
        <v>21</v>
      </c>
      <c r="B150" s="98" t="s">
        <v>79</v>
      </c>
      <c r="C150" s="87">
        <v>2022</v>
      </c>
      <c r="D150" s="97">
        <f>Population!G22</f>
        <v>16099150.218309574</v>
      </c>
      <c r="E150" s="92" t="str">
        <f t="shared" si="6"/>
        <v>Large</v>
      </c>
      <c r="F150" s="119">
        <f>Area!I22</f>
        <v>761.06230499999947</v>
      </c>
      <c r="G150" s="27">
        <f>D150*Variables!$C$9</f>
        <v>144.89235196478617</v>
      </c>
      <c r="H150" s="28">
        <f t="shared" si="5"/>
        <v>141.53790364832093</v>
      </c>
      <c r="I150" s="28">
        <f t="shared" si="7"/>
        <v>3.3544483164652377</v>
      </c>
      <c r="J150" s="197">
        <f>VLOOKUP(A150,'Land costs'!$A$2:$F$96,5,FALSE)</f>
        <v>136261714.31466237</v>
      </c>
      <c r="K150" s="29">
        <f>I150*(J150+Variables!$C$10*Variables!$C$5)</f>
        <v>472003519.59743172</v>
      </c>
      <c r="L150" s="29">
        <f>(G150*Variables!$C$11+D150*Variables!$C$12)*Variables!$C$5</f>
        <v>262833923.02726975</v>
      </c>
    </row>
    <row r="151" spans="1:12" x14ac:dyDescent="0.35">
      <c r="A151" s="96">
        <v>22</v>
      </c>
      <c r="B151" s="87" t="s">
        <v>80</v>
      </c>
      <c r="C151" s="87">
        <v>2022</v>
      </c>
      <c r="D151" s="97">
        <f>Population!G23</f>
        <v>14277578.604756424</v>
      </c>
      <c r="E151" s="92" t="str">
        <f t="shared" si="6"/>
        <v>Large</v>
      </c>
      <c r="F151" s="119">
        <f>Area!I23</f>
        <v>1101.3930077183807</v>
      </c>
      <c r="G151" s="27">
        <f>D151*Variables!$C$9</f>
        <v>128.49820744280782</v>
      </c>
      <c r="H151" s="28">
        <f t="shared" si="5"/>
        <v>125.52330511166143</v>
      </c>
      <c r="I151" s="28">
        <f t="shared" si="7"/>
        <v>2.9749023311463958</v>
      </c>
      <c r="J151" s="197">
        <f>VLOOKUP(A151,'Land costs'!$A$2:$F$96,5,FALSE)</f>
        <v>181431544.56336635</v>
      </c>
      <c r="K151" s="29">
        <f>I151*(J151+Variables!$C$10*Variables!$C$5)</f>
        <v>552973539.48077679</v>
      </c>
      <c r="L151" s="29">
        <f>(G151*Variables!$C$11+D151*Variables!$C$12)*Variables!$C$5</f>
        <v>233095035.77092364</v>
      </c>
    </row>
    <row r="152" spans="1:12" x14ac:dyDescent="0.35">
      <c r="A152" s="96">
        <v>23</v>
      </c>
      <c r="B152" s="87" t="s">
        <v>81</v>
      </c>
      <c r="C152" s="87">
        <v>2022</v>
      </c>
      <c r="D152" s="97">
        <f>Population!G24</f>
        <v>51777.879853472827</v>
      </c>
      <c r="E152" s="92" t="str">
        <f t="shared" si="6"/>
        <v>Small</v>
      </c>
      <c r="F152" s="119">
        <f>Area!I24</f>
        <v>104.49917900824568</v>
      </c>
      <c r="G152" s="27">
        <f>D152*Variables!$C$9</f>
        <v>0.46600091868125543</v>
      </c>
      <c r="H152" s="28">
        <f t="shared" si="5"/>
        <v>0.8</v>
      </c>
      <c r="I152" s="28">
        <f t="shared" si="7"/>
        <v>0</v>
      </c>
      <c r="J152" s="197">
        <f>VLOOKUP(A152,'Land costs'!$A$2:$F$96,5,FALSE)</f>
        <v>679160605.168293</v>
      </c>
      <c r="K152" s="29">
        <f>I152*(J152+Variables!$C$10*Variables!$C$5)</f>
        <v>0</v>
      </c>
      <c r="L152" s="29">
        <f>(G152*Variables!$C$11+D152*Variables!$C$12)*Variables!$C$5</f>
        <v>845323.08248452714</v>
      </c>
    </row>
    <row r="153" spans="1:12" x14ac:dyDescent="0.35">
      <c r="A153" s="96">
        <v>24</v>
      </c>
      <c r="B153" s="87" t="s">
        <v>82</v>
      </c>
      <c r="C153" s="87">
        <v>2022</v>
      </c>
      <c r="D153" s="97">
        <f>Population!G25</f>
        <v>2179209.9448378365</v>
      </c>
      <c r="E153" s="92" t="str">
        <f t="shared" si="6"/>
        <v>Large</v>
      </c>
      <c r="F153" s="119">
        <f>Area!I25</f>
        <v>107.04075266828254</v>
      </c>
      <c r="G153" s="27">
        <f>D153*Variables!$C$9</f>
        <v>19.612889503540529</v>
      </c>
      <c r="H153" s="28">
        <f t="shared" si="5"/>
        <v>19.158825342913481</v>
      </c>
      <c r="I153" s="28">
        <f t="shared" si="7"/>
        <v>0.45406416062704835</v>
      </c>
      <c r="J153" s="197">
        <f>VLOOKUP(A153,'Land costs'!$A$2:$F$96,5,FALSE)</f>
        <v>273857556.71751869</v>
      </c>
      <c r="K153" s="29">
        <f>I153*(J153+Variables!$C$10*Variables!$C$5)</f>
        <v>126368586.49487416</v>
      </c>
      <c r="L153" s="29">
        <f>(G153*Variables!$C$11+D153*Variables!$C$12)*Variables!$C$5</f>
        <v>35577672.804764353</v>
      </c>
    </row>
    <row r="154" spans="1:12" x14ac:dyDescent="0.35">
      <c r="A154" s="96">
        <v>25</v>
      </c>
      <c r="B154" s="87" t="s">
        <v>83</v>
      </c>
      <c r="C154" s="87">
        <v>2022</v>
      </c>
      <c r="D154" s="97">
        <f>Population!G26</f>
        <v>312829.38115834986</v>
      </c>
      <c r="E154" s="92" t="str">
        <f t="shared" si="6"/>
        <v>Medium</v>
      </c>
      <c r="F154" s="119">
        <f>Area!I26</f>
        <v>190.13817908181764</v>
      </c>
      <c r="G154" s="27">
        <f>D154*Variables!$C$9</f>
        <v>2.8154644304251488</v>
      </c>
      <c r="H154" s="28">
        <f t="shared" si="5"/>
        <v>2.7502827297305346</v>
      </c>
      <c r="I154" s="28">
        <f t="shared" si="7"/>
        <v>6.5181700694614264E-2</v>
      </c>
      <c r="J154" s="197">
        <f>VLOOKUP(A154,'Land costs'!$A$2:$F$96,5,FALSE)</f>
        <v>202576692.05248237</v>
      </c>
      <c r="K154" s="29">
        <f>I154*(J154+Variables!$C$10*Variables!$C$5)</f>
        <v>13494222.588400939</v>
      </c>
      <c r="L154" s="29">
        <f>(G154*Variables!$C$11+D154*Variables!$C$12)*Variables!$C$5</f>
        <v>5107236.8648707196</v>
      </c>
    </row>
    <row r="155" spans="1:12" x14ac:dyDescent="0.35">
      <c r="A155" s="96">
        <v>26</v>
      </c>
      <c r="B155" s="87" t="s">
        <v>84</v>
      </c>
      <c r="C155" s="87">
        <v>2022</v>
      </c>
      <c r="D155" s="97">
        <f>Population!G27</f>
        <v>129630.37386610762</v>
      </c>
      <c r="E155" s="92" t="str">
        <f t="shared" si="6"/>
        <v>Medium</v>
      </c>
      <c r="F155" s="119">
        <f>Area!I27</f>
        <v>678.86372086989718</v>
      </c>
      <c r="G155" s="27">
        <f>D155*Variables!$C$9</f>
        <v>1.1666733647949685</v>
      </c>
      <c r="H155" s="28">
        <f t="shared" si="5"/>
        <v>1.1396633435527679</v>
      </c>
      <c r="I155" s="28">
        <f t="shared" si="7"/>
        <v>2.7010021242200644E-2</v>
      </c>
      <c r="J155" s="197">
        <f>VLOOKUP(A155,'Land costs'!$A$2:$F$96,5,FALSE)</f>
        <v>207178319.55590102</v>
      </c>
      <c r="K155" s="29">
        <f>I155*(J155+Variables!$C$10*Variables!$C$5)</f>
        <v>5716031.8319239719</v>
      </c>
      <c r="L155" s="29">
        <f>(G155*Variables!$C$11+D155*Variables!$C$12)*Variables!$C$5</f>
        <v>2116339.0144637236</v>
      </c>
    </row>
    <row r="156" spans="1:12" x14ac:dyDescent="0.35">
      <c r="A156" s="96">
        <v>27</v>
      </c>
      <c r="B156" s="87" t="s">
        <v>85</v>
      </c>
      <c r="C156" s="87">
        <v>2022</v>
      </c>
      <c r="D156" s="97">
        <f>Population!G28</f>
        <v>1307396.3184142767</v>
      </c>
      <c r="E156" s="92" t="str">
        <f t="shared" si="6"/>
        <v>Large</v>
      </c>
      <c r="F156" s="119">
        <f>Area!I28</f>
        <v>126.75683853713566</v>
      </c>
      <c r="G156" s="27">
        <f>D156*Variables!$C$9</f>
        <v>11.766566865728491</v>
      </c>
      <c r="H156" s="28">
        <f t="shared" si="5"/>
        <v>27.873100000000001</v>
      </c>
      <c r="I156" s="28">
        <f t="shared" si="7"/>
        <v>0</v>
      </c>
      <c r="J156" s="197">
        <f>VLOOKUP(A156,'Land costs'!$A$2:$F$96,5,FALSE)</f>
        <v>194110385.46713075</v>
      </c>
      <c r="K156" s="29">
        <f>I156*(J156+Variables!$C$10*Variables!$C$5)</f>
        <v>0</v>
      </c>
      <c r="L156" s="29">
        <f>(G156*Variables!$C$11+D156*Variables!$C$12)*Variables!$C$5</f>
        <v>21344487.048106756</v>
      </c>
    </row>
    <row r="157" spans="1:12" x14ac:dyDescent="0.35">
      <c r="A157" s="96">
        <v>28</v>
      </c>
      <c r="B157" s="87" t="s">
        <v>86</v>
      </c>
      <c r="C157" s="87">
        <v>2022</v>
      </c>
      <c r="D157" s="97">
        <f>Population!G29</f>
        <v>1388904.0717063691</v>
      </c>
      <c r="E157" s="92" t="str">
        <f t="shared" si="6"/>
        <v>Large</v>
      </c>
      <c r="F157" s="119">
        <f>Area!I29</f>
        <v>163.37799091474696</v>
      </c>
      <c r="G157" s="27">
        <f>D157*Variables!$C$9</f>
        <v>12.500136645357323</v>
      </c>
      <c r="H157" s="28">
        <f t="shared" si="5"/>
        <v>59.512458633395788</v>
      </c>
      <c r="I157" s="28">
        <f t="shared" si="7"/>
        <v>0</v>
      </c>
      <c r="J157" s="197">
        <f>VLOOKUP(A157,'Land costs'!$A$2:$F$96,5,FALSE)</f>
        <v>106495314.22538668</v>
      </c>
      <c r="K157" s="29">
        <f>I157*(J157+Variables!$C$10*Variables!$C$5)</f>
        <v>0</v>
      </c>
      <c r="L157" s="29">
        <f>(G157*Variables!$C$11+D157*Variables!$C$12)*Variables!$C$5</f>
        <v>22675178.56066468</v>
      </c>
    </row>
    <row r="158" spans="1:12" x14ac:dyDescent="0.35">
      <c r="A158" s="96">
        <v>29</v>
      </c>
      <c r="B158" s="87" t="s">
        <v>87</v>
      </c>
      <c r="C158" s="87">
        <v>2022</v>
      </c>
      <c r="D158" s="97">
        <f>Population!G30</f>
        <v>185323.58631414297</v>
      </c>
      <c r="E158" s="92" t="str">
        <f t="shared" si="6"/>
        <v>Medium</v>
      </c>
      <c r="F158" s="119">
        <f>Area!I30</f>
        <v>918.29698341737105</v>
      </c>
      <c r="G158" s="27">
        <f>D158*Variables!$C$9</f>
        <v>1.6679122768272867</v>
      </c>
      <c r="H158" s="28">
        <f t="shared" si="5"/>
        <v>1.6292979162130377</v>
      </c>
      <c r="I158" s="28">
        <f t="shared" si="7"/>
        <v>3.8614360614249055E-2</v>
      </c>
      <c r="J158" s="197">
        <f>VLOOKUP(A158,'Land costs'!$A$2:$F$96,5,FALSE)</f>
        <v>207178319.55590102</v>
      </c>
      <c r="K158" s="29">
        <f>I158*(J158+Variables!$C$10*Variables!$C$5)</f>
        <v>8171815.6554272911</v>
      </c>
      <c r="L158" s="29">
        <f>(G158*Variables!$C$11+D158*Variables!$C$12)*Variables!$C$5</f>
        <v>3025583.621490275</v>
      </c>
    </row>
    <row r="159" spans="1:12" x14ac:dyDescent="0.35">
      <c r="A159" s="96">
        <v>30</v>
      </c>
      <c r="B159" s="87" t="s">
        <v>88</v>
      </c>
      <c r="C159" s="87">
        <v>2022</v>
      </c>
      <c r="D159" s="97">
        <f>Population!G31</f>
        <v>127144.79755607634</v>
      </c>
      <c r="E159" s="92" t="str">
        <f t="shared" si="6"/>
        <v>Medium</v>
      </c>
      <c r="F159" s="119">
        <f>Area!I31</f>
        <v>91.548012150504789</v>
      </c>
      <c r="G159" s="27">
        <f>D159*Variables!$C$9</f>
        <v>1.1443031780046871</v>
      </c>
      <c r="H159" s="28">
        <f t="shared" si="5"/>
        <v>1.1178110559780081</v>
      </c>
      <c r="I159" s="28">
        <f t="shared" si="7"/>
        <v>2.6492122026678944E-2</v>
      </c>
      <c r="J159" s="197">
        <f>VLOOKUP(A159,'Land costs'!$A$2:$F$96,5,FALSE)</f>
        <v>207178319.55590102</v>
      </c>
      <c r="K159" s="29">
        <f>I159*(J159+Variables!$C$10*Variables!$C$5)</f>
        <v>5606430.7185036959</v>
      </c>
      <c r="L159" s="29">
        <f>(G159*Variables!$C$11+D159*Variables!$C$12)*Variables!$C$5</f>
        <v>2075759.6196701913</v>
      </c>
    </row>
    <row r="160" spans="1:12" x14ac:dyDescent="0.35">
      <c r="A160" s="96">
        <v>31</v>
      </c>
      <c r="B160" s="87" t="s">
        <v>89</v>
      </c>
      <c r="C160" s="87">
        <v>2022</v>
      </c>
      <c r="D160" s="97">
        <f>Population!G32</f>
        <v>219416.48074049066</v>
      </c>
      <c r="E160" s="92" t="str">
        <f t="shared" si="6"/>
        <v>Medium</v>
      </c>
      <c r="F160" s="119">
        <f>Area!I32</f>
        <v>691.53959947535145</v>
      </c>
      <c r="G160" s="27">
        <f>D160*Variables!$C$9</f>
        <v>1.9747483266644159</v>
      </c>
      <c r="H160" s="28">
        <f t="shared" si="5"/>
        <v>1.9290303083563698</v>
      </c>
      <c r="I160" s="28">
        <f t="shared" si="7"/>
        <v>4.5718018308046116E-2</v>
      </c>
      <c r="J160" s="197">
        <f>VLOOKUP(A160,'Land costs'!$A$2:$F$96,5,FALSE)</f>
        <v>207178319.55590102</v>
      </c>
      <c r="K160" s="29">
        <f>I160*(J160+Variables!$C$10*Variables!$C$5)</f>
        <v>9675136.7056675069</v>
      </c>
      <c r="L160" s="29">
        <f>(G160*Variables!$C$11+D160*Variables!$C$12)*Variables!$C$5</f>
        <v>3582182.5144703779</v>
      </c>
    </row>
    <row r="161" spans="1:12" x14ac:dyDescent="0.35">
      <c r="A161" s="96">
        <v>32</v>
      </c>
      <c r="B161" s="87" t="s">
        <v>90</v>
      </c>
      <c r="C161" s="87">
        <v>2022</v>
      </c>
      <c r="D161" s="97">
        <f>Population!G33</f>
        <v>1527536.0876281185</v>
      </c>
      <c r="E161" s="92" t="str">
        <f t="shared" si="6"/>
        <v>Large</v>
      </c>
      <c r="F161" s="119">
        <f>Area!I33</f>
        <v>40.844497728686754</v>
      </c>
      <c r="G161" s="27">
        <f>D161*Variables!$C$9</f>
        <v>13.747824788653066</v>
      </c>
      <c r="H161" s="28">
        <f t="shared" si="5"/>
        <v>13.429544582058282</v>
      </c>
      <c r="I161" s="28">
        <f t="shared" si="7"/>
        <v>0.31828020659478362</v>
      </c>
      <c r="J161" s="197">
        <f>VLOOKUP(A161,'Land costs'!$A$2:$F$96,5,FALSE)</f>
        <v>258664564.88983455</v>
      </c>
      <c r="K161" s="29">
        <f>I161*(J161+Variables!$C$10*Variables!$C$5)</f>
        <v>83743526.758260041</v>
      </c>
      <c r="L161" s="29">
        <f>(G161*Variables!$C$11+D161*Variables!$C$12)*Variables!$C$5</f>
        <v>24938477.934096962</v>
      </c>
    </row>
    <row r="162" spans="1:12" x14ac:dyDescent="0.35">
      <c r="A162" s="96">
        <v>33</v>
      </c>
      <c r="B162" s="87" t="s">
        <v>91</v>
      </c>
      <c r="C162" s="87">
        <v>2022</v>
      </c>
      <c r="D162" s="97">
        <f>Population!G34</f>
        <v>962259.62081388058</v>
      </c>
      <c r="E162" s="92" t="str">
        <f t="shared" si="6"/>
        <v>Medium</v>
      </c>
      <c r="F162" s="119">
        <f>Area!I34</f>
        <v>340.84029139111004</v>
      </c>
      <c r="G162" s="27">
        <f>D162*Variables!$C$9</f>
        <v>8.6603365873249256</v>
      </c>
      <c r="H162" s="28">
        <f t="shared" si="5"/>
        <v>8.4598384168456811</v>
      </c>
      <c r="I162" s="28">
        <f t="shared" si="7"/>
        <v>0.20049817047924456</v>
      </c>
      <c r="J162" s="197">
        <f>VLOOKUP(A162,'Land costs'!$A$2:$F$96,5,FALSE)</f>
        <v>147442586.65970939</v>
      </c>
      <c r="K162" s="29">
        <f>I162*(J162+Variables!$C$10*Variables!$C$5)</f>
        <v>30453788.043875448</v>
      </c>
      <c r="L162" s="29">
        <f>(G162*Variables!$C$11+D162*Variables!$C$12)*Variables!$C$5</f>
        <v>15709802.547317401</v>
      </c>
    </row>
    <row r="163" spans="1:12" x14ac:dyDescent="0.35">
      <c r="A163" s="96">
        <v>34</v>
      </c>
      <c r="B163" s="87" t="s">
        <v>92</v>
      </c>
      <c r="C163" s="87">
        <v>2022</v>
      </c>
      <c r="D163" s="97">
        <f>Population!G35</f>
        <v>556652.64270889771</v>
      </c>
      <c r="E163" s="92" t="str">
        <f t="shared" si="6"/>
        <v>Medium</v>
      </c>
      <c r="F163" s="119">
        <f>Area!I35</f>
        <v>103.68559302170523</v>
      </c>
      <c r="G163" s="27">
        <f>D163*Variables!$C$9</f>
        <v>5.0098737843800798</v>
      </c>
      <c r="H163" s="28">
        <f t="shared" si="5"/>
        <v>4.8938886239914812</v>
      </c>
      <c r="I163" s="28">
        <f t="shared" si="7"/>
        <v>0.11598516038859863</v>
      </c>
      <c r="J163" s="197">
        <f>VLOOKUP(A163,'Land costs'!$A$2:$F$96,5,FALSE)</f>
        <v>382950815.48123109</v>
      </c>
      <c r="K163" s="29">
        <f>I163*(J163+Variables!$C$10*Variables!$C$5)</f>
        <v>44932515.660174407</v>
      </c>
      <c r="L163" s="29">
        <f>(G163*Variables!$C$11+D163*Variables!$C$12)*Variables!$C$5</f>
        <v>9087883.2648124136</v>
      </c>
    </row>
    <row r="164" spans="1:12" x14ac:dyDescent="0.35">
      <c r="A164" s="96">
        <v>35</v>
      </c>
      <c r="B164" s="87" t="s">
        <v>93</v>
      </c>
      <c r="C164" s="87">
        <v>2022</v>
      </c>
      <c r="D164" s="97">
        <f>Population!G36</f>
        <v>237148.04646285845</v>
      </c>
      <c r="E164" s="92" t="str">
        <f t="shared" si="6"/>
        <v>Medium</v>
      </c>
      <c r="F164" s="119">
        <f>Area!I36</f>
        <v>35.260296137915979</v>
      </c>
      <c r="G164" s="27">
        <f>D164*Variables!$C$9</f>
        <v>2.1343324181657262</v>
      </c>
      <c r="H164" s="28">
        <f t="shared" si="5"/>
        <v>2.0849198184680335</v>
      </c>
      <c r="I164" s="28">
        <f t="shared" si="7"/>
        <v>4.9412599697692627E-2</v>
      </c>
      <c r="J164" s="197">
        <f>VLOOKUP(A164,'Land costs'!$A$2:$F$96,5,FALSE)</f>
        <v>83219953.906071469</v>
      </c>
      <c r="K164" s="29">
        <f>I164*(J164+Variables!$C$10*Variables!$C$5)</f>
        <v>4331902.3273349172</v>
      </c>
      <c r="L164" s="29">
        <f>(G164*Variables!$C$11+D164*Variables!$C$12)*Variables!$C$5</f>
        <v>3871667.1715503186</v>
      </c>
    </row>
    <row r="165" spans="1:12" x14ac:dyDescent="0.35">
      <c r="A165" s="96">
        <v>36</v>
      </c>
      <c r="B165" s="87" t="s">
        <v>94</v>
      </c>
      <c r="C165" s="87">
        <v>2022</v>
      </c>
      <c r="D165" s="97">
        <f>Population!G37</f>
        <v>1520479.1728988574</v>
      </c>
      <c r="E165" s="92" t="str">
        <f t="shared" si="6"/>
        <v>Large</v>
      </c>
      <c r="F165" s="119">
        <f>Area!I37</f>
        <v>66.034814956511298</v>
      </c>
      <c r="G165" s="27">
        <f>D165*Variables!$C$9</f>
        <v>13.684312556089717</v>
      </c>
      <c r="H165" s="28">
        <f t="shared" si="5"/>
        <v>13.367502741125049</v>
      </c>
      <c r="I165" s="28">
        <f t="shared" si="7"/>
        <v>0.31680981496466742</v>
      </c>
      <c r="J165" s="197">
        <f>VLOOKUP(A165,'Land costs'!$A$2:$F$96,5,FALSE)</f>
        <v>115153966.74863443</v>
      </c>
      <c r="K165" s="29">
        <f>I165*(J165+Variables!$C$10*Variables!$C$5)</f>
        <v>37891082.17824313</v>
      </c>
      <c r="L165" s="29">
        <f>(G165*Variables!$C$11+D165*Variables!$C$12)*Variables!$C$5</f>
        <v>24823267.096406218</v>
      </c>
    </row>
    <row r="166" spans="1:12" x14ac:dyDescent="0.35">
      <c r="A166" s="96">
        <v>37</v>
      </c>
      <c r="B166" s="87" t="s">
        <v>95</v>
      </c>
      <c r="C166" s="87">
        <v>2022</v>
      </c>
      <c r="D166" s="97">
        <f>Population!G38</f>
        <v>253677.58178854792</v>
      </c>
      <c r="E166" s="92" t="str">
        <f t="shared" si="6"/>
        <v>Medium</v>
      </c>
      <c r="F166" s="119">
        <f>Area!I38</f>
        <v>27.749227138123228</v>
      </c>
      <c r="G166" s="27">
        <f>D166*Variables!$C$9</f>
        <v>2.2830982360969312</v>
      </c>
      <c r="H166" s="28">
        <f t="shared" si="5"/>
        <v>2.2302415122564532</v>
      </c>
      <c r="I166" s="28">
        <f t="shared" si="7"/>
        <v>5.2856723840478015E-2</v>
      </c>
      <c r="J166" s="197">
        <f>VLOOKUP(A166,'Land costs'!$A$2:$F$96,5,FALSE)</f>
        <v>135804860.55953482</v>
      </c>
      <c r="K166" s="29">
        <f>I166*(J166+Variables!$C$10*Variables!$C$5)</f>
        <v>7413307.5898736231</v>
      </c>
      <c r="L166" s="29">
        <f>(G166*Variables!$C$11+D166*Variables!$C$12)*Variables!$C$5</f>
        <v>4141527.5403620689</v>
      </c>
    </row>
    <row r="167" spans="1:12" x14ac:dyDescent="0.35">
      <c r="A167" s="96">
        <v>38</v>
      </c>
      <c r="B167" s="87" t="s">
        <v>96</v>
      </c>
      <c r="C167" s="87">
        <v>2022</v>
      </c>
      <c r="D167" s="97">
        <f>Population!G39</f>
        <v>1115592.8954730453</v>
      </c>
      <c r="E167" s="92" t="str">
        <f t="shared" si="6"/>
        <v>Large</v>
      </c>
      <c r="F167" s="119">
        <f>Area!I39</f>
        <v>111.62283096914231</v>
      </c>
      <c r="G167" s="27">
        <f>D167*Variables!$C$9</f>
        <v>10.040336059257408</v>
      </c>
      <c r="H167" s="28">
        <f t="shared" si="5"/>
        <v>9.8078890878747753</v>
      </c>
      <c r="I167" s="28">
        <f t="shared" si="7"/>
        <v>0.23244697138263248</v>
      </c>
      <c r="J167" s="197">
        <f>VLOOKUP(A167,'Land costs'!$A$2:$F$96,5,FALSE)</f>
        <v>223708463.42310071</v>
      </c>
      <c r="K167" s="29">
        <f>I167*(J167+Variables!$C$10*Variables!$C$5)</f>
        <v>53034282.756391987</v>
      </c>
      <c r="L167" s="29">
        <f>(G167*Variables!$C$11+D167*Variables!$C$12)*Variables!$C$5</f>
        <v>18213113.93722241</v>
      </c>
    </row>
    <row r="168" spans="1:12" x14ac:dyDescent="0.35">
      <c r="A168" s="96">
        <v>39</v>
      </c>
      <c r="B168" s="87" t="s">
        <v>97</v>
      </c>
      <c r="C168" s="87">
        <v>2022</v>
      </c>
      <c r="D168" s="97">
        <f>Population!G40</f>
        <v>91840.815453419826</v>
      </c>
      <c r="E168" s="92" t="str">
        <f t="shared" si="6"/>
        <v>Small</v>
      </c>
      <c r="F168" s="119">
        <f>Area!I40</f>
        <v>26.601702707599337</v>
      </c>
      <c r="G168" s="27">
        <f>D168*Variables!$C$9</f>
        <v>0.82656733908077851</v>
      </c>
      <c r="H168" s="28">
        <f t="shared" si="5"/>
        <v>0.80743121918606853</v>
      </c>
      <c r="I168" s="28">
        <f t="shared" si="7"/>
        <v>1.913611989470998E-2</v>
      </c>
      <c r="J168" s="197">
        <f>VLOOKUP(A168,'Land costs'!$A$2:$F$96,5,FALSE)</f>
        <v>399734297.50693494</v>
      </c>
      <c r="K168" s="29">
        <f>I168*(J168+Variables!$C$10*Variables!$C$5)</f>
        <v>7734481.2199065071</v>
      </c>
      <c r="L168" s="29">
        <f>(G168*Variables!$C$11+D168*Variables!$C$12)*Variables!$C$5</f>
        <v>1499388.5697266597</v>
      </c>
    </row>
    <row r="169" spans="1:12" x14ac:dyDescent="0.35">
      <c r="A169" s="96">
        <v>40</v>
      </c>
      <c r="B169" s="87" t="s">
        <v>98</v>
      </c>
      <c r="C169" s="87">
        <v>2022</v>
      </c>
      <c r="D169" s="97">
        <f>Population!G41</f>
        <v>163983.34160756008</v>
      </c>
      <c r="E169" s="92" t="str">
        <f t="shared" si="6"/>
        <v>Medium</v>
      </c>
      <c r="F169" s="119">
        <f>Area!I41</f>
        <v>37.138063387864165</v>
      </c>
      <c r="G169" s="27">
        <f>D169*Variables!$C$9</f>
        <v>1.4758500744680407</v>
      </c>
      <c r="H169" s="28">
        <f t="shared" si="5"/>
        <v>1.4416822061815382</v>
      </c>
      <c r="I169" s="28">
        <f t="shared" si="7"/>
        <v>3.4167868286502534E-2</v>
      </c>
      <c r="J169" s="197">
        <f>VLOOKUP(A169,'Land costs'!$A$2:$F$96,5,FALSE)</f>
        <v>101660475.1170758</v>
      </c>
      <c r="K169" s="29">
        <f>I169*(J169+Variables!$C$10*Variables!$C$5)</f>
        <v>3625500.9652026179</v>
      </c>
      <c r="L169" s="29">
        <f>(G169*Variables!$C$11+D169*Variables!$C$12)*Variables!$C$5</f>
        <v>2677183.8514071275</v>
      </c>
    </row>
    <row r="170" spans="1:12" x14ac:dyDescent="0.35">
      <c r="A170" s="96">
        <v>41</v>
      </c>
      <c r="B170" s="87" t="s">
        <v>99</v>
      </c>
      <c r="C170" s="87">
        <v>2022</v>
      </c>
      <c r="D170" s="97">
        <f>Population!G42</f>
        <v>78927.722494485904</v>
      </c>
      <c r="E170" s="92" t="str">
        <f t="shared" si="6"/>
        <v>Small</v>
      </c>
      <c r="F170" s="119">
        <f>Area!I42</f>
        <v>14.813497194035707</v>
      </c>
      <c r="G170" s="27">
        <f>D170*Variables!$C$9</f>
        <v>0.7103495024503732</v>
      </c>
      <c r="H170" s="28">
        <f t="shared" si="5"/>
        <v>0.69390397816779625</v>
      </c>
      <c r="I170" s="28">
        <f t="shared" si="7"/>
        <v>1.6445524282576951E-2</v>
      </c>
      <c r="J170" s="197">
        <f>VLOOKUP(A170,'Land costs'!$A$2:$F$96,5,FALSE)</f>
        <v>399734297.50693494</v>
      </c>
      <c r="K170" s="29">
        <f>I170*(J170+Variables!$C$10*Variables!$C$5)</f>
        <v>6646990.0593730379</v>
      </c>
      <c r="L170" s="29">
        <f>(G170*Variables!$C$11+D170*Variables!$C$12)*Variables!$C$5</f>
        <v>1288570.0585140358</v>
      </c>
    </row>
    <row r="171" spans="1:12" x14ac:dyDescent="0.35">
      <c r="A171" s="96">
        <v>42</v>
      </c>
      <c r="B171" s="87" t="s">
        <v>100</v>
      </c>
      <c r="C171" s="87">
        <v>2022</v>
      </c>
      <c r="D171" s="97">
        <f>Population!G43</f>
        <v>97740.986184155161</v>
      </c>
      <c r="E171" s="92" t="str">
        <f t="shared" si="6"/>
        <v>Small</v>
      </c>
      <c r="F171" s="119">
        <f>Area!I43</f>
        <v>15.648060416234902</v>
      </c>
      <c r="G171" s="27">
        <f>D171*Variables!$C$9</f>
        <v>0.87966887565739649</v>
      </c>
      <c r="H171" s="28">
        <f t="shared" si="5"/>
        <v>0.85930338542287421</v>
      </c>
      <c r="I171" s="28">
        <f t="shared" si="7"/>
        <v>2.0365490234522277E-2</v>
      </c>
      <c r="J171" s="197">
        <f>VLOOKUP(A171,'Land costs'!$A$2:$F$96,5,FALSE)</f>
        <v>189319723.52178472</v>
      </c>
      <c r="K171" s="29">
        <f>I171*(J171+Variables!$C$10*Variables!$C$5)</f>
        <v>3946175.016911434</v>
      </c>
      <c r="L171" s="29">
        <f>(G171*Variables!$C$11+D171*Variables!$C$12)*Variables!$C$5</f>
        <v>1595714.4626254137</v>
      </c>
    </row>
    <row r="172" spans="1:12" x14ac:dyDescent="0.35">
      <c r="A172" s="96">
        <v>1</v>
      </c>
      <c r="B172" s="87" t="s">
        <v>59</v>
      </c>
      <c r="C172" s="87">
        <v>2023</v>
      </c>
      <c r="D172" s="97">
        <f>Population!H2</f>
        <v>529830.27869311743</v>
      </c>
      <c r="E172" s="92" t="str">
        <f t="shared" si="6"/>
        <v>Medium</v>
      </c>
      <c r="F172" s="119">
        <f>Area!J2</f>
        <v>108.56060108345082</v>
      </c>
      <c r="G172" s="27">
        <f>D172*Variables!$C$9</f>
        <v>4.768472508238057</v>
      </c>
      <c r="H172" s="28">
        <f t="shared" si="5"/>
        <v>4.658076104559985</v>
      </c>
      <c r="I172" s="28">
        <f t="shared" si="7"/>
        <v>0.11039640367807202</v>
      </c>
      <c r="J172" s="197">
        <f>VLOOKUP(A172,'Land costs'!$A$2:$F$96,5,FALSE)</f>
        <v>349411907.96390015</v>
      </c>
      <c r="K172" s="29">
        <f>I172*(J172+Variables!$C$10*Variables!$C$5)</f>
        <v>39064863.065157793</v>
      </c>
      <c r="L172" s="29">
        <f>(G172*Variables!$C$11+D172*Variables!$C$12)*Variables!$C$5</f>
        <v>8649982.6884754561</v>
      </c>
    </row>
    <row r="173" spans="1:12" x14ac:dyDescent="0.35">
      <c r="A173" s="96">
        <v>2</v>
      </c>
      <c r="B173" s="87" t="s">
        <v>60</v>
      </c>
      <c r="C173" s="87">
        <v>2023</v>
      </c>
      <c r="D173" s="97">
        <f>Population!H3</f>
        <v>388647.81615438784</v>
      </c>
      <c r="E173" s="92" t="str">
        <f t="shared" si="6"/>
        <v>Medium</v>
      </c>
      <c r="F173" s="119">
        <f>Area!J3</f>
        <v>652.79203546232918</v>
      </c>
      <c r="G173" s="27">
        <f>D173*Variables!$C$9</f>
        <v>3.4978303453894908</v>
      </c>
      <c r="H173" s="28">
        <f t="shared" si="5"/>
        <v>12.956920723790825</v>
      </c>
      <c r="I173" s="28">
        <f t="shared" si="7"/>
        <v>0</v>
      </c>
      <c r="J173" s="197">
        <f>VLOOKUP(A173,'Land costs'!$A$2:$F$96,5,FALSE)</f>
        <v>207178319.55590102</v>
      </c>
      <c r="K173" s="29">
        <f>I173*(J173+Variables!$C$10*Variables!$C$5)</f>
        <v>0</v>
      </c>
      <c r="L173" s="29">
        <f>(G173*Variables!$C$11+D173*Variables!$C$12)*Variables!$C$5</f>
        <v>6345044.8508557789</v>
      </c>
    </row>
    <row r="174" spans="1:12" x14ac:dyDescent="0.35">
      <c r="A174" s="96">
        <v>3</v>
      </c>
      <c r="B174" s="87" t="s">
        <v>61</v>
      </c>
      <c r="C174" s="87">
        <v>2023</v>
      </c>
      <c r="D174" s="97">
        <f>Population!H4</f>
        <v>11184174.854361728</v>
      </c>
      <c r="E174" s="92" t="str">
        <f t="shared" si="6"/>
        <v>Large</v>
      </c>
      <c r="F174" s="119">
        <f>Area!J4</f>
        <v>769.92321031552638</v>
      </c>
      <c r="G174" s="27">
        <f>D174*Variables!$C$9</f>
        <v>100.65757368925556</v>
      </c>
      <c r="H174" s="28">
        <f t="shared" si="5"/>
        <v>98.32721860824023</v>
      </c>
      <c r="I174" s="28">
        <f t="shared" si="7"/>
        <v>2.3303550810153268</v>
      </c>
      <c r="J174" s="197">
        <f>VLOOKUP(A174,'Land costs'!$A$2:$F$96,5,FALSE)</f>
        <v>623490608.57078338</v>
      </c>
      <c r="K174" s="29">
        <f>I174*(J174+Variables!$C$10*Variables!$C$5)</f>
        <v>1463319965.4688492</v>
      </c>
      <c r="L174" s="29">
        <f>(G174*Variables!$C$11+D174*Variables!$C$12)*Variables!$C$5</f>
        <v>182592280.51997733</v>
      </c>
    </row>
    <row r="175" spans="1:12" x14ac:dyDescent="0.35">
      <c r="A175" s="96">
        <v>4</v>
      </c>
      <c r="B175" s="87" t="s">
        <v>62</v>
      </c>
      <c r="C175" s="87">
        <v>2023</v>
      </c>
      <c r="D175" s="97">
        <f>Population!H5</f>
        <v>2381852.0417070338</v>
      </c>
      <c r="E175" s="92" t="str">
        <f t="shared" si="6"/>
        <v>Large</v>
      </c>
      <c r="F175" s="119">
        <f>Area!J5</f>
        <v>425.6718305640573</v>
      </c>
      <c r="G175" s="27">
        <f>D175*Variables!$C$9</f>
        <v>21.436668375363304</v>
      </c>
      <c r="H175" s="28">
        <f t="shared" ref="H175:H238" si="8">H133+I133</f>
        <v>100.58253557595253</v>
      </c>
      <c r="I175" s="28">
        <f t="shared" si="7"/>
        <v>0</v>
      </c>
      <c r="J175" s="197">
        <f>VLOOKUP(A175,'Land costs'!$A$2:$F$96,5,FALSE)</f>
        <v>258664564.88983455</v>
      </c>
      <c r="K175" s="29">
        <f>I175*(J175+Variables!$C$10*Variables!$C$5)</f>
        <v>0</v>
      </c>
      <c r="L175" s="29">
        <f>(G175*Variables!$C$11+D175*Variables!$C$12)*Variables!$C$5</f>
        <v>38885997.565286748</v>
      </c>
    </row>
    <row r="176" spans="1:12" x14ac:dyDescent="0.35">
      <c r="A176" s="96">
        <v>5</v>
      </c>
      <c r="B176" s="87" t="s">
        <v>63</v>
      </c>
      <c r="C176" s="87">
        <v>2023</v>
      </c>
      <c r="D176" s="97">
        <f>Population!H6</f>
        <v>1117138.6203896278</v>
      </c>
      <c r="E176" s="92" t="str">
        <f t="shared" si="6"/>
        <v>Large</v>
      </c>
      <c r="F176" s="119">
        <f>Area!J6</f>
        <v>192.83790981928769</v>
      </c>
      <c r="G176" s="27">
        <f>D176*Variables!$C$9</f>
        <v>10.054247583506649</v>
      </c>
      <c r="H176" s="28">
        <f t="shared" si="8"/>
        <v>9.821478542059829</v>
      </c>
      <c r="I176" s="28">
        <f t="shared" si="7"/>
        <v>0.23276904144682042</v>
      </c>
      <c r="J176" s="197">
        <f>VLOOKUP(A176,'Land costs'!$A$2:$F$96,5,FALSE)</f>
        <v>258664564.88983455</v>
      </c>
      <c r="K176" s="29">
        <f>I176*(J176+Variables!$C$10*Variables!$C$5)</f>
        <v>61244463.35965091</v>
      </c>
      <c r="L176" s="29">
        <f>(G176*Variables!$C$11+D176*Variables!$C$12)*Variables!$C$5</f>
        <v>18238349.365070291</v>
      </c>
    </row>
    <row r="177" spans="1:12" x14ac:dyDescent="0.35">
      <c r="A177" s="96">
        <v>6</v>
      </c>
      <c r="B177" s="87" t="s">
        <v>64</v>
      </c>
      <c r="C177" s="87">
        <v>2023</v>
      </c>
      <c r="D177" s="97">
        <f>Population!H7</f>
        <v>1273682.0336738601</v>
      </c>
      <c r="E177" s="92" t="str">
        <f t="shared" si="6"/>
        <v>Large</v>
      </c>
      <c r="F177" s="119">
        <f>Area!J7</f>
        <v>166.10855208579306</v>
      </c>
      <c r="G177" s="27">
        <f>D177*Variables!$C$9</f>
        <v>11.463138303064742</v>
      </c>
      <c r="H177" s="28">
        <f t="shared" si="8"/>
        <v>11.197751590372899</v>
      </c>
      <c r="I177" s="28">
        <f t="shared" si="7"/>
        <v>0.26538671269184277</v>
      </c>
      <c r="J177" s="197">
        <f>VLOOKUP(A177,'Land costs'!$A$2:$F$96,5,FALSE)</f>
        <v>421303330.51817626</v>
      </c>
      <c r="K177" s="29">
        <f>I177*(J177+Variables!$C$10*Variables!$C$5)</f>
        <v>112988750.40578967</v>
      </c>
      <c r="L177" s="29">
        <f>(G177*Variables!$C$11+D177*Variables!$C$12)*Variables!$C$5</f>
        <v>20794069.317964446</v>
      </c>
    </row>
    <row r="178" spans="1:12" x14ac:dyDescent="0.35">
      <c r="A178" s="96">
        <v>7</v>
      </c>
      <c r="B178" s="87" t="s">
        <v>65</v>
      </c>
      <c r="C178" s="87">
        <v>2023</v>
      </c>
      <c r="D178" s="97">
        <f>Population!H8</f>
        <v>6154886.7275632918</v>
      </c>
      <c r="E178" s="92" t="str">
        <f t="shared" si="6"/>
        <v>Large</v>
      </c>
      <c r="F178" s="119">
        <f>Area!J8</f>
        <v>1125.6020217599903</v>
      </c>
      <c r="G178" s="27">
        <f>D178*Variables!$C$9</f>
        <v>55.393980548069628</v>
      </c>
      <c r="H178" s="28">
        <f t="shared" si="8"/>
        <v>54.111537118364382</v>
      </c>
      <c r="I178" s="28">
        <f t="shared" si="7"/>
        <v>1.2824434297052463</v>
      </c>
      <c r="J178" s="197">
        <f>VLOOKUP(A178,'Land costs'!$A$2:$F$96,5,FALSE)</f>
        <v>368904372.20152247</v>
      </c>
      <c r="K178" s="29">
        <f>I178*(J178+Variables!$C$10*Variables!$C$5)</f>
        <v>478803317.83817089</v>
      </c>
      <c r="L178" s="29">
        <f>(G178*Variables!$C$11+D178*Variables!$C$12)*Variables!$C$5</f>
        <v>100484373.55122684</v>
      </c>
    </row>
    <row r="179" spans="1:12" x14ac:dyDescent="0.35">
      <c r="A179" s="96">
        <v>8</v>
      </c>
      <c r="B179" s="87" t="s">
        <v>66</v>
      </c>
      <c r="C179" s="87">
        <v>2023</v>
      </c>
      <c r="D179" s="97">
        <f>Population!H9</f>
        <v>58654.274459976965</v>
      </c>
      <c r="E179" s="92" t="str">
        <f t="shared" si="6"/>
        <v>Small</v>
      </c>
      <c r="F179" s="119">
        <f>Area!J9</f>
        <v>158.55561474030316</v>
      </c>
      <c r="G179" s="27">
        <f>D179*Variables!$C$9</f>
        <v>0.52788847013979268</v>
      </c>
      <c r="H179" s="28">
        <f t="shared" si="8"/>
        <v>0.51566715848372824</v>
      </c>
      <c r="I179" s="28">
        <f t="shared" si="7"/>
        <v>1.2221311656064437E-2</v>
      </c>
      <c r="J179" s="197">
        <f>VLOOKUP(A179,'Land costs'!$A$2:$F$96,5,FALSE)</f>
        <v>399734297.50693494</v>
      </c>
      <c r="K179" s="29">
        <f>I179*(J179+Variables!$C$10*Variables!$C$5)</f>
        <v>4939638.0251874188</v>
      </c>
      <c r="L179" s="29">
        <f>(G179*Variables!$C$11+D179*Variables!$C$12)*Variables!$C$5</f>
        <v>957586.75766009884</v>
      </c>
    </row>
    <row r="180" spans="1:12" x14ac:dyDescent="0.35">
      <c r="A180" s="96">
        <v>9</v>
      </c>
      <c r="B180" s="87" t="s">
        <v>67</v>
      </c>
      <c r="C180" s="87">
        <v>2023</v>
      </c>
      <c r="D180" s="97">
        <f>Population!H10</f>
        <v>754441.63177735335</v>
      </c>
      <c r="E180" s="92" t="str">
        <f t="shared" si="6"/>
        <v>Medium</v>
      </c>
      <c r="F180" s="119">
        <f>Area!J10</f>
        <v>428.52868848730594</v>
      </c>
      <c r="G180" s="27">
        <f>D180*Variables!$C$9</f>
        <v>6.7899746859961807</v>
      </c>
      <c r="H180" s="28">
        <f t="shared" si="8"/>
        <v>6.6327778509291582</v>
      </c>
      <c r="I180" s="28">
        <f t="shared" si="7"/>
        <v>0.15719683506702253</v>
      </c>
      <c r="J180" s="197">
        <f>VLOOKUP(A180,'Land costs'!$A$2:$F$96,5,FALSE)</f>
        <v>292630299.54426229</v>
      </c>
      <c r="K180" s="29">
        <f>I180*(J180+Variables!$C$10*Variables!$C$5)</f>
        <v>46699771.047132574</v>
      </c>
      <c r="L180" s="29">
        <f>(G180*Variables!$C$11+D180*Variables!$C$12)*Variables!$C$5</f>
        <v>12316976.429576889</v>
      </c>
    </row>
    <row r="181" spans="1:12" x14ac:dyDescent="0.35">
      <c r="A181" s="96">
        <v>10</v>
      </c>
      <c r="B181" s="87" t="s">
        <v>68</v>
      </c>
      <c r="C181" s="87">
        <v>2023</v>
      </c>
      <c r="D181" s="97">
        <f>Population!H11</f>
        <v>700114.70284514711</v>
      </c>
      <c r="E181" s="92" t="str">
        <f t="shared" si="6"/>
        <v>Medium</v>
      </c>
      <c r="F181" s="119">
        <f>Area!J11</f>
        <v>126.9619506388227</v>
      </c>
      <c r="G181" s="27">
        <f>D181*Variables!$C$9</f>
        <v>6.3010323256063243</v>
      </c>
      <c r="H181" s="28">
        <f t="shared" si="8"/>
        <v>6.1551551485848623</v>
      </c>
      <c r="I181" s="28">
        <f t="shared" si="7"/>
        <v>0.14587717702146197</v>
      </c>
      <c r="J181" s="197">
        <f>VLOOKUP(A181,'Land costs'!$A$2:$F$96,5,FALSE)</f>
        <v>207178319.55590102</v>
      </c>
      <c r="K181" s="29">
        <f>I181*(J181+Variables!$C$10*Variables!$C$5)</f>
        <v>30871452.485312734</v>
      </c>
      <c r="L181" s="29">
        <f>(G181*Variables!$C$11+D181*Variables!$C$12)*Variables!$C$5</f>
        <v>11430037.699044643</v>
      </c>
    </row>
    <row r="182" spans="1:12" x14ac:dyDescent="0.35">
      <c r="A182" s="96">
        <v>11</v>
      </c>
      <c r="B182" s="87" t="s">
        <v>69</v>
      </c>
      <c r="C182" s="87">
        <v>2023</v>
      </c>
      <c r="D182" s="97">
        <f>Population!H12</f>
        <v>273081.06685764127</v>
      </c>
      <c r="E182" s="92" t="str">
        <f t="shared" si="6"/>
        <v>Medium</v>
      </c>
      <c r="F182" s="119">
        <f>Area!J12</f>
        <v>162.84090162517623</v>
      </c>
      <c r="G182" s="27">
        <f>D182*Variables!$C$9</f>
        <v>2.4577296017187713</v>
      </c>
      <c r="H182" s="28">
        <f t="shared" si="8"/>
        <v>2.4008299323227225</v>
      </c>
      <c r="I182" s="28">
        <f t="shared" si="7"/>
        <v>5.6899669396048846E-2</v>
      </c>
      <c r="J182" s="197">
        <f>VLOOKUP(A182,'Land costs'!$A$2:$F$96,5,FALSE)</f>
        <v>446522393.21506435</v>
      </c>
      <c r="K182" s="29">
        <f>I182*(J182+Variables!$C$10*Variables!$C$5)</f>
        <v>25660067.219439995</v>
      </c>
      <c r="L182" s="29">
        <f>(G182*Variables!$C$11+D182*Variables!$C$12)*Variables!$C$5</f>
        <v>4458307.8692586059</v>
      </c>
    </row>
    <row r="183" spans="1:12" x14ac:dyDescent="0.35">
      <c r="A183" s="96">
        <v>12</v>
      </c>
      <c r="B183" s="87" t="s">
        <v>70</v>
      </c>
      <c r="C183" s="87">
        <v>2023</v>
      </c>
      <c r="D183" s="97">
        <f>Population!H13</f>
        <v>132835.06997184522</v>
      </c>
      <c r="E183" s="92" t="str">
        <f t="shared" si="6"/>
        <v>Medium</v>
      </c>
      <c r="F183" s="119">
        <f>Area!J13</f>
        <v>27.140150270862708</v>
      </c>
      <c r="G183" s="27">
        <f>D183*Variables!$C$9</f>
        <v>1.195515629746607</v>
      </c>
      <c r="H183" s="28">
        <f t="shared" si="8"/>
        <v>1.1678378721760347</v>
      </c>
      <c r="I183" s="28">
        <f t="shared" si="7"/>
        <v>2.7677757570572226E-2</v>
      </c>
      <c r="J183" s="197">
        <f>VLOOKUP(A183,'Land costs'!$A$2:$F$96,5,FALSE)</f>
        <v>207178319.55590102</v>
      </c>
      <c r="K183" s="29">
        <f>I183*(J183+Variables!$C$10*Variables!$C$5)</f>
        <v>5857342.4245398939</v>
      </c>
      <c r="L183" s="29">
        <f>(G183*Variables!$C$11+D183*Variables!$C$12)*Variables!$C$5</f>
        <v>2168658.7231538924</v>
      </c>
    </row>
    <row r="184" spans="1:12" x14ac:dyDescent="0.35">
      <c r="A184" s="96">
        <v>13</v>
      </c>
      <c r="B184" s="87" t="s">
        <v>71</v>
      </c>
      <c r="C184" s="87">
        <v>2023</v>
      </c>
      <c r="D184" s="97">
        <f>Population!H14</f>
        <v>8916676.262746226</v>
      </c>
      <c r="E184" s="92" t="str">
        <f t="shared" si="6"/>
        <v>Large</v>
      </c>
      <c r="F184" s="119">
        <f>Area!J14</f>
        <v>884.44869967450757</v>
      </c>
      <c r="G184" s="27">
        <f>D184*Variables!$C$9</f>
        <v>80.25008636471604</v>
      </c>
      <c r="H184" s="28">
        <f t="shared" si="8"/>
        <v>279.82566666666668</v>
      </c>
      <c r="I184" s="28">
        <f t="shared" si="7"/>
        <v>0</v>
      </c>
      <c r="J184" s="197">
        <f>VLOOKUP(A184,'Land costs'!$A$2:$F$96,5,FALSE)</f>
        <v>225281113.07128146</v>
      </c>
      <c r="K184" s="29">
        <f>I184*(J184+Variables!$C$10*Variables!$C$5)</f>
        <v>0</v>
      </c>
      <c r="L184" s="29">
        <f>(G184*Variables!$C$11+D184*Variables!$C$12)*Variables!$C$5</f>
        <v>145573211.67401376</v>
      </c>
    </row>
    <row r="185" spans="1:12" x14ac:dyDescent="0.35">
      <c r="A185" s="96">
        <v>14</v>
      </c>
      <c r="B185" s="87" t="s">
        <v>72</v>
      </c>
      <c r="C185" s="87">
        <v>2023</v>
      </c>
      <c r="D185" s="97">
        <f>Population!H15</f>
        <v>355304.60557263903</v>
      </c>
      <c r="E185" s="92" t="str">
        <f t="shared" si="6"/>
        <v>Medium</v>
      </c>
      <c r="F185" s="119">
        <f>Area!J15</f>
        <v>42.852868848730594</v>
      </c>
      <c r="G185" s="27">
        <f>D185*Variables!$C$9</f>
        <v>3.1977414501537513</v>
      </c>
      <c r="H185" s="28">
        <f t="shared" si="8"/>
        <v>3.1237095341933676</v>
      </c>
      <c r="I185" s="28">
        <f t="shared" si="7"/>
        <v>7.4031915960383721E-2</v>
      </c>
      <c r="J185" s="197">
        <f>VLOOKUP(A185,'Land costs'!$A$2:$F$96,5,FALSE)</f>
        <v>172078376.43406156</v>
      </c>
      <c r="K185" s="29">
        <f>I185*(J185+Variables!$C$10*Variables!$C$5)</f>
        <v>13068587.085511081</v>
      </c>
      <c r="L185" s="29">
        <f>(G185*Variables!$C$11+D185*Variables!$C$12)*Variables!$C$5</f>
        <v>5800685.2589092162</v>
      </c>
    </row>
    <row r="186" spans="1:12" x14ac:dyDescent="0.35">
      <c r="A186" s="96">
        <v>15</v>
      </c>
      <c r="B186" s="87" t="s">
        <v>73</v>
      </c>
      <c r="C186" s="87">
        <v>2023</v>
      </c>
      <c r="D186" s="97">
        <f>Population!H16</f>
        <v>78798.220216431728</v>
      </c>
      <c r="E186" s="92" t="str">
        <f t="shared" si="6"/>
        <v>Small</v>
      </c>
      <c r="F186" s="119">
        <f>Area!J16</f>
        <v>238.54763659126692</v>
      </c>
      <c r="G186" s="27">
        <f>D186*Variables!$C$9</f>
        <v>0.70918398194788557</v>
      </c>
      <c r="H186" s="28">
        <f t="shared" si="8"/>
        <v>43.35</v>
      </c>
      <c r="I186" s="28">
        <f t="shared" si="7"/>
        <v>0</v>
      </c>
      <c r="J186" s="197">
        <f>VLOOKUP(A186,'Land costs'!$A$2:$F$96,5,FALSE)</f>
        <v>399734297.50693494</v>
      </c>
      <c r="K186" s="29">
        <f>I186*(J186+Variables!$C$10*Variables!$C$5)</f>
        <v>0</v>
      </c>
      <c r="L186" s="29">
        <f>(G186*Variables!$C$11+D186*Variables!$C$12)*Variables!$C$5</f>
        <v>1286455.8107854044</v>
      </c>
    </row>
    <row r="187" spans="1:12" x14ac:dyDescent="0.35">
      <c r="A187" s="96">
        <v>16</v>
      </c>
      <c r="B187" s="87" t="s">
        <v>74</v>
      </c>
      <c r="C187" s="87">
        <v>2023</v>
      </c>
      <c r="D187" s="97">
        <f>Population!H17</f>
        <v>4034833.1297553591</v>
      </c>
      <c r="E187" s="92" t="str">
        <f t="shared" si="6"/>
        <v>Large</v>
      </c>
      <c r="F187" s="119">
        <f>Area!J17</f>
        <v>387.1142580438156</v>
      </c>
      <c r="G187" s="27">
        <f>D187*Variables!$C$9</f>
        <v>36.313498167798237</v>
      </c>
      <c r="H187" s="28">
        <f t="shared" si="8"/>
        <v>108.39099999999998</v>
      </c>
      <c r="I187" s="28">
        <f t="shared" si="7"/>
        <v>0</v>
      </c>
      <c r="J187" s="197">
        <f>VLOOKUP(A187,'Land costs'!$A$2:$F$96,5,FALSE)</f>
        <v>258664564.88983455</v>
      </c>
      <c r="K187" s="29">
        <f>I187*(J187+Variables!$C$10*Variables!$C$5)</f>
        <v>0</v>
      </c>
      <c r="L187" s="29">
        <f>(G187*Variables!$C$11+D187*Variables!$C$12)*Variables!$C$5</f>
        <v>65872484.315843008</v>
      </c>
    </row>
    <row r="188" spans="1:12" x14ac:dyDescent="0.35">
      <c r="A188" s="96">
        <v>17</v>
      </c>
      <c r="B188" s="87" t="s">
        <v>75</v>
      </c>
      <c r="C188" s="87">
        <v>2023</v>
      </c>
      <c r="D188" s="97">
        <f>Population!H18</f>
        <v>14848.345076923848</v>
      </c>
      <c r="E188" s="92" t="str">
        <f t="shared" si="6"/>
        <v>Small</v>
      </c>
      <c r="F188" s="119">
        <f>Area!J18</f>
        <v>2.7614224263943949</v>
      </c>
      <c r="G188" s="27">
        <f>D188*Variables!$C$9</f>
        <v>0.13363510569231463</v>
      </c>
      <c r="H188" s="28">
        <f t="shared" si="8"/>
        <v>0.13054127741751939</v>
      </c>
      <c r="I188" s="28">
        <f t="shared" si="7"/>
        <v>3.093828274795235E-3</v>
      </c>
      <c r="J188" s="197">
        <f>VLOOKUP(A188,'Land costs'!$A$2:$F$96,5,FALSE)</f>
        <v>399734297.50693494</v>
      </c>
      <c r="K188" s="29">
        <f>I188*(J188+Variables!$C$10*Variables!$C$5)</f>
        <v>1250470.6712061577</v>
      </c>
      <c r="L188" s="29">
        <f>(G188*Variables!$C$11+D188*Variables!$C$12)*Variables!$C$5</f>
        <v>242413.34071111758</v>
      </c>
    </row>
    <row r="189" spans="1:12" x14ac:dyDescent="0.35">
      <c r="A189" s="96">
        <v>18</v>
      </c>
      <c r="B189" s="87" t="s">
        <v>76</v>
      </c>
      <c r="C189" s="87">
        <v>2023</v>
      </c>
      <c r="D189" s="97">
        <f>Population!H19</f>
        <v>131183.3405953132</v>
      </c>
      <c r="E189" s="92" t="str">
        <f t="shared" si="6"/>
        <v>Medium</v>
      </c>
      <c r="F189" s="119">
        <f>Area!J19</f>
        <v>28.568579232487064</v>
      </c>
      <c r="G189" s="27">
        <f>D189*Variables!$C$9</f>
        <v>1.1806500653578189</v>
      </c>
      <c r="H189" s="28">
        <f t="shared" si="8"/>
        <v>1.1533164651341394</v>
      </c>
      <c r="I189" s="28">
        <f t="shared" si="7"/>
        <v>2.7333600223679477E-2</v>
      </c>
      <c r="J189" s="197">
        <f>VLOOKUP(A189,'Land costs'!$A$2:$F$96,5,FALSE)</f>
        <v>207178319.55590102</v>
      </c>
      <c r="K189" s="29">
        <f>I189*(J189+Variables!$C$10*Variables!$C$5)</f>
        <v>5784509.6661947854</v>
      </c>
      <c r="L189" s="29">
        <f>(G189*Variables!$C$11+D189*Variables!$C$12)*Variables!$C$5</f>
        <v>2141692.6717830845</v>
      </c>
    </row>
    <row r="190" spans="1:12" x14ac:dyDescent="0.35">
      <c r="A190" s="96">
        <v>19</v>
      </c>
      <c r="B190" s="87" t="s">
        <v>77</v>
      </c>
      <c r="C190" s="87">
        <v>2023</v>
      </c>
      <c r="D190" s="97">
        <f>Population!H20</f>
        <v>5956152.0265239077</v>
      </c>
      <c r="E190" s="92" t="str">
        <f t="shared" si="6"/>
        <v>Large</v>
      </c>
      <c r="F190" s="119">
        <f>Area!J20</f>
        <v>1112.3925588028408</v>
      </c>
      <c r="G190" s="27">
        <f>D190*Variables!$C$9</f>
        <v>53.605368238715172</v>
      </c>
      <c r="H190" s="28">
        <f t="shared" si="8"/>
        <v>52.364333533960298</v>
      </c>
      <c r="I190" s="28">
        <f t="shared" si="7"/>
        <v>1.241034704754874</v>
      </c>
      <c r="J190" s="197">
        <f>VLOOKUP(A190,'Land costs'!$A$2:$F$96,5,FALSE)</f>
        <v>69556263.81201373</v>
      </c>
      <c r="K190" s="29">
        <f>I190*(J190+Variables!$C$10*Variables!$C$5)</f>
        <v>91841880.151305318</v>
      </c>
      <c r="L190" s="29">
        <f>(G190*Variables!$C$11+D190*Variables!$C$12)*Variables!$C$5</f>
        <v>97239840.740021259</v>
      </c>
    </row>
    <row r="191" spans="1:12" x14ac:dyDescent="0.35">
      <c r="A191" s="96">
        <v>20</v>
      </c>
      <c r="B191" s="87" t="s">
        <v>78</v>
      </c>
      <c r="C191" s="87">
        <v>2023</v>
      </c>
      <c r="D191" s="97">
        <f>Population!H21</f>
        <v>3731431.5038293982</v>
      </c>
      <c r="E191" s="92" t="str">
        <f t="shared" si="6"/>
        <v>Large</v>
      </c>
      <c r="F191" s="119">
        <f>Area!J21</f>
        <v>481.38056006740692</v>
      </c>
      <c r="G191" s="27">
        <f>D191*Variables!$C$9</f>
        <v>33.582883534464585</v>
      </c>
      <c r="H191" s="28">
        <f t="shared" si="8"/>
        <v>38.65</v>
      </c>
      <c r="I191" s="28">
        <f t="shared" si="7"/>
        <v>0</v>
      </c>
      <c r="J191" s="197">
        <f>VLOOKUP(A191,'Land costs'!$A$2:$F$96,5,FALSE)</f>
        <v>423084709.93427253</v>
      </c>
      <c r="K191" s="29">
        <f>I191*(J191+Variables!$C$10*Variables!$C$5)</f>
        <v>0</v>
      </c>
      <c r="L191" s="29">
        <f>(G191*Variables!$C$11+D191*Variables!$C$12)*Variables!$C$5</f>
        <v>60919164.51239901</v>
      </c>
    </row>
    <row r="192" spans="1:12" x14ac:dyDescent="0.35">
      <c r="A192" s="96">
        <v>21</v>
      </c>
      <c r="B192" s="98" t="s">
        <v>79</v>
      </c>
      <c r="C192" s="87">
        <v>2023</v>
      </c>
      <c r="D192" s="97">
        <f>Population!H22</f>
        <v>16480700.078483514</v>
      </c>
      <c r="E192" s="92" t="str">
        <f t="shared" si="6"/>
        <v>Large</v>
      </c>
      <c r="F192" s="119">
        <f>Area!J22</f>
        <v>732.49499999999955</v>
      </c>
      <c r="G192" s="27">
        <f>D192*Variables!$C$9</f>
        <v>148.32630070635165</v>
      </c>
      <c r="H192" s="28">
        <f t="shared" si="8"/>
        <v>144.89235196478617</v>
      </c>
      <c r="I192" s="28">
        <f t="shared" si="7"/>
        <v>3.433948741565473</v>
      </c>
      <c r="J192" s="197">
        <f>VLOOKUP(A192,'Land costs'!$A$2:$F$96,5,FALSE)</f>
        <v>136261714.31466237</v>
      </c>
      <c r="K192" s="29">
        <f>I192*(J192+Variables!$C$10*Variables!$C$5)</f>
        <v>483190003.01189214</v>
      </c>
      <c r="L192" s="29">
        <f>(G192*Variables!$C$11+D192*Variables!$C$12)*Variables!$C$5</f>
        <v>269063087.00301605</v>
      </c>
    </row>
    <row r="193" spans="1:12" x14ac:dyDescent="0.35">
      <c r="A193" s="96">
        <v>22</v>
      </c>
      <c r="B193" s="87" t="s">
        <v>80</v>
      </c>
      <c r="C193" s="87">
        <v>2023</v>
      </c>
      <c r="D193" s="97">
        <f>Population!H23</f>
        <v>14615957.217689155</v>
      </c>
      <c r="E193" s="92" t="str">
        <f t="shared" si="6"/>
        <v>Large</v>
      </c>
      <c r="F193" s="119">
        <f>Area!J23</f>
        <v>1117.031447990244</v>
      </c>
      <c r="G193" s="27">
        <f>D193*Variables!$C$9</f>
        <v>131.54361495920239</v>
      </c>
      <c r="H193" s="28">
        <f t="shared" si="8"/>
        <v>128.49820744280782</v>
      </c>
      <c r="I193" s="28">
        <f t="shared" si="7"/>
        <v>3.0454075163945618</v>
      </c>
      <c r="J193" s="197">
        <f>VLOOKUP(A193,'Land costs'!$A$2:$F$96,5,FALSE)</f>
        <v>181431544.56336635</v>
      </c>
      <c r="K193" s="29">
        <f>I193*(J193+Variables!$C$10*Variables!$C$5)</f>
        <v>566079012.36647046</v>
      </c>
      <c r="L193" s="29">
        <f>(G193*Variables!$C$11+D193*Variables!$C$12)*Variables!$C$5</f>
        <v>238619388.11869454</v>
      </c>
    </row>
    <row r="194" spans="1:12" x14ac:dyDescent="0.35">
      <c r="A194" s="96">
        <v>23</v>
      </c>
      <c r="B194" s="87" t="s">
        <v>81</v>
      </c>
      <c r="C194" s="87">
        <v>2023</v>
      </c>
      <c r="D194" s="97">
        <f>Population!H24</f>
        <v>53005.015606000139</v>
      </c>
      <c r="E194" s="92" t="str">
        <f t="shared" si="6"/>
        <v>Small</v>
      </c>
      <c r="F194" s="119">
        <f>Area!J24</f>
        <v>105.98294017063456</v>
      </c>
      <c r="G194" s="27">
        <f>D194*Variables!$C$9</f>
        <v>0.47704514045400126</v>
      </c>
      <c r="H194" s="28">
        <f t="shared" si="8"/>
        <v>0.8</v>
      </c>
      <c r="I194" s="28">
        <f t="shared" si="7"/>
        <v>0</v>
      </c>
      <c r="J194" s="197">
        <f>VLOOKUP(A194,'Land costs'!$A$2:$F$96,5,FALSE)</f>
        <v>679160605.168293</v>
      </c>
      <c r="K194" s="29">
        <f>I194*(J194+Variables!$C$10*Variables!$C$5)</f>
        <v>0</v>
      </c>
      <c r="L194" s="29">
        <f>(G194*Variables!$C$11+D194*Variables!$C$12)*Variables!$C$5</f>
        <v>865357.23953941045</v>
      </c>
    </row>
    <row r="195" spans="1:12" x14ac:dyDescent="0.35">
      <c r="A195" s="96">
        <v>24</v>
      </c>
      <c r="B195" s="87" t="s">
        <v>82</v>
      </c>
      <c r="C195" s="87">
        <v>2023</v>
      </c>
      <c r="D195" s="97">
        <f>Population!H25</f>
        <v>2230857.2205304937</v>
      </c>
      <c r="E195" s="92" t="str">
        <f t="shared" si="6"/>
        <v>Large</v>
      </c>
      <c r="F195" s="119">
        <f>Area!J25</f>
        <v>108.56060108345085</v>
      </c>
      <c r="G195" s="27">
        <f>D195*Variables!$C$9</f>
        <v>20.077714984774442</v>
      </c>
      <c r="H195" s="28">
        <f t="shared" si="8"/>
        <v>19.612889503540529</v>
      </c>
      <c r="I195" s="28">
        <f t="shared" si="7"/>
        <v>0.46482548123391254</v>
      </c>
      <c r="J195" s="197">
        <f>VLOOKUP(A195,'Land costs'!$A$2:$F$96,5,FALSE)</f>
        <v>273857556.71751869</v>
      </c>
      <c r="K195" s="29">
        <f>I195*(J195+Variables!$C$10*Variables!$C$5)</f>
        <v>129363521.99480355</v>
      </c>
      <c r="L195" s="29">
        <f>(G195*Variables!$C$11+D195*Variables!$C$12)*Variables!$C$5</f>
        <v>36420863.65023727</v>
      </c>
    </row>
    <row r="196" spans="1:12" x14ac:dyDescent="0.35">
      <c r="A196" s="96">
        <v>25</v>
      </c>
      <c r="B196" s="87" t="s">
        <v>83</v>
      </c>
      <c r="C196" s="87">
        <v>2023</v>
      </c>
      <c r="D196" s="97">
        <f>Population!H26</f>
        <v>320243.43749180279</v>
      </c>
      <c r="E196" s="92" t="str">
        <f t="shared" si="6"/>
        <v>Medium</v>
      </c>
      <c r="F196" s="119">
        <f>Area!J26</f>
        <v>192.83790981928766</v>
      </c>
      <c r="G196" s="27">
        <f>D196*Variables!$C$9</f>
        <v>2.8821909374262251</v>
      </c>
      <c r="H196" s="28">
        <f t="shared" si="8"/>
        <v>2.8154644304251488</v>
      </c>
      <c r="I196" s="28">
        <f t="shared" si="7"/>
        <v>6.6726507001076296E-2</v>
      </c>
      <c r="J196" s="197">
        <f>VLOOKUP(A196,'Land costs'!$A$2:$F$96,5,FALSE)</f>
        <v>202576692.05248237</v>
      </c>
      <c r="K196" s="29">
        <f>I196*(J196+Variables!$C$10*Variables!$C$5)</f>
        <v>13814035.663745973</v>
      </c>
      <c r="L196" s="29">
        <f>(G196*Variables!$C$11+D196*Variables!$C$12)*Variables!$C$5</f>
        <v>5228278.3785681566</v>
      </c>
    </row>
    <row r="197" spans="1:12" x14ac:dyDescent="0.35">
      <c r="A197" s="96">
        <v>26</v>
      </c>
      <c r="B197" s="87" t="s">
        <v>84</v>
      </c>
      <c r="C197" s="87">
        <v>2023</v>
      </c>
      <c r="D197" s="97">
        <f>Population!H27</f>
        <v>132702.61372673439</v>
      </c>
      <c r="E197" s="92" t="str">
        <f t="shared" ref="E197:E260" si="9">IF(D197&lt;100000,"Small",IF(D197&lt;1000000,"Medium","Large"))</f>
        <v>Medium</v>
      </c>
      <c r="F197" s="119">
        <f>Area!J27</f>
        <v>688.50275950293826</v>
      </c>
      <c r="G197" s="27">
        <f>D197*Variables!$C$9</f>
        <v>1.1943235235406096</v>
      </c>
      <c r="H197" s="28">
        <f t="shared" si="8"/>
        <v>1.1666733647949685</v>
      </c>
      <c r="I197" s="28">
        <f t="shared" ref="I197:I260" si="10">IF(G197-H197&gt;0,G197-H197,0)</f>
        <v>2.7650158745641029E-2</v>
      </c>
      <c r="J197" s="197">
        <f>VLOOKUP(A197,'Land costs'!$A$2:$F$96,5,FALSE)</f>
        <v>207178319.55590102</v>
      </c>
      <c r="K197" s="29">
        <f>I197*(J197+Variables!$C$10*Variables!$C$5)</f>
        <v>5851501.7863406185</v>
      </c>
      <c r="L197" s="29">
        <f>(G197*Variables!$C$11+D197*Variables!$C$12)*Variables!$C$5</f>
        <v>2166496.2491065143</v>
      </c>
    </row>
    <row r="198" spans="1:12" x14ac:dyDescent="0.35">
      <c r="A198" s="96">
        <v>27</v>
      </c>
      <c r="B198" s="87" t="s">
        <v>85</v>
      </c>
      <c r="C198" s="87">
        <v>2023</v>
      </c>
      <c r="D198" s="97">
        <f>Population!H28</f>
        <v>1338381.6111606953</v>
      </c>
      <c r="E198" s="92" t="str">
        <f t="shared" si="9"/>
        <v>Large</v>
      </c>
      <c r="F198" s="119">
        <f>Area!J28</f>
        <v>128.55663137640533</v>
      </c>
      <c r="G198" s="27">
        <f>D198*Variables!$C$9</f>
        <v>12.045434500446259</v>
      </c>
      <c r="H198" s="28">
        <f t="shared" si="8"/>
        <v>27.873100000000001</v>
      </c>
      <c r="I198" s="28">
        <f t="shared" si="10"/>
        <v>0</v>
      </c>
      <c r="J198" s="197">
        <f>VLOOKUP(A198,'Land costs'!$A$2:$F$96,5,FALSE)</f>
        <v>194110385.46713075</v>
      </c>
      <c r="K198" s="29">
        <f>I198*(J198+Variables!$C$10*Variables!$C$5)</f>
        <v>0</v>
      </c>
      <c r="L198" s="29">
        <f>(G198*Variables!$C$11+D198*Variables!$C$12)*Variables!$C$5</f>
        <v>21850351.391146895</v>
      </c>
    </row>
    <row r="199" spans="1:12" x14ac:dyDescent="0.35">
      <c r="A199" s="96">
        <v>28</v>
      </c>
      <c r="B199" s="87" t="s">
        <v>86</v>
      </c>
      <c r="C199" s="87">
        <v>2023</v>
      </c>
      <c r="D199" s="97">
        <f>Population!H29</f>
        <v>1421821.0982058104</v>
      </c>
      <c r="E199" s="92" t="str">
        <f t="shared" si="9"/>
        <v>Large</v>
      </c>
      <c r="F199" s="119">
        <f>Area!J29</f>
        <v>165.6977595484249</v>
      </c>
      <c r="G199" s="27">
        <f>D199*Variables!$C$9</f>
        <v>12.796389883852294</v>
      </c>
      <c r="H199" s="28">
        <f t="shared" si="8"/>
        <v>59.512458633395788</v>
      </c>
      <c r="I199" s="28">
        <f t="shared" si="10"/>
        <v>0</v>
      </c>
      <c r="J199" s="197">
        <f>VLOOKUP(A199,'Land costs'!$A$2:$F$96,5,FALSE)</f>
        <v>106495314.22538668</v>
      </c>
      <c r="K199" s="29">
        <f>I199*(J199+Variables!$C$10*Variables!$C$5)</f>
        <v>0</v>
      </c>
      <c r="L199" s="29">
        <f>(G199*Variables!$C$11+D199*Variables!$C$12)*Variables!$C$5</f>
        <v>23212580.292552438</v>
      </c>
    </row>
    <row r="200" spans="1:12" x14ac:dyDescent="0.35">
      <c r="A200" s="96">
        <v>29</v>
      </c>
      <c r="B200" s="87" t="s">
        <v>87</v>
      </c>
      <c r="C200" s="87">
        <v>2023</v>
      </c>
      <c r="D200" s="97">
        <f>Population!H30</f>
        <v>189715.75530978819</v>
      </c>
      <c r="E200" s="92" t="str">
        <f t="shared" si="9"/>
        <v>Medium</v>
      </c>
      <c r="F200" s="119">
        <f>Area!J30</f>
        <v>931.33568297907811</v>
      </c>
      <c r="G200" s="27">
        <f>D200*Variables!$C$9</f>
        <v>1.7074417977880938</v>
      </c>
      <c r="H200" s="28">
        <f t="shared" si="8"/>
        <v>1.6679122768272867</v>
      </c>
      <c r="I200" s="28">
        <f t="shared" si="10"/>
        <v>3.9529520960807085E-2</v>
      </c>
      <c r="J200" s="197">
        <f>VLOOKUP(A200,'Land costs'!$A$2:$F$96,5,FALSE)</f>
        <v>207178319.55590102</v>
      </c>
      <c r="K200" s="29">
        <f>I200*(J200+Variables!$C$10*Variables!$C$5)</f>
        <v>8365487.6864609867</v>
      </c>
      <c r="L200" s="29">
        <f>(G200*Variables!$C$11+D200*Variables!$C$12)*Variables!$C$5</f>
        <v>3097289.9533195952</v>
      </c>
    </row>
    <row r="201" spans="1:12" x14ac:dyDescent="0.35">
      <c r="A201" s="96">
        <v>30</v>
      </c>
      <c r="B201" s="87" t="s">
        <v>88</v>
      </c>
      <c r="C201" s="87">
        <v>2023</v>
      </c>
      <c r="D201" s="97">
        <f>Population!H31</f>
        <v>130158.12925815539</v>
      </c>
      <c r="E201" s="92" t="str">
        <f t="shared" si="9"/>
        <v>Medium</v>
      </c>
      <c r="F201" s="119">
        <f>Area!J31</f>
        <v>92.847882505582959</v>
      </c>
      <c r="G201" s="27">
        <f>D201*Variables!$C$9</f>
        <v>1.1714231633233985</v>
      </c>
      <c r="H201" s="28">
        <f t="shared" si="8"/>
        <v>1.1443031780046871</v>
      </c>
      <c r="I201" s="28">
        <f t="shared" si="10"/>
        <v>2.7119985318711404E-2</v>
      </c>
      <c r="J201" s="197">
        <f>VLOOKUP(A201,'Land costs'!$A$2:$F$96,5,FALSE)</f>
        <v>207178319.55590102</v>
      </c>
      <c r="K201" s="29">
        <f>I201*(J201+Variables!$C$10*Variables!$C$5)</f>
        <v>5739303.1265322696</v>
      </c>
      <c r="L201" s="29">
        <f>(G201*Variables!$C$11+D201*Variables!$C$12)*Variables!$C$5</f>
        <v>2124955.1226563756</v>
      </c>
    </row>
    <row r="202" spans="1:12" x14ac:dyDescent="0.35">
      <c r="A202" s="99">
        <v>31</v>
      </c>
      <c r="B202" s="100" t="s">
        <v>89</v>
      </c>
      <c r="C202" s="100">
        <v>2023</v>
      </c>
      <c r="D202" s="97">
        <f>Population!H32</f>
        <v>224616.65133404033</v>
      </c>
      <c r="E202" s="92" t="str">
        <f t="shared" si="9"/>
        <v>Medium</v>
      </c>
      <c r="F202" s="119">
        <f>Area!J32</f>
        <v>701.35862015755731</v>
      </c>
      <c r="G202" s="27">
        <f>D202*Variables!$C$9</f>
        <v>2.021549862006363</v>
      </c>
      <c r="H202" s="28">
        <f t="shared" si="8"/>
        <v>1.9747483266644159</v>
      </c>
      <c r="I202" s="28">
        <f t="shared" si="10"/>
        <v>4.6801535341947087E-2</v>
      </c>
      <c r="J202" s="197">
        <f>VLOOKUP(A202,'Land costs'!$A$2:$F$96,5,FALSE)</f>
        <v>207178319.55590102</v>
      </c>
      <c r="K202" s="29">
        <f>I202*(J202+Variables!$C$10*Variables!$C$5)</f>
        <v>9904437.4455918856</v>
      </c>
      <c r="L202" s="29">
        <f>(G202*Variables!$C$11+D202*Variables!$C$12)*Variables!$C$5</f>
        <v>3667080.2400633269</v>
      </c>
    </row>
    <row r="203" spans="1:12" x14ac:dyDescent="0.35">
      <c r="A203" s="96">
        <v>32</v>
      </c>
      <c r="B203" s="87" t="s">
        <v>90</v>
      </c>
      <c r="C203" s="87">
        <v>2023</v>
      </c>
      <c r="D203" s="97">
        <f>Population!H33</f>
        <v>1563738.6929049052</v>
      </c>
      <c r="E203" s="92" t="str">
        <f t="shared" si="9"/>
        <v>Large</v>
      </c>
      <c r="F203" s="119">
        <f>Area!J33</f>
        <v>41.424439887106239</v>
      </c>
      <c r="G203" s="27">
        <f>D203*Variables!$C$9</f>
        <v>14.073648236144146</v>
      </c>
      <c r="H203" s="28">
        <f t="shared" si="8"/>
        <v>13.747824788653066</v>
      </c>
      <c r="I203" s="28">
        <f t="shared" si="10"/>
        <v>0.32582344749108039</v>
      </c>
      <c r="J203" s="197">
        <f>VLOOKUP(A203,'Land costs'!$A$2:$F$96,5,FALSE)</f>
        <v>258664564.88983455</v>
      </c>
      <c r="K203" s="29">
        <f>I203*(J203+Variables!$C$10*Variables!$C$5)</f>
        <v>85728248.342430905</v>
      </c>
      <c r="L203" s="29">
        <f>(G203*Variables!$C$11+D203*Variables!$C$12)*Variables!$C$5</f>
        <v>25529519.861135066</v>
      </c>
    </row>
    <row r="204" spans="1:12" x14ac:dyDescent="0.35">
      <c r="A204" s="96">
        <v>33</v>
      </c>
      <c r="B204" s="87" t="s">
        <v>91</v>
      </c>
      <c r="C204" s="87">
        <v>2023</v>
      </c>
      <c r="D204" s="97">
        <f>Population!H34</f>
        <v>985065.1738271697</v>
      </c>
      <c r="E204" s="92" t="str">
        <f t="shared" si="9"/>
        <v>Medium</v>
      </c>
      <c r="F204" s="119">
        <f>Area!J34</f>
        <v>345.67980871309334</v>
      </c>
      <c r="G204" s="27">
        <f>D204*Variables!$C$9</f>
        <v>8.8655865644445271</v>
      </c>
      <c r="H204" s="28">
        <f t="shared" si="8"/>
        <v>8.6603365873249256</v>
      </c>
      <c r="I204" s="28">
        <f t="shared" si="10"/>
        <v>0.20524997711960147</v>
      </c>
      <c r="J204" s="197">
        <f>VLOOKUP(A204,'Land costs'!$A$2:$F$96,5,FALSE)</f>
        <v>147442586.65970939</v>
      </c>
      <c r="K204" s="29">
        <f>I204*(J204+Variables!$C$10*Variables!$C$5)</f>
        <v>31175542.820515115</v>
      </c>
      <c r="L204" s="29">
        <f>(G204*Variables!$C$11+D204*Variables!$C$12)*Variables!$C$5</f>
        <v>16082124.867688827</v>
      </c>
    </row>
    <row r="205" spans="1:12" x14ac:dyDescent="0.35">
      <c r="A205" s="96">
        <v>34</v>
      </c>
      <c r="B205" s="87" t="s">
        <v>92</v>
      </c>
      <c r="C205" s="87">
        <v>2023</v>
      </c>
      <c r="D205" s="97">
        <f>Population!H35</f>
        <v>569845.3103410987</v>
      </c>
      <c r="E205" s="92" t="str">
        <f t="shared" si="9"/>
        <v>Medium</v>
      </c>
      <c r="F205" s="119">
        <f>Area!J35</f>
        <v>105.15780225325075</v>
      </c>
      <c r="G205" s="27">
        <f>D205*Variables!$C$9</f>
        <v>5.1286077930698886</v>
      </c>
      <c r="H205" s="28">
        <f t="shared" si="8"/>
        <v>5.0098737843800798</v>
      </c>
      <c r="I205" s="28">
        <f t="shared" si="10"/>
        <v>0.11873400868980877</v>
      </c>
      <c r="J205" s="197">
        <f>VLOOKUP(A205,'Land costs'!$A$2:$F$96,5,FALSE)</f>
        <v>382950815.48123109</v>
      </c>
      <c r="K205" s="29">
        <f>I205*(J205+Variables!$C$10*Variables!$C$5)</f>
        <v>45997416.281320676</v>
      </c>
      <c r="L205" s="29">
        <f>(G205*Variables!$C$11+D205*Variables!$C$12)*Variables!$C$5</f>
        <v>9303266.098188471</v>
      </c>
    </row>
    <row r="206" spans="1:12" x14ac:dyDescent="0.35">
      <c r="A206" s="96">
        <v>35</v>
      </c>
      <c r="B206" s="87" t="s">
        <v>93</v>
      </c>
      <c r="C206" s="87">
        <v>2023</v>
      </c>
      <c r="D206" s="97">
        <f>Population!H36</f>
        <v>242768.45516402824</v>
      </c>
      <c r="E206" s="92" t="str">
        <f t="shared" si="9"/>
        <v>Medium</v>
      </c>
      <c r="F206" s="119">
        <f>Area!J36</f>
        <v>35.760949429935067</v>
      </c>
      <c r="G206" s="27">
        <f>D206*Variables!$C$9</f>
        <v>2.1849160964762544</v>
      </c>
      <c r="H206" s="28">
        <f t="shared" si="8"/>
        <v>2.1343324181657262</v>
      </c>
      <c r="I206" s="28">
        <f t="shared" si="10"/>
        <v>5.0583678310528235E-2</v>
      </c>
      <c r="J206" s="197">
        <f>VLOOKUP(A206,'Land costs'!$A$2:$F$96,5,FALSE)</f>
        <v>83219953.906071469</v>
      </c>
      <c r="K206" s="29">
        <f>I206*(J206+Variables!$C$10*Variables!$C$5)</f>
        <v>4434568.4124927809</v>
      </c>
      <c r="L206" s="29">
        <f>(G206*Variables!$C$11+D206*Variables!$C$12)*Variables!$C$5</f>
        <v>3963425.6835160623</v>
      </c>
    </row>
    <row r="207" spans="1:12" x14ac:dyDescent="0.35">
      <c r="A207" s="96">
        <v>36</v>
      </c>
      <c r="B207" s="87" t="s">
        <v>94</v>
      </c>
      <c r="C207" s="87">
        <v>2023</v>
      </c>
      <c r="D207" s="97">
        <f>Population!H37</f>
        <v>1556514.5292965604</v>
      </c>
      <c r="E207" s="92" t="str">
        <f t="shared" si="9"/>
        <v>Large</v>
      </c>
      <c r="F207" s="119">
        <f>Area!J37</f>
        <v>66.972428961979006</v>
      </c>
      <c r="G207" s="27">
        <f>D207*Variables!$C$9</f>
        <v>14.008630763669045</v>
      </c>
      <c r="H207" s="28">
        <f t="shared" si="8"/>
        <v>13.684312556089717</v>
      </c>
      <c r="I207" s="28">
        <f t="shared" si="10"/>
        <v>0.32431820757932783</v>
      </c>
      <c r="J207" s="197">
        <f>VLOOKUP(A207,'Land costs'!$A$2:$F$96,5,FALSE)</f>
        <v>115153966.74863443</v>
      </c>
      <c r="K207" s="29">
        <f>I207*(J207+Variables!$C$10*Variables!$C$5)</f>
        <v>38789100.825867228</v>
      </c>
      <c r="L207" s="29">
        <f>(G207*Variables!$C$11+D207*Variables!$C$12)*Variables!$C$5</f>
        <v>25411578.526591048</v>
      </c>
    </row>
    <row r="208" spans="1:12" x14ac:dyDescent="0.35">
      <c r="A208" s="96">
        <v>37</v>
      </c>
      <c r="B208" s="87" t="s">
        <v>95</v>
      </c>
      <c r="C208" s="87">
        <v>2023</v>
      </c>
      <c r="D208" s="97">
        <f>Population!H38</f>
        <v>259689.74047693654</v>
      </c>
      <c r="E208" s="92" t="str">
        <f t="shared" si="9"/>
        <v>Medium</v>
      </c>
      <c r="F208" s="119">
        <f>Area!J38</f>
        <v>28.143232391605704</v>
      </c>
      <c r="G208" s="27">
        <f>D208*Variables!$C$9</f>
        <v>2.3372076642924289</v>
      </c>
      <c r="H208" s="28">
        <f t="shared" si="8"/>
        <v>2.2830982360969312</v>
      </c>
      <c r="I208" s="28">
        <f t="shared" si="10"/>
        <v>5.4109428195497689E-2</v>
      </c>
      <c r="J208" s="197">
        <f>VLOOKUP(A208,'Land costs'!$A$2:$F$96,5,FALSE)</f>
        <v>135804860.55953482</v>
      </c>
      <c r="K208" s="29">
        <f>I208*(J208+Variables!$C$10*Variables!$C$5)</f>
        <v>7589002.9797536768</v>
      </c>
      <c r="L208" s="29">
        <f>(G208*Variables!$C$11+D208*Variables!$C$12)*Variables!$C$5</f>
        <v>4239681.7430686513</v>
      </c>
    </row>
    <row r="209" spans="1:12" x14ac:dyDescent="0.35">
      <c r="A209" s="96">
        <v>38</v>
      </c>
      <c r="B209" s="87" t="s">
        <v>96</v>
      </c>
      <c r="C209" s="87">
        <v>2023</v>
      </c>
      <c r="D209" s="97">
        <f>Population!H39</f>
        <v>1142032.4470957567</v>
      </c>
      <c r="E209" s="92" t="str">
        <f t="shared" si="9"/>
        <v>Large</v>
      </c>
      <c r="F209" s="119">
        <f>Area!J39</f>
        <v>113.20773931961695</v>
      </c>
      <c r="G209" s="27">
        <f>D209*Variables!$C$9</f>
        <v>10.278292023861811</v>
      </c>
      <c r="H209" s="28">
        <f t="shared" si="8"/>
        <v>10.040336059257408</v>
      </c>
      <c r="I209" s="28">
        <f t="shared" si="10"/>
        <v>0.23795596460440294</v>
      </c>
      <c r="J209" s="197">
        <f>VLOOKUP(A209,'Land costs'!$A$2:$F$96,5,FALSE)</f>
        <v>223708463.42310071</v>
      </c>
      <c r="K209" s="29">
        <f>I209*(J209+Variables!$C$10*Variables!$C$5)</f>
        <v>54291195.257718943</v>
      </c>
      <c r="L209" s="29">
        <f>(G209*Variables!$C$11+D209*Variables!$C$12)*Variables!$C$5</f>
        <v>18644764.73753459</v>
      </c>
    </row>
    <row r="210" spans="1:12" x14ac:dyDescent="0.35">
      <c r="A210" s="96">
        <v>39</v>
      </c>
      <c r="B210" s="87" t="s">
        <v>97</v>
      </c>
      <c r="C210" s="87">
        <v>2023</v>
      </c>
      <c r="D210" s="97">
        <f>Population!H40</f>
        <v>94017.4427796659</v>
      </c>
      <c r="E210" s="92" t="str">
        <f t="shared" si="9"/>
        <v>Small</v>
      </c>
      <c r="F210" s="119">
        <f>Area!J40</f>
        <v>26.979414510749837</v>
      </c>
      <c r="G210" s="27">
        <f>D210*Variables!$C$9</f>
        <v>0.8461569850169931</v>
      </c>
      <c r="H210" s="28">
        <f t="shared" si="8"/>
        <v>0.82656733908077851</v>
      </c>
      <c r="I210" s="28">
        <f t="shared" si="10"/>
        <v>1.9589645936214595E-2</v>
      </c>
      <c r="J210" s="197">
        <f>VLOOKUP(A210,'Land costs'!$A$2:$F$96,5,FALSE)</f>
        <v>399734297.50693494</v>
      </c>
      <c r="K210" s="29">
        <f>I210*(J210+Variables!$C$10*Variables!$C$5)</f>
        <v>7917788.4248182867</v>
      </c>
      <c r="L210" s="29">
        <f>(G210*Variables!$C$11+D210*Variables!$C$12)*Variables!$C$5</f>
        <v>1534924.0788291818</v>
      </c>
    </row>
    <row r="211" spans="1:12" x14ac:dyDescent="0.35">
      <c r="A211" s="96">
        <v>40</v>
      </c>
      <c r="B211" s="87" t="s">
        <v>98</v>
      </c>
      <c r="C211" s="87">
        <v>2023</v>
      </c>
      <c r="D211" s="97">
        <f>Population!H41</f>
        <v>167869.74680365931</v>
      </c>
      <c r="E211" s="92" t="str">
        <f t="shared" si="9"/>
        <v>Medium</v>
      </c>
      <c r="F211" s="119">
        <f>Area!J41</f>
        <v>37.665378689517411</v>
      </c>
      <c r="G211" s="27">
        <f>D211*Variables!$C$9</f>
        <v>1.5108277212329337</v>
      </c>
      <c r="H211" s="28">
        <f t="shared" si="8"/>
        <v>1.4758500744680407</v>
      </c>
      <c r="I211" s="28">
        <f t="shared" si="10"/>
        <v>3.4977646764893011E-2</v>
      </c>
      <c r="J211" s="197">
        <f>VLOOKUP(A211,'Land costs'!$A$2:$F$96,5,FALSE)</f>
        <v>101660475.1170758</v>
      </c>
      <c r="K211" s="29">
        <f>I211*(J211+Variables!$C$10*Variables!$C$5)</f>
        <v>3711425.3380779591</v>
      </c>
      <c r="L211" s="29">
        <f>(G211*Variables!$C$11+D211*Variables!$C$12)*Variables!$C$5</f>
        <v>2740633.1086854772</v>
      </c>
    </row>
    <row r="212" spans="1:12" x14ac:dyDescent="0.35">
      <c r="A212" s="96">
        <v>41</v>
      </c>
      <c r="B212" s="87" t="s">
        <v>99</v>
      </c>
      <c r="C212" s="87">
        <v>2023</v>
      </c>
      <c r="D212" s="97">
        <f>Population!H42</f>
        <v>80798.30951760523</v>
      </c>
      <c r="E212" s="92" t="str">
        <f t="shared" si="9"/>
        <v>Small</v>
      </c>
      <c r="F212" s="119">
        <f>Area!J42</f>
        <v>15.023830825594022</v>
      </c>
      <c r="G212" s="27">
        <f>D212*Variables!$C$9</f>
        <v>0.72718478565844713</v>
      </c>
      <c r="H212" s="28">
        <f t="shared" si="8"/>
        <v>0.7103495024503732</v>
      </c>
      <c r="I212" s="28">
        <f t="shared" si="10"/>
        <v>1.6835283208073926E-2</v>
      </c>
      <c r="J212" s="197">
        <f>VLOOKUP(A212,'Land costs'!$A$2:$F$96,5,FALSE)</f>
        <v>399734297.50693494</v>
      </c>
      <c r="K212" s="29">
        <f>I212*(J212+Variables!$C$10*Variables!$C$5)</f>
        <v>6804523.7237801393</v>
      </c>
      <c r="L212" s="29">
        <f>(G212*Variables!$C$11+D212*Variables!$C$12)*Variables!$C$5</f>
        <v>1319109.1689008183</v>
      </c>
    </row>
    <row r="213" spans="1:12" x14ac:dyDescent="0.35">
      <c r="A213" s="96">
        <v>42</v>
      </c>
      <c r="B213" s="87" t="s">
        <v>100</v>
      </c>
      <c r="C213" s="87">
        <v>2023</v>
      </c>
      <c r="D213" s="97">
        <f>Population!H43</f>
        <v>100057.44755671966</v>
      </c>
      <c r="E213" s="92" t="str">
        <f t="shared" si="9"/>
        <v>Medium</v>
      </c>
      <c r="F213" s="119">
        <f>Area!J43</f>
        <v>15.870243829852841</v>
      </c>
      <c r="G213" s="27">
        <f>D213*Variables!$C$9</f>
        <v>0.90051702801047695</v>
      </c>
      <c r="H213" s="28">
        <f t="shared" si="8"/>
        <v>0.87966887565739649</v>
      </c>
      <c r="I213" s="28">
        <f t="shared" si="10"/>
        <v>2.0848152353080462E-2</v>
      </c>
      <c r="J213" s="197">
        <f>VLOOKUP(A213,'Land costs'!$A$2:$F$96,5,FALSE)</f>
        <v>189319723.52178472</v>
      </c>
      <c r="K213" s="29">
        <f>I213*(J213+Variables!$C$10*Variables!$C$5)</f>
        <v>4039699.3648122367</v>
      </c>
      <c r="L213" s="29">
        <f>(G213*Variables!$C$11+D213*Variables!$C$12)*Variables!$C$5</f>
        <v>1633532.8953896363</v>
      </c>
    </row>
    <row r="214" spans="1:12" x14ac:dyDescent="0.35">
      <c r="A214" s="96">
        <v>1</v>
      </c>
      <c r="B214" s="87" t="s">
        <v>59</v>
      </c>
      <c r="C214" s="87">
        <v>2024</v>
      </c>
      <c r="D214" s="97">
        <f>Population!I2</f>
        <v>542387.25629814435</v>
      </c>
      <c r="E214" s="92" t="str">
        <f t="shared" si="9"/>
        <v>Medium</v>
      </c>
      <c r="F214" s="119">
        <f>Area!K2</f>
        <v>110.10202949640043</v>
      </c>
      <c r="G214" s="27">
        <f>D214*Variables!$C$9</f>
        <v>4.8814853066832988</v>
      </c>
      <c r="H214" s="28">
        <f t="shared" si="8"/>
        <v>4.768472508238057</v>
      </c>
      <c r="I214" s="28">
        <f t="shared" si="10"/>
        <v>0.11301279844524181</v>
      </c>
      <c r="J214" s="197">
        <f>VLOOKUP(A214,'Land costs'!$A$2:$F$96,5,FALSE)</f>
        <v>349411907.96390015</v>
      </c>
      <c r="K214" s="29">
        <f>I214*(J214+Variables!$C$10*Variables!$C$5)</f>
        <v>39990700.319801852</v>
      </c>
      <c r="L214" s="29">
        <f>(G214*Variables!$C$11+D214*Variables!$C$12)*Variables!$C$5</f>
        <v>8854987.2781923264</v>
      </c>
    </row>
    <row r="215" spans="1:12" x14ac:dyDescent="0.35">
      <c r="A215" s="96">
        <v>2</v>
      </c>
      <c r="B215" s="87" t="s">
        <v>60</v>
      </c>
      <c r="C215" s="87">
        <v>2024</v>
      </c>
      <c r="D215" s="97">
        <f>Population!I3</f>
        <v>397858.76939724683</v>
      </c>
      <c r="E215" s="92" t="str">
        <f t="shared" si="9"/>
        <v>Medium</v>
      </c>
      <c r="F215" s="119">
        <f>Area!K3</f>
        <v>662.06088789282887</v>
      </c>
      <c r="G215" s="27">
        <f>D215*Variables!$C$9</f>
        <v>3.5807289245752214</v>
      </c>
      <c r="H215" s="28">
        <f t="shared" si="8"/>
        <v>12.956920723790825</v>
      </c>
      <c r="I215" s="28">
        <f t="shared" si="10"/>
        <v>0</v>
      </c>
      <c r="J215" s="197">
        <f>VLOOKUP(A215,'Land costs'!$A$2:$F$96,5,FALSE)</f>
        <v>207178319.55590102</v>
      </c>
      <c r="K215" s="29">
        <f>I215*(J215+Variables!$C$10*Variables!$C$5)</f>
        <v>0</v>
      </c>
      <c r="L215" s="29">
        <f>(G215*Variables!$C$11+D215*Variables!$C$12)*Variables!$C$5</f>
        <v>6495422.4138210602</v>
      </c>
    </row>
    <row r="216" spans="1:12" x14ac:dyDescent="0.35">
      <c r="A216" s="96">
        <v>3</v>
      </c>
      <c r="B216" s="87" t="s">
        <v>61</v>
      </c>
      <c r="C216" s="87">
        <v>2024</v>
      </c>
      <c r="D216" s="97">
        <f>Population!I4</f>
        <v>11449239.798410101</v>
      </c>
      <c r="E216" s="92" t="str">
        <f t="shared" si="9"/>
        <v>Large</v>
      </c>
      <c r="F216" s="119">
        <f>Area!K4</f>
        <v>780.85518287578748</v>
      </c>
      <c r="G216" s="27">
        <f>D216*Variables!$C$9</f>
        <v>103.04315818569091</v>
      </c>
      <c r="H216" s="28">
        <f t="shared" si="8"/>
        <v>100.65757368925556</v>
      </c>
      <c r="I216" s="28">
        <f t="shared" si="10"/>
        <v>2.3855844964353565</v>
      </c>
      <c r="J216" s="197">
        <f>VLOOKUP(A216,'Land costs'!$A$2:$F$96,5,FALSE)</f>
        <v>623490608.57078338</v>
      </c>
      <c r="K216" s="29">
        <f>I216*(J216+Variables!$C$10*Variables!$C$5)</f>
        <v>1498000648.65044</v>
      </c>
      <c r="L216" s="29">
        <f>(G216*Variables!$C$11+D216*Variables!$C$12)*Variables!$C$5</f>
        <v>186919717.56830081</v>
      </c>
    </row>
    <row r="217" spans="1:12" x14ac:dyDescent="0.35">
      <c r="A217" s="96">
        <v>4</v>
      </c>
      <c r="B217" s="87" t="s">
        <v>62</v>
      </c>
      <c r="C217" s="87">
        <v>2024</v>
      </c>
      <c r="D217" s="97">
        <f>Population!I5</f>
        <v>2438301.9350954904</v>
      </c>
      <c r="E217" s="92" t="str">
        <f t="shared" si="9"/>
        <v>Large</v>
      </c>
      <c r="F217" s="119">
        <f>Area!K5</f>
        <v>431.71585249904393</v>
      </c>
      <c r="G217" s="27">
        <f>D217*Variables!$C$9</f>
        <v>21.944717415859415</v>
      </c>
      <c r="H217" s="28">
        <f t="shared" si="8"/>
        <v>100.58253557595253</v>
      </c>
      <c r="I217" s="28">
        <f t="shared" si="10"/>
        <v>0</v>
      </c>
      <c r="J217" s="197">
        <f>VLOOKUP(A217,'Land costs'!$A$2:$F$96,5,FALSE)</f>
        <v>258664564.88983455</v>
      </c>
      <c r="K217" s="29">
        <f>I217*(J217+Variables!$C$10*Variables!$C$5)</f>
        <v>0</v>
      </c>
      <c r="L217" s="29">
        <f>(G217*Variables!$C$11+D217*Variables!$C$12)*Variables!$C$5</f>
        <v>39807595.707584046</v>
      </c>
    </row>
    <row r="218" spans="1:12" x14ac:dyDescent="0.35">
      <c r="A218" s="96">
        <v>5</v>
      </c>
      <c r="B218" s="87" t="s">
        <v>63</v>
      </c>
      <c r="C218" s="87">
        <v>2024</v>
      </c>
      <c r="D218" s="97">
        <f>Population!I6</f>
        <v>1143614.8056928618</v>
      </c>
      <c r="E218" s="92" t="str">
        <f t="shared" si="9"/>
        <v>Large</v>
      </c>
      <c r="F218" s="119">
        <f>Area!K6</f>
        <v>195.57597344755345</v>
      </c>
      <c r="G218" s="27">
        <f>D218*Variables!$C$9</f>
        <v>10.292533251235756</v>
      </c>
      <c r="H218" s="28">
        <f t="shared" si="8"/>
        <v>10.054247583506649</v>
      </c>
      <c r="I218" s="28">
        <f t="shared" si="10"/>
        <v>0.23828566772910698</v>
      </c>
      <c r="J218" s="197">
        <f>VLOOKUP(A218,'Land costs'!$A$2:$F$96,5,FALSE)</f>
        <v>258664564.88983455</v>
      </c>
      <c r="K218" s="29">
        <f>I218*(J218+Variables!$C$10*Variables!$C$5)</f>
        <v>62695957.141273819</v>
      </c>
      <c r="L218" s="29">
        <f>(G218*Variables!$C$11+D218*Variables!$C$12)*Variables!$C$5</f>
        <v>18670598.245022461</v>
      </c>
    </row>
    <row r="219" spans="1:12" x14ac:dyDescent="0.35">
      <c r="A219" s="96">
        <v>6</v>
      </c>
      <c r="B219" s="87" t="s">
        <v>64</v>
      </c>
      <c r="C219" s="87">
        <v>2024</v>
      </c>
      <c r="D219" s="97">
        <f>Population!I7</f>
        <v>1303868.2978719305</v>
      </c>
      <c r="E219" s="92" t="str">
        <f t="shared" si="9"/>
        <v>Large</v>
      </c>
      <c r="F219" s="119">
        <f>Area!K7</f>
        <v>168.46709136490171</v>
      </c>
      <c r="G219" s="27">
        <f>D219*Variables!$C$9</f>
        <v>11.734814680847375</v>
      </c>
      <c r="H219" s="28">
        <f t="shared" si="8"/>
        <v>11.463138303064742</v>
      </c>
      <c r="I219" s="28">
        <f t="shared" si="10"/>
        <v>0.27167637778263298</v>
      </c>
      <c r="J219" s="197">
        <f>VLOOKUP(A219,'Land costs'!$A$2:$F$96,5,FALSE)</f>
        <v>421303330.51817626</v>
      </c>
      <c r="K219" s="29">
        <f>I219*(J219+Variables!$C$10*Variables!$C$5)</f>
        <v>115666583.79040414</v>
      </c>
      <c r="L219" s="29">
        <f>(G219*Variables!$C$11+D219*Variables!$C$12)*Variables!$C$5</f>
        <v>21286888.760800205</v>
      </c>
    </row>
    <row r="220" spans="1:12" x14ac:dyDescent="0.35">
      <c r="A220" s="96">
        <v>7</v>
      </c>
      <c r="B220" s="87" t="s">
        <v>65</v>
      </c>
      <c r="C220" s="87">
        <v>2024</v>
      </c>
      <c r="D220" s="97">
        <f>Population!I8</f>
        <v>6300757.5430065421</v>
      </c>
      <c r="E220" s="92" t="str">
        <f t="shared" si="9"/>
        <v>Large</v>
      </c>
      <c r="F220" s="119">
        <f>Area!K8</f>
        <v>1141.5842005679415</v>
      </c>
      <c r="G220" s="27">
        <f>D220*Variables!$C$9</f>
        <v>56.706817887058882</v>
      </c>
      <c r="H220" s="28">
        <f t="shared" si="8"/>
        <v>55.393980548069628</v>
      </c>
      <c r="I220" s="28">
        <f t="shared" si="10"/>
        <v>1.3128373389892545</v>
      </c>
      <c r="J220" s="197">
        <f>VLOOKUP(A220,'Land costs'!$A$2:$F$96,5,FALSE)</f>
        <v>368904372.20152247</v>
      </c>
      <c r="K220" s="29">
        <f>I220*(J220+Variables!$C$10*Variables!$C$5)</f>
        <v>490150956.4709332</v>
      </c>
      <c r="L220" s="29">
        <f>(G220*Variables!$C$11+D220*Variables!$C$12)*Variables!$C$5</f>
        <v>102865853.20439093</v>
      </c>
    </row>
    <row r="221" spans="1:12" x14ac:dyDescent="0.35">
      <c r="A221" s="96">
        <v>8</v>
      </c>
      <c r="B221" s="87" t="s">
        <v>66</v>
      </c>
      <c r="C221" s="87">
        <v>2024</v>
      </c>
      <c r="D221" s="97">
        <f>Population!I9</f>
        <v>60044.380764678419</v>
      </c>
      <c r="E221" s="92" t="str">
        <f t="shared" si="9"/>
        <v>Small</v>
      </c>
      <c r="F221" s="119">
        <f>Area!K9</f>
        <v>160.80691150132165</v>
      </c>
      <c r="G221" s="27">
        <f>D221*Variables!$C$9</f>
        <v>0.54039942688210574</v>
      </c>
      <c r="H221" s="28">
        <f t="shared" si="8"/>
        <v>0.52788847013979268</v>
      </c>
      <c r="I221" s="28">
        <f t="shared" si="10"/>
        <v>1.2510956742313062E-2</v>
      </c>
      <c r="J221" s="197">
        <f>VLOOKUP(A221,'Land costs'!$A$2:$F$96,5,FALSE)</f>
        <v>399734297.50693494</v>
      </c>
      <c r="K221" s="29">
        <f>I221*(J221+Variables!$C$10*Variables!$C$5)</f>
        <v>5056707.4463843191</v>
      </c>
      <c r="L221" s="29">
        <f>(G221*Variables!$C$11+D221*Variables!$C$12)*Variables!$C$5</f>
        <v>980281.5638166432</v>
      </c>
    </row>
    <row r="222" spans="1:12" x14ac:dyDescent="0.35">
      <c r="A222" s="96">
        <v>9</v>
      </c>
      <c r="B222" s="87" t="s">
        <v>67</v>
      </c>
      <c r="C222" s="87">
        <v>2024</v>
      </c>
      <c r="D222" s="97">
        <f>Population!I10</f>
        <v>772321.89845047658</v>
      </c>
      <c r="E222" s="92" t="str">
        <f t="shared" si="9"/>
        <v>Medium</v>
      </c>
      <c r="F222" s="119">
        <f>Area!K10</f>
        <v>434.61327432789653</v>
      </c>
      <c r="G222" s="27">
        <f>D222*Variables!$C$9</f>
        <v>6.9508970860542894</v>
      </c>
      <c r="H222" s="28">
        <f t="shared" si="8"/>
        <v>6.7899746859961807</v>
      </c>
      <c r="I222" s="28">
        <f t="shared" si="10"/>
        <v>0.16092240005810865</v>
      </c>
      <c r="J222" s="197">
        <f>VLOOKUP(A222,'Land costs'!$A$2:$F$96,5,FALSE)</f>
        <v>292630299.54426229</v>
      </c>
      <c r="K222" s="29">
        <f>I222*(J222+Variables!$C$10*Variables!$C$5)</f>
        <v>47806555.620948926</v>
      </c>
      <c r="L222" s="29">
        <f>(G222*Variables!$C$11+D222*Variables!$C$12)*Variables!$C$5</f>
        <v>12608888.770957859</v>
      </c>
    </row>
    <row r="223" spans="1:12" x14ac:dyDescent="0.35">
      <c r="A223" s="96">
        <v>10</v>
      </c>
      <c r="B223" s="87" t="s">
        <v>68</v>
      </c>
      <c r="C223" s="87">
        <v>2024</v>
      </c>
      <c r="D223" s="97">
        <f>Population!I11</f>
        <v>716707.42130257713</v>
      </c>
      <c r="E223" s="92" t="str">
        <f t="shared" si="9"/>
        <v>Medium</v>
      </c>
      <c r="F223" s="119">
        <f>Area!K11</f>
        <v>128.76465582030701</v>
      </c>
      <c r="G223" s="27">
        <f>D223*Variables!$C$9</f>
        <v>6.4503667917231944</v>
      </c>
      <c r="H223" s="28">
        <f t="shared" si="8"/>
        <v>6.3010323256063243</v>
      </c>
      <c r="I223" s="28">
        <f t="shared" si="10"/>
        <v>0.14933446611687007</v>
      </c>
      <c r="J223" s="197">
        <f>VLOOKUP(A223,'Land costs'!$A$2:$F$96,5,FALSE)</f>
        <v>207178319.55590102</v>
      </c>
      <c r="K223" s="29">
        <f>I223*(J223+Variables!$C$10*Variables!$C$5)</f>
        <v>31603105.90921453</v>
      </c>
      <c r="L223" s="29">
        <f>(G223*Variables!$C$11+D223*Variables!$C$12)*Variables!$C$5</f>
        <v>11700929.592512002</v>
      </c>
    </row>
    <row r="224" spans="1:12" x14ac:dyDescent="0.35">
      <c r="A224" s="96">
        <v>11</v>
      </c>
      <c r="B224" s="87" t="s">
        <v>69</v>
      </c>
      <c r="C224" s="87">
        <v>2024</v>
      </c>
      <c r="D224" s="97">
        <f>Population!I12</f>
        <v>279553.08814216737</v>
      </c>
      <c r="E224" s="92" t="str">
        <f t="shared" si="9"/>
        <v>Medium</v>
      </c>
      <c r="F224" s="119">
        <f>Area!K12</f>
        <v>165.15304424460064</v>
      </c>
      <c r="G224" s="27">
        <f>D224*Variables!$C$9</f>
        <v>2.5159777932795064</v>
      </c>
      <c r="H224" s="28">
        <f t="shared" si="8"/>
        <v>2.4577296017187713</v>
      </c>
      <c r="I224" s="28">
        <f t="shared" si="10"/>
        <v>5.824819156073513E-2</v>
      </c>
      <c r="J224" s="197">
        <f>VLOOKUP(A224,'Land costs'!$A$2:$F$96,5,FALSE)</f>
        <v>446522393.21506435</v>
      </c>
      <c r="K224" s="29">
        <f>I224*(J224+Variables!$C$10*Variables!$C$5)</f>
        <v>26268210.812540688</v>
      </c>
      <c r="L224" s="29">
        <f>(G224*Variables!$C$11+D224*Variables!$C$12)*Variables!$C$5</f>
        <v>4563969.7657600362</v>
      </c>
    </row>
    <row r="225" spans="1:12" x14ac:dyDescent="0.35">
      <c r="A225" s="96">
        <v>12</v>
      </c>
      <c r="B225" s="87" t="s">
        <v>70</v>
      </c>
      <c r="C225" s="87">
        <v>2024</v>
      </c>
      <c r="D225" s="97">
        <f>Population!I13</f>
        <v>135983.26113017794</v>
      </c>
      <c r="E225" s="92" t="str">
        <f t="shared" si="9"/>
        <v>Medium</v>
      </c>
      <c r="F225" s="119">
        <f>Area!K13</f>
        <v>27.525507374100108</v>
      </c>
      <c r="G225" s="27">
        <f>D225*Variables!$C$9</f>
        <v>1.2238493501716015</v>
      </c>
      <c r="H225" s="28">
        <f t="shared" si="8"/>
        <v>1.195515629746607</v>
      </c>
      <c r="I225" s="28">
        <f t="shared" si="10"/>
        <v>2.8333720424994491E-2</v>
      </c>
      <c r="J225" s="197">
        <f>VLOOKUP(A225,'Land costs'!$A$2:$F$96,5,FALSE)</f>
        <v>207178319.55590102</v>
      </c>
      <c r="K225" s="29">
        <f>I225*(J225+Variables!$C$10*Variables!$C$5)</f>
        <v>5996161.4400014263</v>
      </c>
      <c r="L225" s="29">
        <f>(G225*Variables!$C$11+D225*Variables!$C$12)*Variables!$C$5</f>
        <v>2220055.9348926395</v>
      </c>
    </row>
    <row r="226" spans="1:12" x14ac:dyDescent="0.35">
      <c r="A226" s="96">
        <v>13</v>
      </c>
      <c r="B226" s="87" t="s">
        <v>71</v>
      </c>
      <c r="C226" s="87">
        <v>2024</v>
      </c>
      <c r="D226" s="97">
        <f>Population!I14</f>
        <v>9128001.49017331</v>
      </c>
      <c r="E226" s="92" t="str">
        <f t="shared" si="9"/>
        <v>Large</v>
      </c>
      <c r="F226" s="119">
        <f>Area!K14</f>
        <v>893.382524923745</v>
      </c>
      <c r="G226" s="27">
        <f>D226*Variables!$C$9</f>
        <v>82.152013411559793</v>
      </c>
      <c r="H226" s="28">
        <f t="shared" si="8"/>
        <v>279.82566666666668</v>
      </c>
      <c r="I226" s="28">
        <f t="shared" si="10"/>
        <v>0</v>
      </c>
      <c r="J226" s="197">
        <f>VLOOKUP(A226,'Land costs'!$A$2:$F$96,5,FALSE)</f>
        <v>225281113.07128146</v>
      </c>
      <c r="K226" s="29">
        <f>I226*(J226+Variables!$C$10*Variables!$C$5)</f>
        <v>0</v>
      </c>
      <c r="L226" s="29">
        <f>(G226*Variables!$C$11+D226*Variables!$C$12)*Variables!$C$5</f>
        <v>149023296.79068786</v>
      </c>
    </row>
    <row r="227" spans="1:12" x14ac:dyDescent="0.35">
      <c r="A227" s="96">
        <v>14</v>
      </c>
      <c r="B227" s="87" t="s">
        <v>72</v>
      </c>
      <c r="C227" s="87">
        <v>2024</v>
      </c>
      <c r="D227" s="97">
        <f>Population!I15</f>
        <v>363725.32472471055</v>
      </c>
      <c r="E227" s="92" t="str">
        <f t="shared" si="9"/>
        <v>Medium</v>
      </c>
      <c r="F227" s="119">
        <f>Area!K15</f>
        <v>43.461327432789652</v>
      </c>
      <c r="G227" s="27">
        <f>D227*Variables!$C$9</f>
        <v>3.273527922522395</v>
      </c>
      <c r="H227" s="28">
        <f t="shared" si="8"/>
        <v>3.1977414501537513</v>
      </c>
      <c r="I227" s="28">
        <f t="shared" si="10"/>
        <v>7.5786472368643665E-2</v>
      </c>
      <c r="J227" s="197">
        <f>VLOOKUP(A227,'Land costs'!$A$2:$F$96,5,FALSE)</f>
        <v>172078376.43406156</v>
      </c>
      <c r="K227" s="29">
        <f>I227*(J227+Variables!$C$10*Variables!$C$5)</f>
        <v>13378312.59943749</v>
      </c>
      <c r="L227" s="29">
        <f>(G227*Variables!$C$11+D227*Variables!$C$12)*Variables!$C$5</f>
        <v>5938161.4995453637</v>
      </c>
    </row>
    <row r="228" spans="1:12" x14ac:dyDescent="0.35">
      <c r="A228" s="96">
        <v>15</v>
      </c>
      <c r="B228" s="87" t="s">
        <v>73</v>
      </c>
      <c r="C228" s="87">
        <v>2024</v>
      </c>
      <c r="D228" s="97">
        <f>Population!I16</f>
        <v>80665.738035561153</v>
      </c>
      <c r="E228" s="92" t="str">
        <f t="shared" si="9"/>
        <v>Small</v>
      </c>
      <c r="F228" s="119">
        <f>Area!K16</f>
        <v>241.93472270919565</v>
      </c>
      <c r="G228" s="27">
        <f>D228*Variables!$C$9</f>
        <v>0.72599164232005042</v>
      </c>
      <c r="H228" s="28">
        <f t="shared" si="8"/>
        <v>43.35</v>
      </c>
      <c r="I228" s="28">
        <f t="shared" si="10"/>
        <v>0</v>
      </c>
      <c r="J228" s="197">
        <f>VLOOKUP(A228,'Land costs'!$A$2:$F$96,5,FALSE)</f>
        <v>399734297.50693494</v>
      </c>
      <c r="K228" s="29">
        <f>I228*(J228+Variables!$C$10*Variables!$C$5)</f>
        <v>0</v>
      </c>
      <c r="L228" s="29">
        <f>(G228*Variables!$C$11+D228*Variables!$C$12)*Variables!$C$5</f>
        <v>1316944.8135010186</v>
      </c>
    </row>
    <row r="229" spans="1:12" x14ac:dyDescent="0.35">
      <c r="A229" s="96">
        <v>16</v>
      </c>
      <c r="B229" s="87" t="s">
        <v>74</v>
      </c>
      <c r="C229" s="87">
        <v>2024</v>
      </c>
      <c r="D229" s="97">
        <f>Population!I17</f>
        <v>4130458.6749305613</v>
      </c>
      <c r="E229" s="92" t="str">
        <f t="shared" si="9"/>
        <v>Large</v>
      </c>
      <c r="F229" s="119">
        <f>Area!K17</f>
        <v>374.02343772349337</v>
      </c>
      <c r="G229" s="27">
        <f>D229*Variables!$C$9</f>
        <v>37.174128074375055</v>
      </c>
      <c r="H229" s="28">
        <f t="shared" si="8"/>
        <v>108.39099999999998</v>
      </c>
      <c r="I229" s="28">
        <f t="shared" si="10"/>
        <v>0</v>
      </c>
      <c r="J229" s="197">
        <f>VLOOKUP(A229,'Land costs'!$A$2:$F$96,5,FALSE)</f>
        <v>258664564.88983455</v>
      </c>
      <c r="K229" s="29">
        <f>I229*(J229+Variables!$C$10*Variables!$C$5)</f>
        <v>0</v>
      </c>
      <c r="L229" s="29">
        <f>(G229*Variables!$C$11+D229*Variables!$C$12)*Variables!$C$5</f>
        <v>67433662.194128484</v>
      </c>
    </row>
    <row r="230" spans="1:12" x14ac:dyDescent="0.35">
      <c r="A230" s="96">
        <v>17</v>
      </c>
      <c r="B230" s="87" t="s">
        <v>75</v>
      </c>
      <c r="C230" s="87">
        <v>2024</v>
      </c>
      <c r="D230" s="97">
        <f>Population!I18</f>
        <v>15200.250855246943</v>
      </c>
      <c r="E230" s="92" t="str">
        <f t="shared" si="9"/>
        <v>Small</v>
      </c>
      <c r="F230" s="119">
        <f>Area!K18</f>
        <v>2.8006312640916784</v>
      </c>
      <c r="G230" s="27">
        <f>D230*Variables!$C$9</f>
        <v>0.13680225769722248</v>
      </c>
      <c r="H230" s="28">
        <f t="shared" si="8"/>
        <v>0.13363510569231463</v>
      </c>
      <c r="I230" s="28">
        <f t="shared" si="10"/>
        <v>3.1671520049078583E-3</v>
      </c>
      <c r="J230" s="197">
        <f>VLOOKUP(A230,'Land costs'!$A$2:$F$96,5,FALSE)</f>
        <v>399734297.50693494</v>
      </c>
      <c r="K230" s="29">
        <f>I230*(J230+Variables!$C$10*Variables!$C$5)</f>
        <v>1280106.8261137339</v>
      </c>
      <c r="L230" s="29">
        <f>(G230*Variables!$C$11+D230*Variables!$C$12)*Variables!$C$5</f>
        <v>248158.53688597109</v>
      </c>
    </row>
    <row r="231" spans="1:12" x14ac:dyDescent="0.35">
      <c r="A231" s="96">
        <v>18</v>
      </c>
      <c r="B231" s="87" t="s">
        <v>76</v>
      </c>
      <c r="C231" s="87">
        <v>2024</v>
      </c>
      <c r="D231" s="97">
        <f>Population!I19</f>
        <v>134292.38576742212</v>
      </c>
      <c r="E231" s="92" t="str">
        <f t="shared" si="9"/>
        <v>Medium</v>
      </c>
      <c r="F231" s="119">
        <f>Area!K19</f>
        <v>28.974218288526433</v>
      </c>
      <c r="G231" s="27">
        <f>D231*Variables!$C$9</f>
        <v>1.2086314719067992</v>
      </c>
      <c r="H231" s="28">
        <f t="shared" si="8"/>
        <v>1.1806500653578189</v>
      </c>
      <c r="I231" s="28">
        <f t="shared" si="10"/>
        <v>2.7981406548980292E-2</v>
      </c>
      <c r="J231" s="197">
        <f>VLOOKUP(A231,'Land costs'!$A$2:$F$96,5,FALSE)</f>
        <v>207178319.55590102</v>
      </c>
      <c r="K231" s="29">
        <f>I231*(J231+Variables!$C$10*Variables!$C$5)</f>
        <v>5921602.5452835187</v>
      </c>
      <c r="L231" s="29">
        <f>(G231*Variables!$C$11+D231*Variables!$C$12)*Variables!$C$5</f>
        <v>2192450.7881043432</v>
      </c>
    </row>
    <row r="232" spans="1:12" x14ac:dyDescent="0.35">
      <c r="A232" s="96">
        <v>19</v>
      </c>
      <c r="B232" s="87" t="s">
        <v>77</v>
      </c>
      <c r="C232" s="87">
        <v>2024</v>
      </c>
      <c r="D232" s="97">
        <f>Population!I20</f>
        <v>6097312.8295525238</v>
      </c>
      <c r="E232" s="92" t="str">
        <f t="shared" si="9"/>
        <v>Large</v>
      </c>
      <c r="F232" s="119">
        <f>Area!K20</f>
        <v>1102.4703258700108</v>
      </c>
      <c r="G232" s="27">
        <f>D232*Variables!$C$9</f>
        <v>54.875815465972714</v>
      </c>
      <c r="H232" s="28">
        <f t="shared" si="8"/>
        <v>53.605368238715172</v>
      </c>
      <c r="I232" s="28">
        <f t="shared" si="10"/>
        <v>1.2704472272575416</v>
      </c>
      <c r="J232" s="197">
        <f>VLOOKUP(A232,'Land costs'!$A$2:$F$96,5,FALSE)</f>
        <v>69556263.81201373</v>
      </c>
      <c r="K232" s="29">
        <f>I232*(J232+Variables!$C$10*Variables!$C$5)</f>
        <v>94018532.710889563</v>
      </c>
      <c r="L232" s="29">
        <f>(G232*Variables!$C$11+D232*Variables!$C$12)*Variables!$C$5</f>
        <v>99544424.965559751</v>
      </c>
    </row>
    <row r="233" spans="1:12" x14ac:dyDescent="0.35">
      <c r="A233" s="96">
        <v>20</v>
      </c>
      <c r="B233" s="87" t="s">
        <v>78</v>
      </c>
      <c r="C233" s="87">
        <v>2024</v>
      </c>
      <c r="D233" s="97">
        <f>Population!I21</f>
        <v>3819866.4304701551</v>
      </c>
      <c r="E233" s="92" t="str">
        <f t="shared" si="9"/>
        <v>Large</v>
      </c>
      <c r="F233" s="119">
        <f>Area!K21</f>
        <v>488.21557816167029</v>
      </c>
      <c r="G233" s="27">
        <f>D233*Variables!$C$9</f>
        <v>34.378797874231395</v>
      </c>
      <c r="H233" s="28">
        <f t="shared" si="8"/>
        <v>38.65</v>
      </c>
      <c r="I233" s="28">
        <f t="shared" si="10"/>
        <v>0</v>
      </c>
      <c r="J233" s="197">
        <f>VLOOKUP(A233,'Land costs'!$A$2:$F$96,5,FALSE)</f>
        <v>423084709.93427253</v>
      </c>
      <c r="K233" s="29">
        <f>I233*(J233+Variables!$C$10*Variables!$C$5)</f>
        <v>0</v>
      </c>
      <c r="L233" s="29">
        <f>(G233*Variables!$C$11+D233*Variables!$C$12)*Variables!$C$5</f>
        <v>62362948.711342864</v>
      </c>
    </row>
    <row r="234" spans="1:12" x14ac:dyDescent="0.35">
      <c r="A234" s="96">
        <v>21</v>
      </c>
      <c r="B234" s="98" t="s">
        <v>79</v>
      </c>
      <c r="C234" s="87">
        <v>2024</v>
      </c>
      <c r="D234" s="97">
        <f>Population!I22</f>
        <v>16871292.670343574</v>
      </c>
      <c r="E234" s="92" t="str">
        <f t="shared" si="9"/>
        <v>Large</v>
      </c>
      <c r="F234" s="119">
        <f>Area!K22</f>
        <v>704.99999999999966</v>
      </c>
      <c r="G234" s="27">
        <f>D234*Variables!$C$9</f>
        <v>151.84163403309216</v>
      </c>
      <c r="H234" s="28">
        <f t="shared" si="8"/>
        <v>148.32630070635165</v>
      </c>
      <c r="I234" s="28">
        <f t="shared" si="10"/>
        <v>3.5153333267405174</v>
      </c>
      <c r="J234" s="197">
        <f>VLOOKUP(A234,'Land costs'!$A$2:$F$96,5,FALSE)</f>
        <v>136261714.31466237</v>
      </c>
      <c r="K234" s="29">
        <f>I234*(J234+Variables!$C$10*Variables!$C$5)</f>
        <v>494641606.0832659</v>
      </c>
      <c r="L234" s="29">
        <f>(G234*Variables!$C$11+D234*Variables!$C$12)*Variables!$C$5</f>
        <v>275439882.16498756</v>
      </c>
    </row>
    <row r="235" spans="1:12" x14ac:dyDescent="0.35">
      <c r="A235" s="96">
        <v>22</v>
      </c>
      <c r="B235" s="87" t="s">
        <v>80</v>
      </c>
      <c r="C235" s="87">
        <v>2024</v>
      </c>
      <c r="D235" s="97">
        <f>Population!I23</f>
        <v>14962355.403748387</v>
      </c>
      <c r="E235" s="92" t="str">
        <f t="shared" si="9"/>
        <v>Large</v>
      </c>
      <c r="F235" s="119">
        <f>Area!K23</f>
        <v>1132.8919350813833</v>
      </c>
      <c r="G235" s="27">
        <f>D235*Variables!$C$9</f>
        <v>134.66119863373549</v>
      </c>
      <c r="H235" s="28">
        <f t="shared" si="8"/>
        <v>131.54361495920239</v>
      </c>
      <c r="I235" s="28">
        <f t="shared" si="10"/>
        <v>3.1175836745331083</v>
      </c>
      <c r="J235" s="197">
        <f>VLOOKUP(A235,'Land costs'!$A$2:$F$96,5,FALSE)</f>
        <v>181431544.56336635</v>
      </c>
      <c r="K235" s="29">
        <f>I235*(J235+Variables!$C$10*Variables!$C$5)</f>
        <v>579495084.95955491</v>
      </c>
      <c r="L235" s="29">
        <f>(G235*Variables!$C$11+D235*Variables!$C$12)*Variables!$C$5</f>
        <v>244274667.61710766</v>
      </c>
    </row>
    <row r="236" spans="1:12" x14ac:dyDescent="0.35">
      <c r="A236" s="96">
        <v>23</v>
      </c>
      <c r="B236" s="87" t="s">
        <v>81</v>
      </c>
      <c r="C236" s="87">
        <v>2024</v>
      </c>
      <c r="D236" s="97">
        <f>Population!I24</f>
        <v>54261.234475862344</v>
      </c>
      <c r="E236" s="92" t="str">
        <f t="shared" si="9"/>
        <v>Small</v>
      </c>
      <c r="F236" s="119">
        <f>Area!K24</f>
        <v>107.48776893573485</v>
      </c>
      <c r="G236" s="27">
        <f>D236*Variables!$C$9</f>
        <v>0.48835111028276112</v>
      </c>
      <c r="H236" s="28">
        <f t="shared" si="8"/>
        <v>0.8</v>
      </c>
      <c r="I236" s="28">
        <f t="shared" si="10"/>
        <v>0</v>
      </c>
      <c r="J236" s="197">
        <f>VLOOKUP(A236,'Land costs'!$A$2:$F$96,5,FALSE)</f>
        <v>679160605.168293</v>
      </c>
      <c r="K236" s="29">
        <f>I236*(J236+Variables!$C$10*Variables!$C$5)</f>
        <v>0</v>
      </c>
      <c r="L236" s="29">
        <f>(G236*Variables!$C$11+D236*Variables!$C$12)*Variables!$C$5</f>
        <v>885866.20611649461</v>
      </c>
    </row>
    <row r="237" spans="1:12" x14ac:dyDescent="0.35">
      <c r="A237" s="96">
        <v>24</v>
      </c>
      <c r="B237" s="87" t="s">
        <v>82</v>
      </c>
      <c r="C237" s="87">
        <v>2024</v>
      </c>
      <c r="D237" s="97">
        <f>Population!I25</f>
        <v>2283728.5366570666</v>
      </c>
      <c r="E237" s="92" t="str">
        <f t="shared" si="9"/>
        <v>Large</v>
      </c>
      <c r="F237" s="119">
        <f>Area!K25</f>
        <v>110.10202949640046</v>
      </c>
      <c r="G237" s="27">
        <f>D237*Variables!$C$9</f>
        <v>20.5535568299136</v>
      </c>
      <c r="H237" s="28">
        <f t="shared" si="8"/>
        <v>20.077714984774442</v>
      </c>
      <c r="I237" s="28">
        <f t="shared" si="10"/>
        <v>0.47584184513915773</v>
      </c>
      <c r="J237" s="197">
        <f>VLOOKUP(A237,'Land costs'!$A$2:$F$96,5,FALSE)</f>
        <v>273857556.71751869</v>
      </c>
      <c r="K237" s="29">
        <f>I237*(J237+Variables!$C$10*Variables!$C$5)</f>
        <v>132429437.4660808</v>
      </c>
      <c r="L237" s="29">
        <f>(G237*Variables!$C$11+D237*Variables!$C$12)*Variables!$C$5</f>
        <v>37284038.118747897</v>
      </c>
    </row>
    <row r="238" spans="1:12" x14ac:dyDescent="0.35">
      <c r="A238" s="96">
        <v>25</v>
      </c>
      <c r="B238" s="87" t="s">
        <v>83</v>
      </c>
      <c r="C238" s="87">
        <v>2024</v>
      </c>
      <c r="D238" s="97">
        <f>Population!I26</f>
        <v>327833.20696035854</v>
      </c>
      <c r="E238" s="92" t="str">
        <f t="shared" si="9"/>
        <v>Medium</v>
      </c>
      <c r="F238" s="119">
        <f>Area!K26</f>
        <v>195.57597344755342</v>
      </c>
      <c r="G238" s="27">
        <f>D238*Variables!$C$9</f>
        <v>2.9504988626432271</v>
      </c>
      <c r="H238" s="28">
        <f t="shared" si="8"/>
        <v>2.8821909374262251</v>
      </c>
      <c r="I238" s="28">
        <f t="shared" si="10"/>
        <v>6.8307925217002019E-2</v>
      </c>
      <c r="J238" s="197">
        <f>VLOOKUP(A238,'Land costs'!$A$2:$F$96,5,FALSE)</f>
        <v>202576692.05248237</v>
      </c>
      <c r="K238" s="29">
        <f>I238*(J238+Variables!$C$10*Variables!$C$5)</f>
        <v>14141428.308976797</v>
      </c>
      <c r="L238" s="29">
        <f>(G238*Variables!$C$11+D238*Variables!$C$12)*Variables!$C$5</f>
        <v>5352188.5761402221</v>
      </c>
    </row>
    <row r="239" spans="1:12" x14ac:dyDescent="0.35">
      <c r="A239" s="96">
        <v>26</v>
      </c>
      <c r="B239" s="87" t="s">
        <v>84</v>
      </c>
      <c r="C239" s="87">
        <v>2024</v>
      </c>
      <c r="D239" s="97">
        <f>Population!I27</f>
        <v>135847.66567205801</v>
      </c>
      <c r="E239" s="92" t="str">
        <f t="shared" si="9"/>
        <v>Medium</v>
      </c>
      <c r="F239" s="119">
        <f>Area!K27</f>
        <v>698.27866075348709</v>
      </c>
      <c r="G239" s="27">
        <f>D239*Variables!$C$9</f>
        <v>1.2226289910485222</v>
      </c>
      <c r="H239" s="28">
        <f t="shared" ref="H239:H302" si="11">H197+I197</f>
        <v>1.1943235235406096</v>
      </c>
      <c r="I239" s="28">
        <f t="shared" si="10"/>
        <v>2.8305467507912629E-2</v>
      </c>
      <c r="J239" s="197">
        <f>VLOOKUP(A239,'Land costs'!$A$2:$F$96,5,FALSE)</f>
        <v>207178319.55590102</v>
      </c>
      <c r="K239" s="29">
        <f>I239*(J239+Variables!$C$10*Variables!$C$5)</f>
        <v>5990182.3786768718</v>
      </c>
      <c r="L239" s="29">
        <f>(G239*Variables!$C$11+D239*Variables!$C$12)*Variables!$C$5</f>
        <v>2217842.2102103392</v>
      </c>
    </row>
    <row r="240" spans="1:12" x14ac:dyDescent="0.35">
      <c r="A240" s="96">
        <v>27</v>
      </c>
      <c r="B240" s="87" t="s">
        <v>85</v>
      </c>
      <c r="C240" s="87">
        <v>2024</v>
      </c>
      <c r="D240" s="97">
        <f>Population!I28</f>
        <v>1370101.2553452037</v>
      </c>
      <c r="E240" s="92" t="str">
        <f t="shared" si="9"/>
        <v>Large</v>
      </c>
      <c r="F240" s="119">
        <f>Area!K28</f>
        <v>130.3819790835754</v>
      </c>
      <c r="G240" s="27">
        <f>D240*Variables!$C$9</f>
        <v>12.330911298106834</v>
      </c>
      <c r="H240" s="28">
        <f t="shared" si="11"/>
        <v>27.873100000000001</v>
      </c>
      <c r="I240" s="28">
        <f t="shared" si="10"/>
        <v>0</v>
      </c>
      <c r="J240" s="197">
        <f>VLOOKUP(A240,'Land costs'!$A$2:$F$96,5,FALSE)</f>
        <v>194110385.46713075</v>
      </c>
      <c r="K240" s="29">
        <f>I240*(J240+Variables!$C$10*Variables!$C$5)</f>
        <v>0</v>
      </c>
      <c r="L240" s="29">
        <f>(G240*Variables!$C$11+D240*Variables!$C$12)*Variables!$C$5</f>
        <v>22368204.719117075</v>
      </c>
    </row>
    <row r="241" spans="1:12" x14ac:dyDescent="0.35">
      <c r="A241" s="96">
        <v>28</v>
      </c>
      <c r="B241" s="87" t="s">
        <v>86</v>
      </c>
      <c r="C241" s="87">
        <v>2024</v>
      </c>
      <c r="D241" s="97">
        <f>Population!I29</f>
        <v>1455518.2582332881</v>
      </c>
      <c r="E241" s="92" t="str">
        <f t="shared" si="9"/>
        <v>Large</v>
      </c>
      <c r="F241" s="119">
        <f>Area!K29</f>
        <v>168.05046607345324</v>
      </c>
      <c r="G241" s="27">
        <f>D241*Variables!$C$9</f>
        <v>13.099664324099592</v>
      </c>
      <c r="H241" s="28">
        <f t="shared" si="11"/>
        <v>59.512458633395788</v>
      </c>
      <c r="I241" s="28">
        <f t="shared" si="10"/>
        <v>0</v>
      </c>
      <c r="J241" s="197">
        <f>VLOOKUP(A241,'Land costs'!$A$2:$F$96,5,FALSE)</f>
        <v>106495314.22538668</v>
      </c>
      <c r="K241" s="29">
        <f>I241*(J241+Variables!$C$10*Variables!$C$5)</f>
        <v>0</v>
      </c>
      <c r="L241" s="29">
        <f>(G241*Variables!$C$11+D241*Variables!$C$12)*Variables!$C$5</f>
        <v>23762718.445485931</v>
      </c>
    </row>
    <row r="242" spans="1:12" x14ac:dyDescent="0.35">
      <c r="A242" s="96">
        <v>29</v>
      </c>
      <c r="B242" s="87" t="s">
        <v>87</v>
      </c>
      <c r="C242" s="87">
        <v>2024</v>
      </c>
      <c r="D242" s="97">
        <f>Population!I30</f>
        <v>194212.01871063019</v>
      </c>
      <c r="E242" s="92" t="str">
        <f t="shared" si="9"/>
        <v>Medium</v>
      </c>
      <c r="F242" s="119">
        <f>Area!K30</f>
        <v>944.55951620596159</v>
      </c>
      <c r="G242" s="27">
        <f>D242*Variables!$C$9</f>
        <v>1.7479081683956716</v>
      </c>
      <c r="H242" s="28">
        <f t="shared" si="11"/>
        <v>1.7074417977880938</v>
      </c>
      <c r="I242" s="28">
        <f t="shared" si="10"/>
        <v>4.0466370607577851E-2</v>
      </c>
      <c r="J242" s="197">
        <f>VLOOKUP(A242,'Land costs'!$A$2:$F$96,5,FALSE)</f>
        <v>207178319.55590102</v>
      </c>
      <c r="K242" s="29">
        <f>I242*(J242+Variables!$C$10*Variables!$C$5)</f>
        <v>8563749.744630035</v>
      </c>
      <c r="L242" s="29">
        <f>(G242*Variables!$C$11+D242*Variables!$C$12)*Variables!$C$5</f>
        <v>3170695.7252132697</v>
      </c>
    </row>
    <row r="243" spans="1:12" x14ac:dyDescent="0.35">
      <c r="A243" s="96">
        <v>30</v>
      </c>
      <c r="B243" s="87" t="s">
        <v>88</v>
      </c>
      <c r="C243" s="87">
        <v>2024</v>
      </c>
      <c r="D243" s="97">
        <f>Population!I31</f>
        <v>133242.87692157365</v>
      </c>
      <c r="E243" s="92" t="str">
        <f t="shared" si="9"/>
        <v>Medium</v>
      </c>
      <c r="F243" s="119">
        <f>Area!K31</f>
        <v>94.166209437710918</v>
      </c>
      <c r="G243" s="27">
        <f>D243*Variables!$C$9</f>
        <v>1.1991858922941629</v>
      </c>
      <c r="H243" s="28">
        <f t="shared" si="11"/>
        <v>1.1714231633233985</v>
      </c>
      <c r="I243" s="28">
        <f t="shared" si="10"/>
        <v>2.7762728970764483E-2</v>
      </c>
      <c r="J243" s="197">
        <f>VLOOKUP(A243,'Land costs'!$A$2:$F$96,5,FALSE)</f>
        <v>207178319.55590102</v>
      </c>
      <c r="K243" s="29">
        <f>I243*(J243+Variables!$C$10*Variables!$C$5)</f>
        <v>5875324.610631004</v>
      </c>
      <c r="L243" s="29">
        <f>(G243*Variables!$C$11+D243*Variables!$C$12)*Variables!$C$5</f>
        <v>2175316.5590633312</v>
      </c>
    </row>
    <row r="244" spans="1:12" x14ac:dyDescent="0.35">
      <c r="A244" s="96">
        <v>31</v>
      </c>
      <c r="B244" s="87" t="s">
        <v>89</v>
      </c>
      <c r="C244" s="87">
        <v>2024</v>
      </c>
      <c r="D244" s="97">
        <f>Population!I32</f>
        <v>229940.0659706571</v>
      </c>
      <c r="E244" s="92" t="str">
        <f t="shared" si="9"/>
        <v>Medium</v>
      </c>
      <c r="F244" s="119">
        <f>Area!K32</f>
        <v>711.31705898332393</v>
      </c>
      <c r="G244" s="27">
        <f>D244*Variables!$C$9</f>
        <v>2.0694605937359141</v>
      </c>
      <c r="H244" s="28">
        <f t="shared" si="11"/>
        <v>2.021549862006363</v>
      </c>
      <c r="I244" s="28">
        <f t="shared" si="10"/>
        <v>4.791073172955107E-2</v>
      </c>
      <c r="J244" s="197">
        <f>VLOOKUP(A244,'Land costs'!$A$2:$F$96,5,FALSE)</f>
        <v>207178319.55590102</v>
      </c>
      <c r="K244" s="29">
        <f>I244*(J244+Variables!$C$10*Variables!$C$5)</f>
        <v>10139172.613052379</v>
      </c>
      <c r="L244" s="29">
        <f>(G244*Variables!$C$11+D244*Variables!$C$12)*Variables!$C$5</f>
        <v>3753990.0417528288</v>
      </c>
    </row>
    <row r="245" spans="1:12" x14ac:dyDescent="0.35">
      <c r="A245" s="96">
        <v>32</v>
      </c>
      <c r="B245" s="87" t="s">
        <v>90</v>
      </c>
      <c r="C245" s="87">
        <v>2024</v>
      </c>
      <c r="D245" s="97">
        <f>Population!I33</f>
        <v>1600799.2999267513</v>
      </c>
      <c r="E245" s="92" t="str">
        <f t="shared" si="9"/>
        <v>Large</v>
      </c>
      <c r="F245" s="119">
        <f>Area!K33</f>
        <v>42.012616518363323</v>
      </c>
      <c r="G245" s="27">
        <f>D245*Variables!$C$9</f>
        <v>14.407193699340763</v>
      </c>
      <c r="H245" s="28">
        <f t="shared" si="11"/>
        <v>14.073648236144146</v>
      </c>
      <c r="I245" s="28">
        <f t="shared" si="10"/>
        <v>0.33354546319661615</v>
      </c>
      <c r="J245" s="197">
        <f>VLOOKUP(A245,'Land costs'!$A$2:$F$96,5,FALSE)</f>
        <v>258664564.88983455</v>
      </c>
      <c r="K245" s="29">
        <f>I245*(J245+Variables!$C$10*Variables!$C$5)</f>
        <v>87760007.828145772</v>
      </c>
      <c r="L245" s="29">
        <f>(G245*Variables!$C$11+D245*Variables!$C$12)*Variables!$C$5</f>
        <v>26134569.481843967</v>
      </c>
    </row>
    <row r="246" spans="1:12" x14ac:dyDescent="0.35">
      <c r="A246" s="96">
        <v>33</v>
      </c>
      <c r="B246" s="87" t="s">
        <v>91</v>
      </c>
      <c r="C246" s="87">
        <v>2024</v>
      </c>
      <c r="D246" s="97">
        <f>Population!I34</f>
        <v>1008411.2184468737</v>
      </c>
      <c r="E246" s="92" t="str">
        <f t="shared" si="9"/>
        <v>Large</v>
      </c>
      <c r="F246" s="119">
        <f>Area!K34</f>
        <v>350.5880412911697</v>
      </c>
      <c r="G246" s="27">
        <f>D246*Variables!$C$9</f>
        <v>9.0757009660218628</v>
      </c>
      <c r="H246" s="28">
        <f t="shared" si="11"/>
        <v>8.8655865644445271</v>
      </c>
      <c r="I246" s="28">
        <f t="shared" si="10"/>
        <v>0.21011440157733574</v>
      </c>
      <c r="J246" s="197">
        <f>VLOOKUP(A246,'Land costs'!$A$2:$F$96,5,FALSE)</f>
        <v>147442586.65970939</v>
      </c>
      <c r="K246" s="29">
        <f>I246*(J246+Variables!$C$10*Variables!$C$5)</f>
        <v>31914403.185361281</v>
      </c>
      <c r="L246" s="29">
        <f>(G246*Variables!$C$11+D246*Variables!$C$12)*Variables!$C$5</f>
        <v>16463271.22705305</v>
      </c>
    </row>
    <row r="247" spans="1:12" x14ac:dyDescent="0.35">
      <c r="A247" s="96">
        <v>34</v>
      </c>
      <c r="B247" s="87" t="s">
        <v>92</v>
      </c>
      <c r="C247" s="87">
        <v>2024</v>
      </c>
      <c r="D247" s="97">
        <f>Population!I35</f>
        <v>583350.64419618272</v>
      </c>
      <c r="E247" s="92" t="str">
        <f t="shared" si="9"/>
        <v>Medium</v>
      </c>
      <c r="F247" s="119">
        <f>Area!K35</f>
        <v>106.65091506414885</v>
      </c>
      <c r="G247" s="27">
        <f>D247*Variables!$C$9</f>
        <v>5.250155797765645</v>
      </c>
      <c r="H247" s="28">
        <f t="shared" si="11"/>
        <v>5.1286077930698886</v>
      </c>
      <c r="I247" s="28">
        <f t="shared" si="10"/>
        <v>0.12154800469575644</v>
      </c>
      <c r="J247" s="197">
        <f>VLOOKUP(A247,'Land costs'!$A$2:$F$96,5,FALSE)</f>
        <v>382950815.48123109</v>
      </c>
      <c r="K247" s="29">
        <f>I247*(J247+Variables!$C$10*Variables!$C$5)</f>
        <v>47087555.047187664</v>
      </c>
      <c r="L247" s="29">
        <f>(G247*Variables!$C$11+D247*Variables!$C$12)*Variables!$C$5</f>
        <v>9523753.5047155377</v>
      </c>
    </row>
    <row r="248" spans="1:12" x14ac:dyDescent="0.35">
      <c r="A248" s="96">
        <v>35</v>
      </c>
      <c r="B248" s="87" t="s">
        <v>93</v>
      </c>
      <c r="C248" s="87">
        <v>2024</v>
      </c>
      <c r="D248" s="97">
        <f>Population!I36</f>
        <v>248522.0675514157</v>
      </c>
      <c r="E248" s="92" t="str">
        <f t="shared" si="9"/>
        <v>Medium</v>
      </c>
      <c r="F248" s="119">
        <f>Area!K36</f>
        <v>36.268711389386475</v>
      </c>
      <c r="G248" s="27">
        <f>D248*Variables!$C$9</f>
        <v>2.2366986079627416</v>
      </c>
      <c r="H248" s="28">
        <f t="shared" si="11"/>
        <v>2.1849160964762544</v>
      </c>
      <c r="I248" s="28">
        <f t="shared" si="10"/>
        <v>5.1782511486487159E-2</v>
      </c>
      <c r="J248" s="197">
        <f>VLOOKUP(A248,'Land costs'!$A$2:$F$96,5,FALSE)</f>
        <v>83219953.906071469</v>
      </c>
      <c r="K248" s="29">
        <f>I248*(J248+Variables!$C$10*Variables!$C$5)</f>
        <v>4539667.6838688077</v>
      </c>
      <c r="L248" s="29">
        <f>(G248*Variables!$C$11+D248*Variables!$C$12)*Variables!$C$5</f>
        <v>4057358.8722153925</v>
      </c>
    </row>
    <row r="249" spans="1:12" x14ac:dyDescent="0.35">
      <c r="A249" s="96">
        <v>36</v>
      </c>
      <c r="B249" s="87" t="s">
        <v>94</v>
      </c>
      <c r="C249" s="87">
        <v>2024</v>
      </c>
      <c r="D249" s="97">
        <f>Population!I37</f>
        <v>1593403.9236408891</v>
      </c>
      <c r="E249" s="92" t="str">
        <f t="shared" si="9"/>
        <v>Large</v>
      </c>
      <c r="F249" s="119">
        <f>Area!K37</f>
        <v>67.923355945211981</v>
      </c>
      <c r="G249" s="27">
        <f>D249*Variables!$C$9</f>
        <v>14.340635312768002</v>
      </c>
      <c r="H249" s="28">
        <f t="shared" si="11"/>
        <v>14.008630763669045</v>
      </c>
      <c r="I249" s="28">
        <f t="shared" si="10"/>
        <v>0.33200454909895782</v>
      </c>
      <c r="J249" s="197">
        <f>VLOOKUP(A249,'Land costs'!$A$2:$F$96,5,FALSE)</f>
        <v>115153966.74863443</v>
      </c>
      <c r="K249" s="29">
        <f>I249*(J249+Variables!$C$10*Variables!$C$5)</f>
        <v>39708402.51544027</v>
      </c>
      <c r="L249" s="29">
        <f>(G249*Variables!$C$11+D249*Variables!$C$12)*Variables!$C$5</f>
        <v>26013832.937671259</v>
      </c>
    </row>
    <row r="250" spans="1:12" x14ac:dyDescent="0.35">
      <c r="A250" s="96">
        <v>37</v>
      </c>
      <c r="B250" s="87" t="s">
        <v>95</v>
      </c>
      <c r="C250" s="87">
        <v>2024</v>
      </c>
      <c r="D250" s="97">
        <f>Population!I38</f>
        <v>265844.38732623996</v>
      </c>
      <c r="E250" s="92" t="str">
        <f t="shared" si="9"/>
        <v>Medium</v>
      </c>
      <c r="F250" s="119">
        <f>Area!K38</f>
        <v>28.542832040168062</v>
      </c>
      <c r="G250" s="27">
        <f>D250*Variables!$C$9</f>
        <v>2.3925994859361599</v>
      </c>
      <c r="H250" s="28">
        <f t="shared" si="11"/>
        <v>2.3372076642924289</v>
      </c>
      <c r="I250" s="28">
        <f t="shared" si="10"/>
        <v>5.5391821643731021E-2</v>
      </c>
      <c r="J250" s="197">
        <f>VLOOKUP(A250,'Land costs'!$A$2:$F$96,5,FALSE)</f>
        <v>135804860.55953482</v>
      </c>
      <c r="K250" s="29">
        <f>I250*(J250+Variables!$C$10*Variables!$C$5)</f>
        <v>7768862.3503738437</v>
      </c>
      <c r="L250" s="29">
        <f>(G250*Variables!$C$11+D250*Variables!$C$12)*Variables!$C$5</f>
        <v>4340162.2003793791</v>
      </c>
    </row>
    <row r="251" spans="1:12" x14ac:dyDescent="0.35">
      <c r="A251" s="96">
        <v>38</v>
      </c>
      <c r="B251" s="87" t="s">
        <v>96</v>
      </c>
      <c r="C251" s="87">
        <v>2024</v>
      </c>
      <c r="D251" s="97">
        <f>Population!I39</f>
        <v>1169098.6160919261</v>
      </c>
      <c r="E251" s="92" t="str">
        <f t="shared" si="9"/>
        <v>Large</v>
      </c>
      <c r="F251" s="119">
        <f>Area!K39</f>
        <v>114.81515143977377</v>
      </c>
      <c r="G251" s="27">
        <f>D251*Variables!$C$9</f>
        <v>10.521887544827335</v>
      </c>
      <c r="H251" s="28">
        <f t="shared" si="11"/>
        <v>10.278292023861811</v>
      </c>
      <c r="I251" s="28">
        <f t="shared" si="10"/>
        <v>0.24359552096552406</v>
      </c>
      <c r="J251" s="197">
        <f>VLOOKUP(A251,'Land costs'!$A$2:$F$96,5,FALSE)</f>
        <v>223708463.42310071</v>
      </c>
      <c r="K251" s="29">
        <f>I251*(J251+Variables!$C$10*Variables!$C$5)</f>
        <v>55577896.58532615</v>
      </c>
      <c r="L251" s="29">
        <f>(G251*Variables!$C$11+D251*Variables!$C$12)*Variables!$C$5</f>
        <v>19086645.661814157</v>
      </c>
    </row>
    <row r="252" spans="1:12" x14ac:dyDescent="0.35">
      <c r="A252" s="96">
        <v>39</v>
      </c>
      <c r="B252" s="87" t="s">
        <v>97</v>
      </c>
      <c r="C252" s="87">
        <v>2024</v>
      </c>
      <c r="D252" s="97">
        <f>Population!I40</f>
        <v>96245.656173543975</v>
      </c>
      <c r="E252" s="92" t="str">
        <f t="shared" si="9"/>
        <v>Small</v>
      </c>
      <c r="F252" s="119">
        <f>Area!K40</f>
        <v>27.36248936181525</v>
      </c>
      <c r="G252" s="27">
        <f>D252*Variables!$C$9</f>
        <v>0.86621090556189584</v>
      </c>
      <c r="H252" s="28">
        <f t="shared" si="11"/>
        <v>0.8461569850169931</v>
      </c>
      <c r="I252" s="28">
        <f t="shared" si="10"/>
        <v>2.0053920544902737E-2</v>
      </c>
      <c r="J252" s="197">
        <f>VLOOKUP(A252,'Land costs'!$A$2:$F$96,5,FALSE)</f>
        <v>399734297.50693494</v>
      </c>
      <c r="K252" s="29">
        <f>I252*(J252+Variables!$C$10*Variables!$C$5)</f>
        <v>8105440.0104864221</v>
      </c>
      <c r="L252" s="29">
        <f>(G252*Variables!$C$11+D252*Variables!$C$12)*Variables!$C$5</f>
        <v>1571301.7794974332</v>
      </c>
    </row>
    <row r="253" spans="1:12" x14ac:dyDescent="0.35">
      <c r="A253" s="96">
        <v>40</v>
      </c>
      <c r="B253" s="87" t="s">
        <v>98</v>
      </c>
      <c r="C253" s="87">
        <v>2024</v>
      </c>
      <c r="D253" s="97">
        <f>Population!I41</f>
        <v>171848.25980290602</v>
      </c>
      <c r="E253" s="92" t="str">
        <f t="shared" si="9"/>
        <v>Medium</v>
      </c>
      <c r="F253" s="119">
        <f>Area!K41</f>
        <v>38.200181226691093</v>
      </c>
      <c r="G253" s="27">
        <f>D253*Variables!$C$9</f>
        <v>1.5466343382261543</v>
      </c>
      <c r="H253" s="28">
        <f t="shared" si="11"/>
        <v>1.5108277212329337</v>
      </c>
      <c r="I253" s="28">
        <f t="shared" si="10"/>
        <v>3.5806616993220519E-2</v>
      </c>
      <c r="J253" s="197">
        <f>VLOOKUP(A253,'Land costs'!$A$2:$F$96,5,FALSE)</f>
        <v>101660475.1170758</v>
      </c>
      <c r="K253" s="29">
        <f>I253*(J253+Variables!$C$10*Variables!$C$5)</f>
        <v>3799386.1185903582</v>
      </c>
      <c r="L253" s="29">
        <f>(G253*Variables!$C$11+D253*Variables!$C$12)*Variables!$C$5</f>
        <v>2805586.1133613228</v>
      </c>
    </row>
    <row r="254" spans="1:12" x14ac:dyDescent="0.35">
      <c r="A254" s="96">
        <v>41</v>
      </c>
      <c r="B254" s="87" t="s">
        <v>99</v>
      </c>
      <c r="C254" s="87">
        <v>2024</v>
      </c>
      <c r="D254" s="97">
        <f>Population!I42</f>
        <v>82713.229453172476</v>
      </c>
      <c r="E254" s="92" t="str">
        <f t="shared" si="9"/>
        <v>Small</v>
      </c>
      <c r="F254" s="119">
        <f>Area!K42</f>
        <v>15.237150938736331</v>
      </c>
      <c r="G254" s="27">
        <f>D254*Variables!$C$9</f>
        <v>0.74441906507855227</v>
      </c>
      <c r="H254" s="28">
        <f t="shared" si="11"/>
        <v>0.72718478565844713</v>
      </c>
      <c r="I254" s="28">
        <f t="shared" si="10"/>
        <v>1.7234279420105136E-2</v>
      </c>
      <c r="J254" s="197">
        <f>VLOOKUP(A254,'Land costs'!$A$2:$F$96,5,FALSE)</f>
        <v>399734297.50693494</v>
      </c>
      <c r="K254" s="29">
        <f>I254*(J254+Variables!$C$10*Variables!$C$5)</f>
        <v>6965790.9360336717</v>
      </c>
      <c r="L254" s="29">
        <f>(G254*Variables!$C$11+D254*Variables!$C$12)*Variables!$C$5</f>
        <v>1350372.0562037677</v>
      </c>
    </row>
    <row r="255" spans="1:12" x14ac:dyDescent="0.35">
      <c r="A255" s="96">
        <v>42</v>
      </c>
      <c r="B255" s="87" t="s">
        <v>100</v>
      </c>
      <c r="C255" s="87">
        <v>2024</v>
      </c>
      <c r="D255" s="97">
        <f>Population!I43</f>
        <v>102428.80906381391</v>
      </c>
      <c r="E255" s="92" t="str">
        <f t="shared" si="9"/>
        <v>Medium</v>
      </c>
      <c r="F255" s="119">
        <f>Area!K43</f>
        <v>16.09558197753838</v>
      </c>
      <c r="G255" s="27">
        <f>D255*Variables!$C$9</f>
        <v>0.92185928157432517</v>
      </c>
      <c r="H255" s="28">
        <f t="shared" si="11"/>
        <v>0.90051702801047695</v>
      </c>
      <c r="I255" s="28">
        <f t="shared" si="10"/>
        <v>2.1342253563848224E-2</v>
      </c>
      <c r="J255" s="197">
        <f>VLOOKUP(A255,'Land costs'!$A$2:$F$96,5,FALSE)</f>
        <v>189319723.52178472</v>
      </c>
      <c r="K255" s="29">
        <f>I255*(J255+Variables!$C$10*Variables!$C$5)</f>
        <v>4135440.2397582391</v>
      </c>
      <c r="L255" s="29">
        <f>(G255*Variables!$C$11+D255*Variables!$C$12)*Variables!$C$5</f>
        <v>1672247.6250103703</v>
      </c>
    </row>
    <row r="256" spans="1:12" x14ac:dyDescent="0.35">
      <c r="A256" s="96">
        <v>1</v>
      </c>
      <c r="B256" s="87" t="s">
        <v>59</v>
      </c>
      <c r="C256" s="87">
        <v>2025</v>
      </c>
      <c r="D256" s="97">
        <f>Population!J2</f>
        <v>555241.83427241049</v>
      </c>
      <c r="E256" s="92" t="str">
        <f t="shared" si="9"/>
        <v>Medium</v>
      </c>
      <c r="F256" s="119">
        <f>Area!L2</f>
        <v>111.66534431683614</v>
      </c>
      <c r="G256" s="27">
        <f>D256*Variables!$C$9</f>
        <v>4.9971765084516946</v>
      </c>
      <c r="H256" s="28">
        <f t="shared" si="11"/>
        <v>4.8814853066832988</v>
      </c>
      <c r="I256" s="28">
        <f t="shared" si="10"/>
        <v>0.11569120176839576</v>
      </c>
      <c r="J256" s="197">
        <f>VLOOKUP(A256,'Land costs'!$A$2:$F$96,5,FALSE)</f>
        <v>349411907.96390015</v>
      </c>
      <c r="K256" s="29">
        <f>I256*(J256+Variables!$C$10*Variables!$C$5)</f>
        <v>40938479.917381763</v>
      </c>
      <c r="L256" s="29">
        <f>(G256*Variables!$C$11+D256*Variables!$C$12)*Variables!$C$5</f>
        <v>9064850.4766854867</v>
      </c>
    </row>
    <row r="257" spans="1:12" x14ac:dyDescent="0.35">
      <c r="A257" s="96">
        <v>2</v>
      </c>
      <c r="B257" s="87" t="s">
        <v>60</v>
      </c>
      <c r="C257" s="87">
        <v>2025</v>
      </c>
      <c r="D257" s="97">
        <f>Population!J3</f>
        <v>407288.0222319616</v>
      </c>
      <c r="E257" s="92" t="str">
        <f t="shared" si="9"/>
        <v>Medium</v>
      </c>
      <c r="F257" s="119">
        <f>Area!L3</f>
        <v>671.46134674729103</v>
      </c>
      <c r="G257" s="27">
        <f>D257*Variables!$C$9</f>
        <v>3.6655922000876546</v>
      </c>
      <c r="H257" s="28">
        <f t="shared" si="11"/>
        <v>12.956920723790825</v>
      </c>
      <c r="I257" s="28">
        <f t="shared" si="10"/>
        <v>0</v>
      </c>
      <c r="J257" s="197">
        <f>VLOOKUP(A257,'Land costs'!$A$2:$F$96,5,FALSE)</f>
        <v>207178319.55590102</v>
      </c>
      <c r="K257" s="29">
        <f>I257*(J257+Variables!$C$10*Variables!$C$5)</f>
        <v>0</v>
      </c>
      <c r="L257" s="29">
        <f>(G257*Variables!$C$11+D257*Variables!$C$12)*Variables!$C$5</f>
        <v>6649363.9250286203</v>
      </c>
    </row>
    <row r="258" spans="1:12" x14ac:dyDescent="0.35">
      <c r="A258" s="96">
        <v>3</v>
      </c>
      <c r="B258" s="87" t="s">
        <v>61</v>
      </c>
      <c r="C258" s="87">
        <v>2025</v>
      </c>
      <c r="D258" s="97">
        <f>Population!J4</f>
        <v>11720586.781632422</v>
      </c>
      <c r="E258" s="92" t="str">
        <f t="shared" si="9"/>
        <v>Large</v>
      </c>
      <c r="F258" s="119">
        <f>Area!L4</f>
        <v>791.94237614177223</v>
      </c>
      <c r="G258" s="27">
        <f>D258*Variables!$C$9</f>
        <v>105.48528103469179</v>
      </c>
      <c r="H258" s="28">
        <f t="shared" si="11"/>
        <v>103.04315818569091</v>
      </c>
      <c r="I258" s="28">
        <f t="shared" si="10"/>
        <v>2.4421228490008815</v>
      </c>
      <c r="J258" s="197">
        <f>VLOOKUP(A258,'Land costs'!$A$2:$F$96,5,FALSE)</f>
        <v>623490608.57078338</v>
      </c>
      <c r="K258" s="29">
        <f>I258*(J258+Variables!$C$10*Variables!$C$5)</f>
        <v>1533503264.0234597</v>
      </c>
      <c r="L258" s="29">
        <f>(G258*Variables!$C$11+D258*Variables!$C$12)*Variables!$C$5</f>
        <v>191349714.87466952</v>
      </c>
    </row>
    <row r="259" spans="1:12" x14ac:dyDescent="0.35">
      <c r="A259" s="96">
        <v>4</v>
      </c>
      <c r="B259" s="87" t="s">
        <v>62</v>
      </c>
      <c r="C259" s="87">
        <v>2025</v>
      </c>
      <c r="D259" s="97">
        <f>Population!J5</f>
        <v>2496089.6909572538</v>
      </c>
      <c r="E259" s="92" t="str">
        <f t="shared" si="9"/>
        <v>Large</v>
      </c>
      <c r="F259" s="119">
        <f>Area!L5</f>
        <v>437.84569218969966</v>
      </c>
      <c r="G259" s="27">
        <f>D259*Variables!$C$9</f>
        <v>22.464807218615285</v>
      </c>
      <c r="H259" s="28">
        <f t="shared" si="11"/>
        <v>100.58253557595253</v>
      </c>
      <c r="I259" s="28">
        <f t="shared" si="10"/>
        <v>0</v>
      </c>
      <c r="J259" s="197">
        <f>VLOOKUP(A259,'Land costs'!$A$2:$F$96,5,FALSE)</f>
        <v>258664564.88983455</v>
      </c>
      <c r="K259" s="29">
        <f>I259*(J259+Variables!$C$10*Variables!$C$5)</f>
        <v>0</v>
      </c>
      <c r="L259" s="29">
        <f>(G259*Variables!$C$11+D259*Variables!$C$12)*Variables!$C$5</f>
        <v>40751035.725853786</v>
      </c>
    </row>
    <row r="260" spans="1:12" x14ac:dyDescent="0.35">
      <c r="A260" s="96">
        <v>5</v>
      </c>
      <c r="B260" s="87" t="s">
        <v>63</v>
      </c>
      <c r="C260" s="87">
        <v>2025</v>
      </c>
      <c r="D260" s="97">
        <f>Population!J6</f>
        <v>1170718.4765877828</v>
      </c>
      <c r="E260" s="92" t="str">
        <f t="shared" si="9"/>
        <v>Large</v>
      </c>
      <c r="F260" s="119">
        <f>Area!L6</f>
        <v>198.35291424701163</v>
      </c>
      <c r="G260" s="27">
        <f>D260*Variables!$C$9</f>
        <v>10.536466289290045</v>
      </c>
      <c r="H260" s="28">
        <f t="shared" si="11"/>
        <v>10.292533251235756</v>
      </c>
      <c r="I260" s="28">
        <f t="shared" si="10"/>
        <v>0.24393303805428879</v>
      </c>
      <c r="J260" s="197">
        <f>VLOOKUP(A260,'Land costs'!$A$2:$F$96,5,FALSE)</f>
        <v>258664564.88983455</v>
      </c>
      <c r="K260" s="29">
        <f>I260*(J260+Variables!$C$10*Variables!$C$5)</f>
        <v>64181851.325522535</v>
      </c>
      <c r="L260" s="29">
        <f>(G260*Variables!$C$11+D260*Variables!$C$12)*Variables!$C$5</f>
        <v>19113091.423429497</v>
      </c>
    </row>
    <row r="261" spans="1:12" x14ac:dyDescent="0.35">
      <c r="A261" s="96">
        <v>6</v>
      </c>
      <c r="B261" s="87" t="s">
        <v>64</v>
      </c>
      <c r="C261" s="87">
        <v>2025</v>
      </c>
      <c r="D261" s="97">
        <f>Population!J7</f>
        <v>1334769.9765314956</v>
      </c>
      <c r="E261" s="92" t="str">
        <f t="shared" ref="E261:E324" si="12">IF(D261&lt;100000,"Small",IF(D261&lt;1000000,"Medium","Large"))</f>
        <v>Large</v>
      </c>
      <c r="F261" s="119">
        <f>Area!L7</f>
        <v>170.85911903134047</v>
      </c>
      <c r="G261" s="27">
        <f>D261*Variables!$C$9</f>
        <v>12.01292978878346</v>
      </c>
      <c r="H261" s="28">
        <f t="shared" si="11"/>
        <v>11.734814680847375</v>
      </c>
      <c r="I261" s="28">
        <f t="shared" ref="I261:I324" si="13">IF(G261-H261&gt;0,G261-H261,0)</f>
        <v>0.27811510793608463</v>
      </c>
      <c r="J261" s="197">
        <f>VLOOKUP(A261,'Land costs'!$A$2:$F$96,5,FALSE)</f>
        <v>421303330.51817626</v>
      </c>
      <c r="K261" s="29">
        <f>I261*(J261+Variables!$C$10*Variables!$C$5)</f>
        <v>118407881.8262381</v>
      </c>
      <c r="L261" s="29">
        <f>(G261*Variables!$C$11+D261*Variables!$C$12)*Variables!$C$5</f>
        <v>21791388.024431169</v>
      </c>
    </row>
    <row r="262" spans="1:12" x14ac:dyDescent="0.35">
      <c r="A262" s="96">
        <v>7</v>
      </c>
      <c r="B262" s="87" t="s">
        <v>65</v>
      </c>
      <c r="C262" s="87">
        <v>2025</v>
      </c>
      <c r="D262" s="97">
        <f>Population!J8</f>
        <v>6450085.4967757976</v>
      </c>
      <c r="E262" s="92" t="str">
        <f t="shared" si="12"/>
        <v>Large</v>
      </c>
      <c r="F262" s="119">
        <f>Area!L8</f>
        <v>1157.793306864038</v>
      </c>
      <c r="G262" s="27">
        <f>D262*Variables!$C$9</f>
        <v>58.050769470982182</v>
      </c>
      <c r="H262" s="28">
        <f t="shared" si="11"/>
        <v>56.706817887058882</v>
      </c>
      <c r="I262" s="28">
        <f t="shared" si="13"/>
        <v>1.3439515839232996</v>
      </c>
      <c r="J262" s="197">
        <f>VLOOKUP(A262,'Land costs'!$A$2:$F$96,5,FALSE)</f>
        <v>368904372.20152247</v>
      </c>
      <c r="K262" s="29">
        <f>I262*(J262+Variables!$C$10*Variables!$C$5)</f>
        <v>501767534.13929427</v>
      </c>
      <c r="L262" s="29">
        <f>(G262*Variables!$C$11+D262*Variables!$C$12)*Variables!$C$5</f>
        <v>105303773.92533499</v>
      </c>
    </row>
    <row r="263" spans="1:12" x14ac:dyDescent="0.35">
      <c r="A263" s="96">
        <v>8</v>
      </c>
      <c r="B263" s="87" t="s">
        <v>66</v>
      </c>
      <c r="C263" s="87">
        <v>2025</v>
      </c>
      <c r="D263" s="97">
        <f>Population!J9</f>
        <v>61467.432588801312</v>
      </c>
      <c r="E263" s="92" t="str">
        <f t="shared" si="12"/>
        <v>Small</v>
      </c>
      <c r="F263" s="119">
        <f>Area!L9</f>
        <v>163.09017393643171</v>
      </c>
      <c r="G263" s="27">
        <f>D263*Variables!$C$9</f>
        <v>0.5532068932992118</v>
      </c>
      <c r="H263" s="28">
        <f t="shared" si="11"/>
        <v>0.54039942688210574</v>
      </c>
      <c r="I263" s="28">
        <f t="shared" si="13"/>
        <v>1.2807466417106061E-2</v>
      </c>
      <c r="J263" s="197">
        <f>VLOOKUP(A263,'Land costs'!$A$2:$F$96,5,FALSE)</f>
        <v>399734297.50693494</v>
      </c>
      <c r="K263" s="29">
        <f>I263*(J263+Variables!$C$10*Variables!$C$5)</f>
        <v>5176551.4128637007</v>
      </c>
      <c r="L263" s="29">
        <f>(G263*Variables!$C$11+D263*Variables!$C$12)*Variables!$C$5</f>
        <v>1003514.2368790979</v>
      </c>
    </row>
    <row r="264" spans="1:12" x14ac:dyDescent="0.35">
      <c r="A264" s="96">
        <v>9</v>
      </c>
      <c r="B264" s="87" t="s">
        <v>67</v>
      </c>
      <c r="C264" s="87">
        <v>2025</v>
      </c>
      <c r="D264" s="97">
        <f>Population!J10</f>
        <v>790625.927443753</v>
      </c>
      <c r="E264" s="92" t="str">
        <f t="shared" si="12"/>
        <v>Medium</v>
      </c>
      <c r="F264" s="119">
        <f>Area!L10</f>
        <v>440.78425388224798</v>
      </c>
      <c r="G264" s="27">
        <f>D264*Variables!$C$9</f>
        <v>7.1156333469937776</v>
      </c>
      <c r="H264" s="28">
        <f t="shared" si="11"/>
        <v>6.9508970860542894</v>
      </c>
      <c r="I264" s="28">
        <f t="shared" si="13"/>
        <v>0.16473626093948823</v>
      </c>
      <c r="J264" s="197">
        <f>VLOOKUP(A264,'Land costs'!$A$2:$F$96,5,FALSE)</f>
        <v>292630299.54426229</v>
      </c>
      <c r="K264" s="29">
        <f>I264*(J264+Variables!$C$10*Variables!$C$5)</f>
        <v>48939570.989166126</v>
      </c>
      <c r="L264" s="29">
        <f>(G264*Variables!$C$11+D264*Variables!$C$12)*Variables!$C$5</f>
        <v>12907719.434829567</v>
      </c>
    </row>
    <row r="265" spans="1:12" x14ac:dyDescent="0.35">
      <c r="A265" s="96">
        <v>10</v>
      </c>
      <c r="B265" s="87" t="s">
        <v>68</v>
      </c>
      <c r="C265" s="87">
        <v>2025</v>
      </c>
      <c r="D265" s="97">
        <f>Population!J11</f>
        <v>733693.38718744833</v>
      </c>
      <c r="E265" s="92" t="str">
        <f t="shared" si="12"/>
        <v>Medium</v>
      </c>
      <c r="F265" s="119">
        <f>Area!L11</f>
        <v>130.59295722140669</v>
      </c>
      <c r="G265" s="27">
        <f>D265*Variables!$C$9</f>
        <v>6.603240484687035</v>
      </c>
      <c r="H265" s="28">
        <f t="shared" si="11"/>
        <v>6.4503667917231944</v>
      </c>
      <c r="I265" s="28">
        <f t="shared" si="13"/>
        <v>0.15287369296384057</v>
      </c>
      <c r="J265" s="197">
        <f>VLOOKUP(A265,'Land costs'!$A$2:$F$96,5,FALSE)</f>
        <v>207178319.55590102</v>
      </c>
      <c r="K265" s="29">
        <f>I265*(J265+Variables!$C$10*Variables!$C$5)</f>
        <v>32352099.519263059</v>
      </c>
      <c r="L265" s="29">
        <f>(G265*Variables!$C$11+D265*Variables!$C$12)*Variables!$C$5</f>
        <v>11978241.623854537</v>
      </c>
    </row>
    <row r="266" spans="1:12" x14ac:dyDescent="0.35">
      <c r="A266" s="96">
        <v>11</v>
      </c>
      <c r="B266" s="87" t="s">
        <v>69</v>
      </c>
      <c r="C266" s="87">
        <v>2025</v>
      </c>
      <c r="D266" s="97">
        <f>Population!J12</f>
        <v>286178.49633113679</v>
      </c>
      <c r="E266" s="92" t="str">
        <f t="shared" si="12"/>
        <v>Medium</v>
      </c>
      <c r="F266" s="119">
        <f>Area!L12</f>
        <v>167.49801647525422</v>
      </c>
      <c r="G266" s="27">
        <f>D266*Variables!$C$9</f>
        <v>2.575606466980231</v>
      </c>
      <c r="H266" s="28">
        <f t="shared" si="11"/>
        <v>2.5159777932795064</v>
      </c>
      <c r="I266" s="28">
        <f t="shared" si="13"/>
        <v>5.9628673700724555E-2</v>
      </c>
      <c r="J266" s="197">
        <f>VLOOKUP(A266,'Land costs'!$A$2:$F$96,5,FALSE)</f>
        <v>446522393.21506435</v>
      </c>
      <c r="K266" s="29">
        <f>I266*(J266+Variables!$C$10*Variables!$C$5)</f>
        <v>26890767.408797901</v>
      </c>
      <c r="L266" s="29">
        <f>(G266*Variables!$C$11+D266*Variables!$C$12)*Variables!$C$5</f>
        <v>4672135.8492085496</v>
      </c>
    </row>
    <row r="267" spans="1:12" x14ac:dyDescent="0.35">
      <c r="A267" s="96">
        <v>12</v>
      </c>
      <c r="B267" s="87" t="s">
        <v>70</v>
      </c>
      <c r="C267" s="87">
        <v>2025</v>
      </c>
      <c r="D267" s="97">
        <f>Population!J13</f>
        <v>139206.06441896319</v>
      </c>
      <c r="E267" s="92" t="str">
        <f t="shared" si="12"/>
        <v>Medium</v>
      </c>
      <c r="F267" s="119">
        <f>Area!L13</f>
        <v>27.916336079209039</v>
      </c>
      <c r="G267" s="27">
        <f>D267*Variables!$C$9</f>
        <v>1.2528545797706687</v>
      </c>
      <c r="H267" s="28">
        <f t="shared" si="11"/>
        <v>1.2238493501716015</v>
      </c>
      <c r="I267" s="28">
        <f t="shared" si="13"/>
        <v>2.9005229599067262E-2</v>
      </c>
      <c r="J267" s="197">
        <f>VLOOKUP(A267,'Land costs'!$A$2:$F$96,5,FALSE)</f>
        <v>207178319.55590102</v>
      </c>
      <c r="K267" s="29">
        <f>I267*(J267+Variables!$C$10*Variables!$C$5)</f>
        <v>6138270.4661295451</v>
      </c>
      <c r="L267" s="29">
        <f>(G267*Variables!$C$11+D267*Variables!$C$12)*Variables!$C$5</f>
        <v>2272671.2605495956</v>
      </c>
    </row>
    <row r="268" spans="1:12" x14ac:dyDescent="0.35">
      <c r="A268" s="96">
        <v>13</v>
      </c>
      <c r="B268" s="87" t="s">
        <v>71</v>
      </c>
      <c r="C268" s="87">
        <v>2025</v>
      </c>
      <c r="D268" s="97">
        <f>Population!J14</f>
        <v>9344335.1254904196</v>
      </c>
      <c r="E268" s="92" t="str">
        <f t="shared" si="12"/>
        <v>Large</v>
      </c>
      <c r="F268" s="119">
        <f>Area!L14</f>
        <v>902.4065908320656</v>
      </c>
      <c r="G268" s="27">
        <f>D268*Variables!$C$9</f>
        <v>84.099016129413783</v>
      </c>
      <c r="H268" s="28">
        <f t="shared" si="11"/>
        <v>279.82566666666668</v>
      </c>
      <c r="I268" s="28">
        <f t="shared" si="13"/>
        <v>0</v>
      </c>
      <c r="J268" s="197">
        <f>VLOOKUP(A268,'Land costs'!$A$2:$F$96,5,FALSE)</f>
        <v>225281113.07128146</v>
      </c>
      <c r="K268" s="29">
        <f>I268*(J268+Variables!$C$10*Variables!$C$5)</f>
        <v>0</v>
      </c>
      <c r="L268" s="29">
        <f>(G268*Variables!$C$11+D268*Variables!$C$12)*Variables!$C$5</f>
        <v>152555148.92462721</v>
      </c>
    </row>
    <row r="269" spans="1:12" x14ac:dyDescent="0.35">
      <c r="A269" s="96">
        <v>14</v>
      </c>
      <c r="B269" s="87" t="s">
        <v>72</v>
      </c>
      <c r="C269" s="87">
        <v>2025</v>
      </c>
      <c r="D269" s="97">
        <f>Population!J15</f>
        <v>372345.61492068629</v>
      </c>
      <c r="E269" s="92" t="str">
        <f t="shared" si="12"/>
        <v>Medium</v>
      </c>
      <c r="F269" s="119">
        <f>Area!L15</f>
        <v>44.078425388224794</v>
      </c>
      <c r="G269" s="27">
        <f>D269*Variables!$C$9</f>
        <v>3.3511105342861769</v>
      </c>
      <c r="H269" s="28">
        <f t="shared" si="11"/>
        <v>3.273527922522395</v>
      </c>
      <c r="I269" s="28">
        <f t="shared" si="13"/>
        <v>7.7582611763781895E-2</v>
      </c>
      <c r="J269" s="197">
        <f>VLOOKUP(A269,'Land costs'!$A$2:$F$96,5,FALSE)</f>
        <v>172078376.43406156</v>
      </c>
      <c r="K269" s="29">
        <f>I269*(J269+Variables!$C$10*Variables!$C$5)</f>
        <v>13695378.608044401</v>
      </c>
      <c r="L269" s="29">
        <f>(G269*Variables!$C$11+D269*Variables!$C$12)*Variables!$C$5</f>
        <v>6078895.9270845912</v>
      </c>
    </row>
    <row r="270" spans="1:12" x14ac:dyDescent="0.35">
      <c r="A270" s="96">
        <v>15</v>
      </c>
      <c r="B270" s="87" t="s">
        <v>73</v>
      </c>
      <c r="C270" s="87">
        <v>2025</v>
      </c>
      <c r="D270" s="97">
        <f>Population!J16</f>
        <v>82577.516027003978</v>
      </c>
      <c r="E270" s="92" t="str">
        <f t="shared" si="12"/>
        <v>Small</v>
      </c>
      <c r="F270" s="119">
        <f>Area!L16</f>
        <v>245.36990132778465</v>
      </c>
      <c r="G270" s="27">
        <f>D270*Variables!$C$9</f>
        <v>0.7431976442430358</v>
      </c>
      <c r="H270" s="28">
        <f t="shared" si="11"/>
        <v>43.35</v>
      </c>
      <c r="I270" s="28">
        <f t="shared" si="13"/>
        <v>0</v>
      </c>
      <c r="J270" s="197">
        <f>VLOOKUP(A270,'Land costs'!$A$2:$F$96,5,FALSE)</f>
        <v>399734297.50693494</v>
      </c>
      <c r="K270" s="29">
        <f>I270*(J270+Variables!$C$10*Variables!$C$5)</f>
        <v>0</v>
      </c>
      <c r="L270" s="29">
        <f>(G270*Variables!$C$11+D270*Variables!$C$12)*Variables!$C$5</f>
        <v>1348156.4055809933</v>
      </c>
    </row>
    <row r="271" spans="1:12" x14ac:dyDescent="0.35">
      <c r="A271" s="96">
        <v>16</v>
      </c>
      <c r="B271" s="87" t="s">
        <v>74</v>
      </c>
      <c r="C271" s="87">
        <v>2025</v>
      </c>
      <c r="D271" s="97">
        <f>Population!J17</f>
        <v>4228350.545526416</v>
      </c>
      <c r="E271" s="92" t="str">
        <f t="shared" si="12"/>
        <v>Large</v>
      </c>
      <c r="F271" s="119">
        <f>Area!L17</f>
        <v>361.37530214830281</v>
      </c>
      <c r="G271" s="27">
        <f>D271*Variables!$C$9</f>
        <v>38.055154909737745</v>
      </c>
      <c r="H271" s="28">
        <f t="shared" si="11"/>
        <v>108.39099999999998</v>
      </c>
      <c r="I271" s="28">
        <f t="shared" si="13"/>
        <v>0</v>
      </c>
      <c r="J271" s="197">
        <f>VLOOKUP(A271,'Land costs'!$A$2:$F$96,5,FALSE)</f>
        <v>258664564.88983455</v>
      </c>
      <c r="K271" s="29">
        <f>I271*(J271+Variables!$C$10*Variables!$C$5)</f>
        <v>0</v>
      </c>
      <c r="L271" s="29">
        <f>(G271*Variables!$C$11+D271*Variables!$C$12)*Variables!$C$5</f>
        <v>69031839.988129333</v>
      </c>
    </row>
    <row r="272" spans="1:12" x14ac:dyDescent="0.35">
      <c r="A272" s="96">
        <v>17</v>
      </c>
      <c r="B272" s="87" t="s">
        <v>75</v>
      </c>
      <c r="C272" s="87">
        <v>2025</v>
      </c>
      <c r="D272" s="97">
        <f>Population!J18</f>
        <v>15560.496800516297</v>
      </c>
      <c r="E272" s="92" t="str">
        <f t="shared" si="12"/>
        <v>Small</v>
      </c>
      <c r="F272" s="119">
        <f>Area!L18</f>
        <v>2.8403968195655969</v>
      </c>
      <c r="G272" s="27">
        <f>D272*Variables!$C$9</f>
        <v>0.14004447120464669</v>
      </c>
      <c r="H272" s="28">
        <f t="shared" si="11"/>
        <v>0.13680225769722248</v>
      </c>
      <c r="I272" s="28">
        <f t="shared" si="13"/>
        <v>3.2422135074242076E-3</v>
      </c>
      <c r="J272" s="197">
        <f>VLOOKUP(A272,'Land costs'!$A$2:$F$96,5,FALSE)</f>
        <v>399734297.50693494</v>
      </c>
      <c r="K272" s="29">
        <f>I272*(J272+Variables!$C$10*Variables!$C$5)</f>
        <v>1310445.3578926427</v>
      </c>
      <c r="L272" s="29">
        <f>(G272*Variables!$C$11+D272*Variables!$C$12)*Variables!$C$5</f>
        <v>254039.89421016866</v>
      </c>
    </row>
    <row r="273" spans="1:12" x14ac:dyDescent="0.35">
      <c r="A273" s="96">
        <v>18</v>
      </c>
      <c r="B273" s="87" t="s">
        <v>76</v>
      </c>
      <c r="C273" s="87">
        <v>2025</v>
      </c>
      <c r="D273" s="97">
        <f>Population!J19</f>
        <v>137475.11531011004</v>
      </c>
      <c r="E273" s="92" t="str">
        <f t="shared" si="12"/>
        <v>Medium</v>
      </c>
      <c r="F273" s="119">
        <f>Area!L19</f>
        <v>29.385616925483198</v>
      </c>
      <c r="G273" s="27">
        <f>D273*Variables!$C$9</f>
        <v>1.2372760377909904</v>
      </c>
      <c r="H273" s="28">
        <f t="shared" si="11"/>
        <v>1.2086314719067992</v>
      </c>
      <c r="I273" s="28">
        <f t="shared" si="13"/>
        <v>2.8644565884191175E-2</v>
      </c>
      <c r="J273" s="197">
        <f>VLOOKUP(A273,'Land costs'!$A$2:$F$96,5,FALSE)</f>
        <v>207178319.55590102</v>
      </c>
      <c r="K273" s="29">
        <f>I273*(J273+Variables!$C$10*Variables!$C$5)</f>
        <v>6061944.5256067496</v>
      </c>
      <c r="L273" s="29">
        <f>(G273*Variables!$C$11+D273*Variables!$C$12)*Variables!$C$5</f>
        <v>2244411.8717824165</v>
      </c>
    </row>
    <row r="274" spans="1:12" x14ac:dyDescent="0.35">
      <c r="A274" s="96">
        <v>19</v>
      </c>
      <c r="B274" s="87" t="s">
        <v>77</v>
      </c>
      <c r="C274" s="87">
        <v>2025</v>
      </c>
      <c r="D274" s="97">
        <f>Population!J20</f>
        <v>6241819.1436129194</v>
      </c>
      <c r="E274" s="92" t="str">
        <f t="shared" si="12"/>
        <v>Large</v>
      </c>
      <c r="F274" s="119">
        <f>Area!L20</f>
        <v>1092.6365965014975</v>
      </c>
      <c r="G274" s="27">
        <f>D274*Variables!$C$9</f>
        <v>56.176372292516277</v>
      </c>
      <c r="H274" s="28">
        <f t="shared" si="11"/>
        <v>54.875815465972714</v>
      </c>
      <c r="I274" s="28">
        <f t="shared" si="13"/>
        <v>1.3005568265435627</v>
      </c>
      <c r="J274" s="197">
        <f>VLOOKUP(A274,'Land costs'!$A$2:$F$96,5,FALSE)</f>
        <v>69556263.81201373</v>
      </c>
      <c r="K274" s="29">
        <f>I274*(J274+Variables!$C$10*Variables!$C$5)</f>
        <v>96246771.936138943</v>
      </c>
      <c r="L274" s="29">
        <f>(G274*Variables!$C$11+D274*Variables!$C$12)*Variables!$C$5</f>
        <v>101903627.83724354</v>
      </c>
    </row>
    <row r="275" spans="1:12" x14ac:dyDescent="0.35">
      <c r="A275" s="96">
        <v>20</v>
      </c>
      <c r="B275" s="87" t="s">
        <v>78</v>
      </c>
      <c r="C275" s="87">
        <v>2025</v>
      </c>
      <c r="D275" s="97">
        <f>Population!J21</f>
        <v>3910397.2648722981</v>
      </c>
      <c r="E275" s="92" t="str">
        <f t="shared" si="12"/>
        <v>Large</v>
      </c>
      <c r="F275" s="119">
        <f>Area!L21</f>
        <v>495.14764519439183</v>
      </c>
      <c r="G275" s="27">
        <f>D275*Variables!$C$9</f>
        <v>35.193575383850686</v>
      </c>
      <c r="H275" s="28">
        <f t="shared" si="11"/>
        <v>38.65</v>
      </c>
      <c r="I275" s="28">
        <f t="shared" si="13"/>
        <v>0</v>
      </c>
      <c r="J275" s="197">
        <f>VLOOKUP(A275,'Land costs'!$A$2:$F$96,5,FALSE)</f>
        <v>423084709.93427253</v>
      </c>
      <c r="K275" s="29">
        <f>I275*(J275+Variables!$C$10*Variables!$C$5)</f>
        <v>0</v>
      </c>
      <c r="L275" s="29">
        <f>(G275*Variables!$C$11+D275*Variables!$C$12)*Variables!$C$5</f>
        <v>63840950.595801704</v>
      </c>
    </row>
    <row r="276" spans="1:12" x14ac:dyDescent="0.35">
      <c r="A276" s="96">
        <v>21</v>
      </c>
      <c r="B276" s="98" t="s">
        <v>79</v>
      </c>
      <c r="C276" s="87">
        <v>2025</v>
      </c>
      <c r="D276" s="97">
        <f>Population!J22</f>
        <v>17271142.306630719</v>
      </c>
      <c r="E276" s="92" t="str">
        <f t="shared" si="12"/>
        <v>Large</v>
      </c>
      <c r="F276" s="119">
        <f>Area!L22</f>
        <v>678.53705486044248</v>
      </c>
      <c r="G276" s="27">
        <f>D276*Variables!$C$9</f>
        <v>155.44028075967648</v>
      </c>
      <c r="H276" s="28">
        <f t="shared" si="11"/>
        <v>151.84163403309216</v>
      </c>
      <c r="I276" s="28">
        <f t="shared" si="13"/>
        <v>3.5986467265843203</v>
      </c>
      <c r="J276" s="197">
        <f>VLOOKUP(A276,'Land costs'!$A$2:$F$96,5,FALSE)</f>
        <v>136261714.31466237</v>
      </c>
      <c r="K276" s="29">
        <f>I276*(J276+Variables!$C$10*Variables!$C$5)</f>
        <v>506364612.14744675</v>
      </c>
      <c r="L276" s="29">
        <f>(G276*Variables!$C$11+D276*Variables!$C$12)*Variables!$C$5</f>
        <v>281967807.37229776</v>
      </c>
    </row>
    <row r="277" spans="1:12" x14ac:dyDescent="0.35">
      <c r="A277" s="96">
        <v>22</v>
      </c>
      <c r="B277" s="87" t="s">
        <v>80</v>
      </c>
      <c r="C277" s="87">
        <v>2025</v>
      </c>
      <c r="D277" s="97">
        <f>Population!J23</f>
        <v>15316963.226817226</v>
      </c>
      <c r="E277" s="92" t="str">
        <f t="shared" si="12"/>
        <v>Large</v>
      </c>
      <c r="F277" s="119">
        <f>Area!L23</f>
        <v>1148.9776217863928</v>
      </c>
      <c r="G277" s="27">
        <f>D277*Variables!$C$9</f>
        <v>137.85266904135503</v>
      </c>
      <c r="H277" s="28">
        <f t="shared" si="11"/>
        <v>134.66119863373549</v>
      </c>
      <c r="I277" s="28">
        <f t="shared" si="13"/>
        <v>3.1914704076195335</v>
      </c>
      <c r="J277" s="197">
        <f>VLOOKUP(A277,'Land costs'!$A$2:$F$96,5,FALSE)</f>
        <v>181431544.56336635</v>
      </c>
      <c r="K277" s="29">
        <f>I277*(J277+Variables!$C$10*Variables!$C$5)</f>
        <v>593229118.4730947</v>
      </c>
      <c r="L277" s="29">
        <f>(G277*Variables!$C$11+D277*Variables!$C$12)*Variables!$C$5</f>
        <v>250063977.23963308</v>
      </c>
    </row>
    <row r="278" spans="1:12" x14ac:dyDescent="0.35">
      <c r="A278" s="96">
        <v>23</v>
      </c>
      <c r="B278" s="87" t="s">
        <v>81</v>
      </c>
      <c r="C278" s="87">
        <v>2025</v>
      </c>
      <c r="D278" s="97">
        <f>Population!J24</f>
        <v>55547.225732940293</v>
      </c>
      <c r="E278" s="92" t="str">
        <f t="shared" si="12"/>
        <v>Small</v>
      </c>
      <c r="F278" s="119">
        <f>Area!L24</f>
        <v>109.01396443786496</v>
      </c>
      <c r="G278" s="27">
        <f>D278*Variables!$C$9</f>
        <v>0.49992503159646262</v>
      </c>
      <c r="H278" s="28">
        <f t="shared" si="11"/>
        <v>0.8</v>
      </c>
      <c r="I278" s="28">
        <f t="shared" si="13"/>
        <v>0</v>
      </c>
      <c r="J278" s="197">
        <f>VLOOKUP(A278,'Land costs'!$A$2:$F$96,5,FALSE)</f>
        <v>679160605.168293</v>
      </c>
      <c r="K278" s="29">
        <f>I278*(J278+Variables!$C$10*Variables!$C$5)</f>
        <v>0</v>
      </c>
      <c r="L278" s="29">
        <f>(G278*Variables!$C$11+D278*Variables!$C$12)*Variables!$C$5</f>
        <v>906861.23520145565</v>
      </c>
    </row>
    <row r="279" spans="1:12" x14ac:dyDescent="0.35">
      <c r="A279" s="96">
        <v>24</v>
      </c>
      <c r="B279" s="87" t="s">
        <v>82</v>
      </c>
      <c r="C279" s="87">
        <v>2025</v>
      </c>
      <c r="D279" s="97">
        <f>Population!J25</f>
        <v>2337852.9029758396</v>
      </c>
      <c r="E279" s="92" t="str">
        <f t="shared" si="12"/>
        <v>Large</v>
      </c>
      <c r="F279" s="119">
        <f>Area!L25</f>
        <v>111.66534431683617</v>
      </c>
      <c r="G279" s="27">
        <f>D279*Variables!$C$9</f>
        <v>21.040676126782557</v>
      </c>
      <c r="H279" s="28">
        <f t="shared" si="11"/>
        <v>20.5535568299136</v>
      </c>
      <c r="I279" s="28">
        <f t="shared" si="13"/>
        <v>0.48711929686895772</v>
      </c>
      <c r="J279" s="197">
        <f>VLOOKUP(A279,'Land costs'!$A$2:$F$96,5,FALSE)</f>
        <v>273857556.71751869</v>
      </c>
      <c r="K279" s="29">
        <f>I279*(J279+Variables!$C$10*Variables!$C$5)</f>
        <v>135568015.13402745</v>
      </c>
      <c r="L279" s="29">
        <f>(G279*Variables!$C$11+D279*Variables!$C$12)*Variables!$C$5</f>
        <v>38167669.822162241</v>
      </c>
    </row>
    <row r="280" spans="1:12" x14ac:dyDescent="0.35">
      <c r="A280" s="96">
        <v>25</v>
      </c>
      <c r="B280" s="87" t="s">
        <v>83</v>
      </c>
      <c r="C280" s="87">
        <v>2025</v>
      </c>
      <c r="D280" s="97">
        <f>Population!J26</f>
        <v>335602.85396531905</v>
      </c>
      <c r="E280" s="92" t="str">
        <f t="shared" si="12"/>
        <v>Medium</v>
      </c>
      <c r="F280" s="119">
        <f>Area!L26</f>
        <v>198.3529142470116</v>
      </c>
      <c r="G280" s="27">
        <f>D280*Variables!$C$9</f>
        <v>3.0204256856878717</v>
      </c>
      <c r="H280" s="28">
        <f t="shared" si="11"/>
        <v>2.9504988626432271</v>
      </c>
      <c r="I280" s="28">
        <f t="shared" si="13"/>
        <v>6.9926823044644593E-2</v>
      </c>
      <c r="J280" s="197">
        <f>VLOOKUP(A280,'Land costs'!$A$2:$F$96,5,FALSE)</f>
        <v>202576692.05248237</v>
      </c>
      <c r="K280" s="29">
        <f>I280*(J280+Variables!$C$10*Variables!$C$5)</f>
        <v>14476580.159899471</v>
      </c>
      <c r="L280" s="29">
        <f>(G280*Variables!$C$11+D280*Variables!$C$12)*Variables!$C$5</f>
        <v>5479035.445394746</v>
      </c>
    </row>
    <row r="281" spans="1:12" x14ac:dyDescent="0.35">
      <c r="A281" s="96">
        <v>26</v>
      </c>
      <c r="B281" s="87" t="s">
        <v>84</v>
      </c>
      <c r="C281" s="87">
        <v>2025</v>
      </c>
      <c r="D281" s="97">
        <f>Population!J27</f>
        <v>139067.25534848581</v>
      </c>
      <c r="E281" s="92" t="str">
        <f t="shared" si="12"/>
        <v>Medium</v>
      </c>
      <c r="F281" s="119">
        <f>Area!L27</f>
        <v>708.19336790414502</v>
      </c>
      <c r="G281" s="27">
        <f>D281*Variables!$C$9</f>
        <v>1.2516052981363723</v>
      </c>
      <c r="H281" s="28">
        <f t="shared" si="11"/>
        <v>1.2226289910485222</v>
      </c>
      <c r="I281" s="28">
        <f t="shared" si="13"/>
        <v>2.8976307087850151E-2</v>
      </c>
      <c r="J281" s="197">
        <f>VLOOKUP(A281,'Land costs'!$A$2:$F$96,5,FALSE)</f>
        <v>207178319.55590102</v>
      </c>
      <c r="K281" s="29">
        <f>I281*(J281+Variables!$C$10*Variables!$C$5)</f>
        <v>6132149.7010515118</v>
      </c>
      <c r="L281" s="29">
        <f>(G281*Variables!$C$11+D281*Variables!$C$12)*Variables!$C$5</f>
        <v>2270405.0705923247</v>
      </c>
    </row>
    <row r="282" spans="1:12" x14ac:dyDescent="0.35">
      <c r="A282" s="96">
        <v>27</v>
      </c>
      <c r="B282" s="87" t="s">
        <v>85</v>
      </c>
      <c r="C282" s="87">
        <v>2025</v>
      </c>
      <c r="D282" s="97">
        <f>Population!J28</f>
        <v>1402572.6550968853</v>
      </c>
      <c r="E282" s="92" t="str">
        <f t="shared" si="12"/>
        <v>Large</v>
      </c>
      <c r="F282" s="119">
        <f>Area!L28</f>
        <v>132.23324450666877</v>
      </c>
      <c r="G282" s="27">
        <f>D282*Variables!$C$9</f>
        <v>12.623153895871967</v>
      </c>
      <c r="H282" s="28">
        <f t="shared" si="11"/>
        <v>27.873100000000001</v>
      </c>
      <c r="I282" s="28">
        <f t="shared" si="13"/>
        <v>0</v>
      </c>
      <c r="J282" s="197">
        <f>VLOOKUP(A282,'Land costs'!$A$2:$F$96,5,FALSE)</f>
        <v>194110385.46713075</v>
      </c>
      <c r="K282" s="29">
        <f>I282*(J282+Variables!$C$10*Variables!$C$5)</f>
        <v>0</v>
      </c>
      <c r="L282" s="29">
        <f>(G282*Variables!$C$11+D282*Variables!$C$12)*Variables!$C$5</f>
        <v>22898331.170960151</v>
      </c>
    </row>
    <row r="283" spans="1:12" x14ac:dyDescent="0.35">
      <c r="A283" s="96">
        <v>28</v>
      </c>
      <c r="B283" s="87" t="s">
        <v>86</v>
      </c>
      <c r="C283" s="87">
        <v>2025</v>
      </c>
      <c r="D283" s="97">
        <f>Population!J29</f>
        <v>1490014.0409534173</v>
      </c>
      <c r="E283" s="92" t="str">
        <f t="shared" si="12"/>
        <v>Large</v>
      </c>
      <c r="F283" s="119">
        <f>Area!L29</f>
        <v>170.43657816780245</v>
      </c>
      <c r="G283" s="27">
        <f>D283*Variables!$C$9</f>
        <v>13.410126368580755</v>
      </c>
      <c r="H283" s="28">
        <f t="shared" si="11"/>
        <v>59.512458633395788</v>
      </c>
      <c r="I283" s="28">
        <f t="shared" si="13"/>
        <v>0</v>
      </c>
      <c r="J283" s="197">
        <f>VLOOKUP(A283,'Land costs'!$A$2:$F$96,5,FALSE)</f>
        <v>106495314.22538668</v>
      </c>
      <c r="K283" s="29">
        <f>I283*(J283+Variables!$C$10*Variables!$C$5)</f>
        <v>0</v>
      </c>
      <c r="L283" s="29">
        <f>(G283*Variables!$C$11+D283*Variables!$C$12)*Variables!$C$5</f>
        <v>24325894.872643951</v>
      </c>
    </row>
    <row r="284" spans="1:12" x14ac:dyDescent="0.35">
      <c r="A284" s="96">
        <v>29</v>
      </c>
      <c r="B284" s="87" t="s">
        <v>87</v>
      </c>
      <c r="C284" s="87">
        <v>2025</v>
      </c>
      <c r="D284" s="97">
        <f>Population!J30</f>
        <v>198814.84355407214</v>
      </c>
      <c r="E284" s="92" t="str">
        <f t="shared" si="12"/>
        <v>Medium</v>
      </c>
      <c r="F284" s="119">
        <f>Area!L30</f>
        <v>957.97111177075215</v>
      </c>
      <c r="G284" s="27">
        <f>D284*Variables!$C$9</f>
        <v>1.7893335919866493</v>
      </c>
      <c r="H284" s="28">
        <f t="shared" si="11"/>
        <v>1.7479081683956716</v>
      </c>
      <c r="I284" s="28">
        <f t="shared" si="13"/>
        <v>4.1425423590977672E-2</v>
      </c>
      <c r="J284" s="197">
        <f>VLOOKUP(A284,'Land costs'!$A$2:$F$96,5,FALSE)</f>
        <v>207178319.55590102</v>
      </c>
      <c r="K284" s="29">
        <f>I284*(J284+Variables!$C$10*Variables!$C$5)</f>
        <v>8766710.6135778148</v>
      </c>
      <c r="L284" s="29">
        <f>(G284*Variables!$C$11+D284*Variables!$C$12)*Variables!$C$5</f>
        <v>3245841.2139008245</v>
      </c>
    </row>
    <row r="285" spans="1:12" x14ac:dyDescent="0.35">
      <c r="A285" s="96">
        <v>30</v>
      </c>
      <c r="B285" s="87" t="s">
        <v>88</v>
      </c>
      <c r="C285" s="87">
        <v>2025</v>
      </c>
      <c r="D285" s="97">
        <f>Population!J31</f>
        <v>136400.73310461498</v>
      </c>
      <c r="E285" s="92" t="str">
        <f t="shared" si="12"/>
        <v>Medium</v>
      </c>
      <c r="F285" s="119">
        <f>Area!L31</f>
        <v>95.5032550078204</v>
      </c>
      <c r="G285" s="27">
        <f>D285*Variables!$C$9</f>
        <v>1.2276065979415349</v>
      </c>
      <c r="H285" s="28">
        <f t="shared" si="11"/>
        <v>1.1991858922941629</v>
      </c>
      <c r="I285" s="28">
        <f t="shared" si="13"/>
        <v>2.842070564737198E-2</v>
      </c>
      <c r="J285" s="197">
        <f>VLOOKUP(A285,'Land costs'!$A$2:$F$96,5,FALSE)</f>
        <v>207178319.55590102</v>
      </c>
      <c r="K285" s="29">
        <f>I285*(J285+Variables!$C$10*Variables!$C$5)</f>
        <v>6014569.8039030386</v>
      </c>
      <c r="L285" s="29">
        <f>(G285*Variables!$C$11+D285*Variables!$C$12)*Variables!$C$5</f>
        <v>2226871.5615131329</v>
      </c>
    </row>
    <row r="286" spans="1:12" x14ac:dyDescent="0.35">
      <c r="A286" s="96">
        <v>31</v>
      </c>
      <c r="B286" s="87" t="s">
        <v>89</v>
      </c>
      <c r="C286" s="87">
        <v>2025</v>
      </c>
      <c r="D286" s="97">
        <f>Population!J32</f>
        <v>235389.64553416171</v>
      </c>
      <c r="E286" s="92" t="str">
        <f t="shared" si="12"/>
        <v>Medium</v>
      </c>
      <c r="F286" s="119">
        <f>Area!L32</f>
        <v>721.41689552061246</v>
      </c>
      <c r="G286" s="27">
        <f>D286*Variables!$C$9</f>
        <v>2.1185068098074553</v>
      </c>
      <c r="H286" s="28">
        <f t="shared" si="11"/>
        <v>2.0694605937359141</v>
      </c>
      <c r="I286" s="28">
        <f t="shared" si="13"/>
        <v>4.9046216071541249E-2</v>
      </c>
      <c r="J286" s="197">
        <f>VLOOKUP(A286,'Land costs'!$A$2:$F$96,5,FALSE)</f>
        <v>207178319.55590102</v>
      </c>
      <c r="K286" s="29">
        <f>I286*(J286+Variables!$C$10*Variables!$C$5)</f>
        <v>10379471.003981683</v>
      </c>
      <c r="L286" s="29">
        <f>(G286*Variables!$C$11+D286*Variables!$C$12)*Variables!$C$5</f>
        <v>3842959.6057423702</v>
      </c>
    </row>
    <row r="287" spans="1:12" x14ac:dyDescent="0.35">
      <c r="A287" s="96">
        <v>32</v>
      </c>
      <c r="B287" s="87" t="s">
        <v>90</v>
      </c>
      <c r="C287" s="87">
        <v>2025</v>
      </c>
      <c r="D287" s="97">
        <f>Population!J33</f>
        <v>1638738.2433350156</v>
      </c>
      <c r="E287" s="92" t="str">
        <f t="shared" si="12"/>
        <v>Large</v>
      </c>
      <c r="F287" s="119">
        <f>Area!L33</f>
        <v>42.609144541950634</v>
      </c>
      <c r="G287" s="27">
        <f>D287*Variables!$C$9</f>
        <v>14.74864419001514</v>
      </c>
      <c r="H287" s="28">
        <f t="shared" si="11"/>
        <v>14.407193699340763</v>
      </c>
      <c r="I287" s="28">
        <f t="shared" si="13"/>
        <v>0.3414504906743776</v>
      </c>
      <c r="J287" s="197">
        <f>VLOOKUP(A287,'Land costs'!$A$2:$F$96,5,FALSE)</f>
        <v>258664564.88983455</v>
      </c>
      <c r="K287" s="29">
        <f>I287*(J287+Variables!$C$10*Variables!$C$5)</f>
        <v>89839920.013673261</v>
      </c>
      <c r="L287" s="29">
        <f>(G287*Variables!$C$11+D287*Variables!$C$12)*Variables!$C$5</f>
        <v>26753958.778563671</v>
      </c>
    </row>
    <row r="288" spans="1:12" x14ac:dyDescent="0.35">
      <c r="A288" s="96">
        <v>33</v>
      </c>
      <c r="B288" s="87" t="s">
        <v>91</v>
      </c>
      <c r="C288" s="87">
        <v>2025</v>
      </c>
      <c r="D288" s="97">
        <f>Population!J34</f>
        <v>1032310.5643240648</v>
      </c>
      <c r="E288" s="92" t="str">
        <f t="shared" si="12"/>
        <v>Large</v>
      </c>
      <c r="F288" s="119">
        <f>Area!L34</f>
        <v>355.56596479834656</v>
      </c>
      <c r="G288" s="27">
        <f>D288*Variables!$C$9</f>
        <v>9.2907950789165827</v>
      </c>
      <c r="H288" s="28">
        <f t="shared" si="11"/>
        <v>9.0757009660218628</v>
      </c>
      <c r="I288" s="28">
        <f t="shared" si="13"/>
        <v>0.21509411289471991</v>
      </c>
      <c r="J288" s="197">
        <f>VLOOKUP(A288,'Land costs'!$A$2:$F$96,5,FALSE)</f>
        <v>147442586.65970939</v>
      </c>
      <c r="K288" s="29">
        <f>I288*(J288+Variables!$C$10*Variables!$C$5)</f>
        <v>32670774.540854543</v>
      </c>
      <c r="L288" s="29">
        <f>(G288*Variables!$C$11+D288*Variables!$C$12)*Variables!$C$5</f>
        <v>16853450.75513421</v>
      </c>
    </row>
    <row r="289" spans="1:12" x14ac:dyDescent="0.35">
      <c r="A289" s="96">
        <v>34</v>
      </c>
      <c r="B289" s="87" t="s">
        <v>92</v>
      </c>
      <c r="C289" s="87">
        <v>2025</v>
      </c>
      <c r="D289" s="97">
        <f>Population!J35</f>
        <v>597176.05446363229</v>
      </c>
      <c r="E289" s="92" t="str">
        <f t="shared" si="12"/>
        <v>Medium</v>
      </c>
      <c r="F289" s="119">
        <f>Area!L35</f>
        <v>108.16522825978586</v>
      </c>
      <c r="G289" s="27">
        <f>D289*Variables!$C$9</f>
        <v>5.3745844901726905</v>
      </c>
      <c r="H289" s="28">
        <f t="shared" si="11"/>
        <v>5.250155797765645</v>
      </c>
      <c r="I289" s="28">
        <f t="shared" si="13"/>
        <v>0.12442869240704546</v>
      </c>
      <c r="J289" s="197">
        <f>VLOOKUP(A289,'Land costs'!$A$2:$F$96,5,FALSE)</f>
        <v>382950815.48123109</v>
      </c>
      <c r="K289" s="29">
        <f>I289*(J289+Variables!$C$10*Variables!$C$5)</f>
        <v>48203530.101805858</v>
      </c>
      <c r="L289" s="29">
        <f>(G289*Variables!$C$11+D289*Variables!$C$12)*Variables!$C$5</f>
        <v>9749466.4627772942</v>
      </c>
    </row>
    <row r="290" spans="1:12" x14ac:dyDescent="0.35">
      <c r="A290" s="96">
        <v>35</v>
      </c>
      <c r="B290" s="87" t="s">
        <v>93</v>
      </c>
      <c r="C290" s="87">
        <v>2025</v>
      </c>
      <c r="D290" s="97">
        <f>Population!J36</f>
        <v>254412.04055238431</v>
      </c>
      <c r="E290" s="92" t="str">
        <f t="shared" si="12"/>
        <v>Medium</v>
      </c>
      <c r="F290" s="119">
        <f>Area!L36</f>
        <v>36.783682950696225</v>
      </c>
      <c r="G290" s="27">
        <f>D290*Variables!$C$9</f>
        <v>2.2897083649714589</v>
      </c>
      <c r="H290" s="28">
        <f t="shared" si="11"/>
        <v>2.2366986079627416</v>
      </c>
      <c r="I290" s="28">
        <f t="shared" si="13"/>
        <v>5.3009757008717351E-2</v>
      </c>
      <c r="J290" s="197">
        <f>VLOOKUP(A290,'Land costs'!$A$2:$F$96,5,FALSE)</f>
        <v>83219953.906071469</v>
      </c>
      <c r="K290" s="29">
        <f>I290*(J290+Variables!$C$10*Variables!$C$5)</f>
        <v>4647257.8079765374</v>
      </c>
      <c r="L290" s="29">
        <f>(G290*Variables!$C$11+D290*Variables!$C$12)*Variables!$C$5</f>
        <v>4153518.2774868985</v>
      </c>
    </row>
    <row r="291" spans="1:12" x14ac:dyDescent="0.35">
      <c r="A291" s="96">
        <v>36</v>
      </c>
      <c r="B291" s="87" t="s">
        <v>94</v>
      </c>
      <c r="C291" s="87">
        <v>2025</v>
      </c>
      <c r="D291" s="97">
        <f>Population!J37</f>
        <v>1631167.5966311784</v>
      </c>
      <c r="E291" s="92" t="str">
        <f t="shared" si="12"/>
        <v>Large</v>
      </c>
      <c r="F291" s="119">
        <f>Area!L37</f>
        <v>68.887784934292071</v>
      </c>
      <c r="G291" s="27">
        <f>D291*Variables!$C$9</f>
        <v>14.680508369680606</v>
      </c>
      <c r="H291" s="28">
        <f t="shared" si="11"/>
        <v>14.340635312768002</v>
      </c>
      <c r="I291" s="28">
        <f t="shared" si="13"/>
        <v>0.33987305691260339</v>
      </c>
      <c r="J291" s="197">
        <f>VLOOKUP(A291,'Land costs'!$A$2:$F$96,5,FALSE)</f>
        <v>115153966.74863443</v>
      </c>
      <c r="K291" s="29">
        <f>I291*(J291+Variables!$C$10*Variables!$C$5)</f>
        <v>40649491.655056238</v>
      </c>
      <c r="L291" s="29">
        <f>(G291*Variables!$C$11+D291*Variables!$C$12)*Variables!$C$5</f>
        <v>26630360.778294072</v>
      </c>
    </row>
    <row r="292" spans="1:12" x14ac:dyDescent="0.35">
      <c r="A292" s="96">
        <v>37</v>
      </c>
      <c r="B292" s="87" t="s">
        <v>95</v>
      </c>
      <c r="C292" s="87">
        <v>2025</v>
      </c>
      <c r="D292" s="97">
        <f>Population!J38</f>
        <v>272144.89930587186</v>
      </c>
      <c r="E292" s="92" t="str">
        <f t="shared" si="12"/>
        <v>Medium</v>
      </c>
      <c r="F292" s="119">
        <f>Area!L38</f>
        <v>28.948105517411829</v>
      </c>
      <c r="G292" s="27">
        <f>D292*Variables!$C$9</f>
        <v>2.449304093752847</v>
      </c>
      <c r="H292" s="28">
        <f t="shared" si="11"/>
        <v>2.3925994859361599</v>
      </c>
      <c r="I292" s="28">
        <f t="shared" si="13"/>
        <v>5.6704607816687069E-2</v>
      </c>
      <c r="J292" s="197">
        <f>VLOOKUP(A292,'Land costs'!$A$2:$F$96,5,FALSE)</f>
        <v>135804860.55953482</v>
      </c>
      <c r="K292" s="29">
        <f>I292*(J292+Variables!$C$10*Variables!$C$5)</f>
        <v>7952984.3880776512</v>
      </c>
      <c r="L292" s="29">
        <f>(G292*Variables!$C$11+D292*Variables!$C$12)*Variables!$C$5</f>
        <v>4443024.0445283707</v>
      </c>
    </row>
    <row r="293" spans="1:12" x14ac:dyDescent="0.35">
      <c r="A293" s="96">
        <v>38</v>
      </c>
      <c r="B293" s="87" t="s">
        <v>96</v>
      </c>
      <c r="C293" s="87">
        <v>2025</v>
      </c>
      <c r="D293" s="97">
        <f>Population!J39</f>
        <v>1196806.2532933049</v>
      </c>
      <c r="E293" s="92" t="str">
        <f t="shared" si="12"/>
        <v>Large</v>
      </c>
      <c r="F293" s="119">
        <f>Area!L39</f>
        <v>116.44538685575434</v>
      </c>
      <c r="G293" s="27">
        <f>D293*Variables!$C$9</f>
        <v>10.771256279639745</v>
      </c>
      <c r="H293" s="28">
        <f t="shared" si="11"/>
        <v>10.521887544827335</v>
      </c>
      <c r="I293" s="28">
        <f t="shared" si="13"/>
        <v>0.24936873481241051</v>
      </c>
      <c r="J293" s="197">
        <f>VLOOKUP(A293,'Land costs'!$A$2:$F$96,5,FALSE)</f>
        <v>223708463.42310071</v>
      </c>
      <c r="K293" s="29">
        <f>I293*(J293+Variables!$C$10*Variables!$C$5)</f>
        <v>56895092.734399185</v>
      </c>
      <c r="L293" s="29">
        <f>(G293*Variables!$C$11+D293*Variables!$C$12)*Variables!$C$5</f>
        <v>19538999.163999155</v>
      </c>
    </row>
    <row r="294" spans="1:12" x14ac:dyDescent="0.35">
      <c r="A294" s="96">
        <v>39</v>
      </c>
      <c r="B294" s="87" t="s">
        <v>97</v>
      </c>
      <c r="C294" s="87">
        <v>2025</v>
      </c>
      <c r="D294" s="97">
        <f>Population!J40</f>
        <v>98526.67822485698</v>
      </c>
      <c r="E294" s="92" t="str">
        <f t="shared" si="12"/>
        <v>Small</v>
      </c>
      <c r="F294" s="119">
        <f>Area!L40</f>
        <v>27.751003409548932</v>
      </c>
      <c r="G294" s="27">
        <f>D294*Variables!$C$9</f>
        <v>0.88674010402371284</v>
      </c>
      <c r="H294" s="28">
        <f t="shared" si="11"/>
        <v>0.86621090556189584</v>
      </c>
      <c r="I294" s="28">
        <f t="shared" si="13"/>
        <v>2.0529198461817E-2</v>
      </c>
      <c r="J294" s="197">
        <f>VLOOKUP(A294,'Land costs'!$A$2:$F$96,5,FALSE)</f>
        <v>399734297.50693494</v>
      </c>
      <c r="K294" s="29">
        <f>I294*(J294+Variables!$C$10*Variables!$C$5)</f>
        <v>8297538.9387349784</v>
      </c>
      <c r="L294" s="29">
        <f>(G294*Variables!$C$11+D294*Variables!$C$12)*Variables!$C$5</f>
        <v>1608541.6316715225</v>
      </c>
    </row>
    <row r="295" spans="1:12" x14ac:dyDescent="0.35">
      <c r="A295" s="96">
        <v>40</v>
      </c>
      <c r="B295" s="87" t="s">
        <v>98</v>
      </c>
      <c r="C295" s="87">
        <v>2025</v>
      </c>
      <c r="D295" s="97">
        <f>Population!J41</f>
        <v>175921.06356023491</v>
      </c>
      <c r="E295" s="92" t="str">
        <f t="shared" si="12"/>
        <v>Medium</v>
      </c>
      <c r="F295" s="119">
        <f>Area!L41</f>
        <v>38.742577309017335</v>
      </c>
      <c r="G295" s="27">
        <f>D295*Variables!$C$9</f>
        <v>1.5832895720421143</v>
      </c>
      <c r="H295" s="28">
        <f t="shared" si="11"/>
        <v>1.5466343382261543</v>
      </c>
      <c r="I295" s="28">
        <f t="shared" si="13"/>
        <v>3.6655233815960031E-2</v>
      </c>
      <c r="J295" s="197">
        <f>VLOOKUP(A295,'Land costs'!$A$2:$F$96,5,FALSE)</f>
        <v>101660475.1170758</v>
      </c>
      <c r="K295" s="29">
        <f>I295*(J295+Variables!$C$10*Variables!$C$5)</f>
        <v>3889431.5696009696</v>
      </c>
      <c r="L295" s="29">
        <f>(G295*Variables!$C$11+D295*Variables!$C$12)*Variables!$C$5</f>
        <v>2872078.5042479862</v>
      </c>
    </row>
    <row r="296" spans="1:12" x14ac:dyDescent="0.35">
      <c r="A296" s="96">
        <v>41</v>
      </c>
      <c r="B296" s="87" t="s">
        <v>99</v>
      </c>
      <c r="C296" s="87">
        <v>2025</v>
      </c>
      <c r="D296" s="97">
        <f>Population!J42</f>
        <v>84673.532991212676</v>
      </c>
      <c r="E296" s="92" t="str">
        <f t="shared" si="12"/>
        <v>Small</v>
      </c>
      <c r="F296" s="119">
        <f>Area!L42</f>
        <v>15.453499937866463</v>
      </c>
      <c r="G296" s="27">
        <f>D296*Variables!$C$9</f>
        <v>0.76206179692091414</v>
      </c>
      <c r="H296" s="28">
        <f t="shared" si="11"/>
        <v>0.74441906507855227</v>
      </c>
      <c r="I296" s="28">
        <f t="shared" si="13"/>
        <v>1.764273184236187E-2</v>
      </c>
      <c r="J296" s="197">
        <f>VLOOKUP(A296,'Land costs'!$A$2:$F$96,5,FALSE)</f>
        <v>399734297.50693494</v>
      </c>
      <c r="K296" s="29">
        <f>I296*(J296+Variables!$C$10*Variables!$C$5)</f>
        <v>7130880.1812177673</v>
      </c>
      <c r="L296" s="29">
        <f>(G296*Variables!$C$11+D296*Variables!$C$12)*Variables!$C$5</f>
        <v>1382375.8739357973</v>
      </c>
    </row>
    <row r="297" spans="1:12" x14ac:dyDescent="0.35">
      <c r="A297" s="96">
        <v>42</v>
      </c>
      <c r="B297" s="87" t="s">
        <v>100</v>
      </c>
      <c r="C297" s="87">
        <v>2025</v>
      </c>
      <c r="D297" s="97">
        <f>Population!J43</f>
        <v>104856.37183862632</v>
      </c>
      <c r="E297" s="92" t="str">
        <f t="shared" si="12"/>
        <v>Medium</v>
      </c>
      <c r="F297" s="119">
        <f>Area!L43</f>
        <v>16.324119652675844</v>
      </c>
      <c r="G297" s="27">
        <f>D297*Variables!$C$9</f>
        <v>0.94370734654763688</v>
      </c>
      <c r="H297" s="28">
        <f t="shared" si="11"/>
        <v>0.92185928157432517</v>
      </c>
      <c r="I297" s="28">
        <f t="shared" si="13"/>
        <v>2.1848064973311709E-2</v>
      </c>
      <c r="J297" s="197">
        <f>VLOOKUP(A297,'Land costs'!$A$2:$F$96,5,FALSE)</f>
        <v>189319723.52178472</v>
      </c>
      <c r="K297" s="29">
        <f>I297*(J297+Variables!$C$10*Variables!$C$5)</f>
        <v>4233450.1734405644</v>
      </c>
      <c r="L297" s="29">
        <f>(G297*Variables!$C$11+D297*Variables!$C$12)*Variables!$C$5</f>
        <v>1711879.8937231165</v>
      </c>
    </row>
    <row r="298" spans="1:12" x14ac:dyDescent="0.35">
      <c r="A298" s="96">
        <v>1</v>
      </c>
      <c r="B298" s="87" t="s">
        <v>59</v>
      </c>
      <c r="C298" s="87">
        <v>2026</v>
      </c>
      <c r="D298" s="97">
        <f>Population!K2</f>
        <v>568401.06574466662</v>
      </c>
      <c r="E298" s="92" t="str">
        <f t="shared" si="12"/>
        <v>Medium</v>
      </c>
      <c r="F298" s="119">
        <f>Area!M2</f>
        <v>113.25085630510765</v>
      </c>
      <c r="G298" s="27">
        <f>D298*Variables!$C$9</f>
        <v>5.1156095917019995</v>
      </c>
      <c r="H298" s="28">
        <f t="shared" si="11"/>
        <v>4.9971765084516946</v>
      </c>
      <c r="I298" s="28">
        <f t="shared" si="13"/>
        <v>0.11843308325030488</v>
      </c>
      <c r="J298" s="197">
        <f>VLOOKUP(A298,'Land costs'!$A$2:$F$96,5,FALSE)</f>
        <v>349411907.96390015</v>
      </c>
      <c r="K298" s="29">
        <f>I298*(J298+Variables!$C$10*Variables!$C$5)</f>
        <v>41908721.891423054</v>
      </c>
      <c r="L298" s="29">
        <f>(G298*Variables!$C$11+D298*Variables!$C$12)*Variables!$C$5</f>
        <v>9279687.4329829309</v>
      </c>
    </row>
    <row r="299" spans="1:12" x14ac:dyDescent="0.35">
      <c r="A299" s="96">
        <v>2</v>
      </c>
      <c r="B299" s="87" t="s">
        <v>60</v>
      </c>
      <c r="C299" s="87">
        <v>2026</v>
      </c>
      <c r="D299" s="97">
        <f>Population!K3</f>
        <v>416940.74835885921</v>
      </c>
      <c r="E299" s="92" t="str">
        <f t="shared" si="12"/>
        <v>Medium</v>
      </c>
      <c r="F299" s="119">
        <f>Area!M3</f>
        <v>680.99528067676579</v>
      </c>
      <c r="G299" s="27">
        <f>D299*Variables!$C$9</f>
        <v>3.7524667352297332</v>
      </c>
      <c r="H299" s="28">
        <f t="shared" si="11"/>
        <v>12.956920723790825</v>
      </c>
      <c r="I299" s="28">
        <f t="shared" si="13"/>
        <v>0</v>
      </c>
      <c r="J299" s="197">
        <f>VLOOKUP(A299,'Land costs'!$A$2:$F$96,5,FALSE)</f>
        <v>207178319.55590102</v>
      </c>
      <c r="K299" s="29">
        <f>I299*(J299+Variables!$C$10*Variables!$C$5)</f>
        <v>0</v>
      </c>
      <c r="L299" s="29">
        <f>(G299*Variables!$C$11+D299*Variables!$C$12)*Variables!$C$5</f>
        <v>6806953.8500518007</v>
      </c>
    </row>
    <row r="300" spans="1:12" x14ac:dyDescent="0.35">
      <c r="A300" s="96">
        <v>3</v>
      </c>
      <c r="B300" s="87" t="s">
        <v>61</v>
      </c>
      <c r="C300" s="87">
        <v>2026</v>
      </c>
      <c r="D300" s="97">
        <f>Population!K4</f>
        <v>11998364.688357111</v>
      </c>
      <c r="E300" s="92" t="str">
        <f t="shared" si="12"/>
        <v>Large</v>
      </c>
      <c r="F300" s="119">
        <f>Area!M4</f>
        <v>803.18699405859252</v>
      </c>
      <c r="G300" s="27">
        <f>D300*Variables!$C$9</f>
        <v>107.985282195214</v>
      </c>
      <c r="H300" s="28">
        <f t="shared" si="11"/>
        <v>105.48528103469179</v>
      </c>
      <c r="I300" s="28">
        <f t="shared" si="13"/>
        <v>2.5000011605222028</v>
      </c>
      <c r="J300" s="197">
        <f>VLOOKUP(A300,'Land costs'!$A$2:$F$96,5,FALSE)</f>
        <v>623490608.57078338</v>
      </c>
      <c r="K300" s="29">
        <f>I300*(J300+Variables!$C$10*Variables!$C$5)</f>
        <v>1569847291.380816</v>
      </c>
      <c r="L300" s="29">
        <f>(G300*Variables!$C$11+D300*Variables!$C$12)*Variables!$C$5</f>
        <v>195884703.11719921</v>
      </c>
    </row>
    <row r="301" spans="1:12" x14ac:dyDescent="0.35">
      <c r="A301" s="96">
        <v>4</v>
      </c>
      <c r="B301" s="87" t="s">
        <v>62</v>
      </c>
      <c r="C301" s="87">
        <v>2026</v>
      </c>
      <c r="D301" s="97">
        <f>Population!K5</f>
        <v>2555247.0166329411</v>
      </c>
      <c r="E301" s="92" t="str">
        <f t="shared" si="12"/>
        <v>Large</v>
      </c>
      <c r="F301" s="119">
        <f>Area!M5</f>
        <v>444.06256814371164</v>
      </c>
      <c r="G301" s="27">
        <f>D301*Variables!$C$9</f>
        <v>22.99722314969647</v>
      </c>
      <c r="H301" s="28">
        <f t="shared" si="11"/>
        <v>100.58253557595253</v>
      </c>
      <c r="I301" s="28">
        <f t="shared" si="13"/>
        <v>0</v>
      </c>
      <c r="J301" s="197">
        <f>VLOOKUP(A301,'Land costs'!$A$2:$F$96,5,FALSE)</f>
        <v>258664564.88983455</v>
      </c>
      <c r="K301" s="29">
        <f>I301*(J301+Variables!$C$10*Variables!$C$5)</f>
        <v>0</v>
      </c>
      <c r="L301" s="29">
        <f>(G301*Variables!$C$11+D301*Variables!$C$12)*Variables!$C$5</f>
        <v>41716835.272556528</v>
      </c>
    </row>
    <row r="302" spans="1:12" x14ac:dyDescent="0.35">
      <c r="A302" s="96">
        <v>5</v>
      </c>
      <c r="B302" s="87" t="s">
        <v>63</v>
      </c>
      <c r="C302" s="87">
        <v>2026</v>
      </c>
      <c r="D302" s="97">
        <f>Population!K6</f>
        <v>1198464.5044829135</v>
      </c>
      <c r="E302" s="92" t="str">
        <f t="shared" si="12"/>
        <v>Large</v>
      </c>
      <c r="F302" s="119">
        <f>Area!M6</f>
        <v>201.16928422617812</v>
      </c>
      <c r="G302" s="27">
        <f>D302*Variables!$C$9</f>
        <v>10.786180540346223</v>
      </c>
      <c r="H302" s="28">
        <f t="shared" si="11"/>
        <v>10.536466289290045</v>
      </c>
      <c r="I302" s="28">
        <f t="shared" si="13"/>
        <v>0.24971425105617762</v>
      </c>
      <c r="J302" s="197">
        <f>VLOOKUP(A302,'Land costs'!$A$2:$F$96,5,FALSE)</f>
        <v>258664564.88983455</v>
      </c>
      <c r="K302" s="29">
        <f>I302*(J302+Variables!$C$10*Variables!$C$5)</f>
        <v>65702961.201937988</v>
      </c>
      <c r="L302" s="29">
        <f>(G302*Variables!$C$11+D302*Variables!$C$12)*Variables!$C$5</f>
        <v>19566071.690164778</v>
      </c>
    </row>
    <row r="303" spans="1:12" x14ac:dyDescent="0.35">
      <c r="A303" s="96">
        <v>6</v>
      </c>
      <c r="B303" s="87" t="s">
        <v>64</v>
      </c>
      <c r="C303" s="87">
        <v>2026</v>
      </c>
      <c r="D303" s="97">
        <f>Population!K7</f>
        <v>1366404.0249752922</v>
      </c>
      <c r="E303" s="92" t="str">
        <f t="shared" si="12"/>
        <v>Large</v>
      </c>
      <c r="F303" s="119">
        <f>Area!M7</f>
        <v>173.28511057945281</v>
      </c>
      <c r="G303" s="27">
        <f>D303*Variables!$C$9</f>
        <v>12.29763622477763</v>
      </c>
      <c r="H303" s="28">
        <f t="shared" ref="H303:H366" si="14">H261+I261</f>
        <v>12.01292978878346</v>
      </c>
      <c r="I303" s="28">
        <f t="shared" si="13"/>
        <v>0.28470643599417045</v>
      </c>
      <c r="J303" s="197">
        <f>VLOOKUP(A303,'Land costs'!$A$2:$F$96,5,FALSE)</f>
        <v>421303330.51817626</v>
      </c>
      <c r="K303" s="29">
        <f>I303*(J303+Variables!$C$10*Variables!$C$5)</f>
        <v>121214148.6255202</v>
      </c>
      <c r="L303" s="29">
        <f>(G303*Variables!$C$11+D303*Variables!$C$12)*Variables!$C$5</f>
        <v>22307843.920610193</v>
      </c>
    </row>
    <row r="304" spans="1:12" x14ac:dyDescent="0.35">
      <c r="A304" s="96">
        <v>7</v>
      </c>
      <c r="B304" s="87" t="s">
        <v>65</v>
      </c>
      <c r="C304" s="87">
        <v>2026</v>
      </c>
      <c r="D304" s="97">
        <f>Population!K8</f>
        <v>6602952.5230493853</v>
      </c>
      <c r="E304" s="92" t="str">
        <f t="shared" si="12"/>
        <v>Large</v>
      </c>
      <c r="F304" s="119">
        <f>Area!M8</f>
        <v>1174.232562742432</v>
      </c>
      <c r="G304" s="27">
        <f>D304*Variables!$C$9</f>
        <v>59.426572707444471</v>
      </c>
      <c r="H304" s="28">
        <f t="shared" si="14"/>
        <v>58.050769470982182</v>
      </c>
      <c r="I304" s="28">
        <f t="shared" si="13"/>
        <v>1.3758032364622892</v>
      </c>
      <c r="J304" s="197">
        <f>VLOOKUP(A304,'Land costs'!$A$2:$F$96,5,FALSE)</f>
        <v>368904372.20152247</v>
      </c>
      <c r="K304" s="29">
        <f>I304*(J304+Variables!$C$10*Variables!$C$5)</f>
        <v>513659424.69839829</v>
      </c>
      <c r="L304" s="29">
        <f>(G304*Variables!$C$11+D304*Variables!$C$12)*Variables!$C$5</f>
        <v>107799473.36736543</v>
      </c>
    </row>
    <row r="305" spans="1:12" x14ac:dyDescent="0.35">
      <c r="A305" s="96">
        <v>8</v>
      </c>
      <c r="B305" s="87" t="s">
        <v>66</v>
      </c>
      <c r="C305" s="87">
        <v>2026</v>
      </c>
      <c r="D305" s="97">
        <f>Population!K9</f>
        <v>62924.210741155912</v>
      </c>
      <c r="E305" s="92" t="str">
        <f t="shared" si="12"/>
        <v>Small</v>
      </c>
      <c r="F305" s="119">
        <f>Area!M9</f>
        <v>165.40585591930196</v>
      </c>
      <c r="G305" s="27">
        <f>D305*Variables!$C$9</f>
        <v>0.56631789667040322</v>
      </c>
      <c r="H305" s="28">
        <f t="shared" si="14"/>
        <v>0.5532068932992118</v>
      </c>
      <c r="I305" s="28">
        <f t="shared" si="13"/>
        <v>1.3111003371191421E-2</v>
      </c>
      <c r="J305" s="197">
        <f>VLOOKUP(A305,'Land costs'!$A$2:$F$96,5,FALSE)</f>
        <v>399734297.50693494</v>
      </c>
      <c r="K305" s="29">
        <f>I305*(J305+Variables!$C$10*Variables!$C$5)</f>
        <v>5299235.6813485483</v>
      </c>
      <c r="L305" s="29">
        <f>(G305*Variables!$C$11+D305*Variables!$C$12)*Variables!$C$5</f>
        <v>1027297.5242931327</v>
      </c>
    </row>
    <row r="306" spans="1:12" x14ac:dyDescent="0.35">
      <c r="A306" s="96">
        <v>9</v>
      </c>
      <c r="B306" s="87" t="s">
        <v>67</v>
      </c>
      <c r="C306" s="87">
        <v>2026</v>
      </c>
      <c r="D306" s="97">
        <f>Population!K10</f>
        <v>809363.76192417007</v>
      </c>
      <c r="E306" s="92" t="str">
        <f t="shared" si="12"/>
        <v>Medium</v>
      </c>
      <c r="F306" s="119">
        <f>Area!M10</f>
        <v>447.04285383595129</v>
      </c>
      <c r="G306" s="27">
        <f>D306*Variables!$C$9</f>
        <v>7.2842738573175305</v>
      </c>
      <c r="H306" s="28">
        <f t="shared" si="14"/>
        <v>7.1156333469937776</v>
      </c>
      <c r="I306" s="28">
        <f t="shared" si="13"/>
        <v>0.16864051032375293</v>
      </c>
      <c r="J306" s="197">
        <f>VLOOKUP(A306,'Land costs'!$A$2:$F$96,5,FALSE)</f>
        <v>292630299.54426229</v>
      </c>
      <c r="K306" s="29">
        <f>I306*(J306+Variables!$C$10*Variables!$C$5)</f>
        <v>50099438.82160902</v>
      </c>
      <c r="L306" s="29">
        <f>(G306*Variables!$C$11+D306*Variables!$C$12)*Variables!$C$5</f>
        <v>13213632.385435028</v>
      </c>
    </row>
    <row r="307" spans="1:12" x14ac:dyDescent="0.35">
      <c r="A307" s="96">
        <v>10</v>
      </c>
      <c r="B307" s="87" t="s">
        <v>68</v>
      </c>
      <c r="C307" s="87">
        <v>2026</v>
      </c>
      <c r="D307" s="97">
        <f>Population!K11</f>
        <v>751081.920463791</v>
      </c>
      <c r="E307" s="92" t="str">
        <f t="shared" si="12"/>
        <v>Medium</v>
      </c>
      <c r="F307" s="119">
        <f>Area!M11</f>
        <v>132.44721827728875</v>
      </c>
      <c r="G307" s="27">
        <f>D307*Variables!$C$9</f>
        <v>6.7597372841741192</v>
      </c>
      <c r="H307" s="28">
        <f t="shared" si="14"/>
        <v>6.603240484687035</v>
      </c>
      <c r="I307" s="28">
        <f t="shared" si="13"/>
        <v>0.15649679948708428</v>
      </c>
      <c r="J307" s="197">
        <f>VLOOKUP(A307,'Land costs'!$A$2:$F$96,5,FALSE)</f>
        <v>207178319.55590102</v>
      </c>
      <c r="K307" s="29">
        <f>I307*(J307+Variables!$C$10*Variables!$C$5)</f>
        <v>33118844.277869739</v>
      </c>
      <c r="L307" s="29">
        <f>(G307*Variables!$C$11+D307*Variables!$C$12)*Variables!$C$5</f>
        <v>12262125.950339893</v>
      </c>
    </row>
    <row r="308" spans="1:12" x14ac:dyDescent="0.35">
      <c r="A308" s="96">
        <v>11</v>
      </c>
      <c r="B308" s="87" t="s">
        <v>69</v>
      </c>
      <c r="C308" s="87">
        <v>2026</v>
      </c>
      <c r="D308" s="97">
        <f>Population!K12</f>
        <v>292960.92669418477</v>
      </c>
      <c r="E308" s="92" t="str">
        <f t="shared" si="12"/>
        <v>Medium</v>
      </c>
      <c r="F308" s="119">
        <f>Area!M12</f>
        <v>169.87628445766148</v>
      </c>
      <c r="G308" s="27">
        <f>D308*Variables!$C$9</f>
        <v>2.636648340247663</v>
      </c>
      <c r="H308" s="28">
        <f t="shared" si="14"/>
        <v>2.575606466980231</v>
      </c>
      <c r="I308" s="28">
        <f t="shared" si="13"/>
        <v>6.1041873267432045E-2</v>
      </c>
      <c r="J308" s="197">
        <f>VLOOKUP(A308,'Land costs'!$A$2:$F$96,5,FALSE)</f>
        <v>446522393.21506435</v>
      </c>
      <c r="K308" s="29">
        <f>I308*(J308+Variables!$C$10*Variables!$C$5)</f>
        <v>27528078.596386556</v>
      </c>
      <c r="L308" s="29">
        <f>(G308*Variables!$C$11+D308*Variables!$C$12)*Variables!$C$5</f>
        <v>4782865.4688347923</v>
      </c>
    </row>
    <row r="309" spans="1:12" x14ac:dyDescent="0.35">
      <c r="A309" s="96">
        <v>12</v>
      </c>
      <c r="B309" s="87" t="s">
        <v>70</v>
      </c>
      <c r="C309" s="87">
        <v>2026</v>
      </c>
      <c r="D309" s="97">
        <f>Population!K13</f>
        <v>142505.24814569263</v>
      </c>
      <c r="E309" s="92" t="str">
        <f t="shared" si="12"/>
        <v>Medium</v>
      </c>
      <c r="F309" s="119">
        <f>Area!M13</f>
        <v>28.312714076276915</v>
      </c>
      <c r="G309" s="27">
        <f>D309*Variables!$C$9</f>
        <v>1.2825472333112338</v>
      </c>
      <c r="H309" s="28">
        <f t="shared" si="14"/>
        <v>1.2528545797706687</v>
      </c>
      <c r="I309" s="28">
        <f t="shared" si="13"/>
        <v>2.969265354056505E-2</v>
      </c>
      <c r="J309" s="197">
        <f>VLOOKUP(A309,'Land costs'!$A$2:$F$96,5,FALSE)</f>
        <v>207178319.55590102</v>
      </c>
      <c r="K309" s="29">
        <f>I309*(J309+Variables!$C$10*Variables!$C$5)</f>
        <v>6283747.4761767928</v>
      </c>
      <c r="L309" s="29">
        <f>(G309*Variables!$C$11+D309*Variables!$C$12)*Variables!$C$5</f>
        <v>2326533.5694246213</v>
      </c>
    </row>
    <row r="310" spans="1:12" x14ac:dyDescent="0.35">
      <c r="A310" s="96">
        <v>13</v>
      </c>
      <c r="B310" s="87" t="s">
        <v>71</v>
      </c>
      <c r="C310" s="87">
        <v>2026</v>
      </c>
      <c r="D310" s="97">
        <f>Population!K14</f>
        <v>9565795.8679645434</v>
      </c>
      <c r="E310" s="92" t="str">
        <f t="shared" si="12"/>
        <v>Large</v>
      </c>
      <c r="F310" s="119">
        <f>Area!M14</f>
        <v>911.52180892127831</v>
      </c>
      <c r="G310" s="27">
        <f>D310*Variables!$C$9</f>
        <v>86.092162811680893</v>
      </c>
      <c r="H310" s="28">
        <f t="shared" si="14"/>
        <v>279.82566666666668</v>
      </c>
      <c r="I310" s="28">
        <f t="shared" si="13"/>
        <v>0</v>
      </c>
      <c r="J310" s="197">
        <f>VLOOKUP(A310,'Land costs'!$A$2:$F$96,5,FALSE)</f>
        <v>225281113.07128146</v>
      </c>
      <c r="K310" s="29">
        <f>I310*(J310+Variables!$C$10*Variables!$C$5)</f>
        <v>0</v>
      </c>
      <c r="L310" s="29">
        <f>(G310*Variables!$C$11+D310*Variables!$C$12)*Variables!$C$5</f>
        <v>156170705.9541409</v>
      </c>
    </row>
    <row r="311" spans="1:12" x14ac:dyDescent="0.35">
      <c r="A311" s="96">
        <v>14</v>
      </c>
      <c r="B311" s="87" t="s">
        <v>72</v>
      </c>
      <c r="C311" s="87">
        <v>2026</v>
      </c>
      <c r="D311" s="97">
        <f>Population!K15</f>
        <v>381170.2059943066</v>
      </c>
      <c r="E311" s="92" t="str">
        <f t="shared" si="12"/>
        <v>Medium</v>
      </c>
      <c r="F311" s="119">
        <f>Area!M15</f>
        <v>44.704285383595128</v>
      </c>
      <c r="G311" s="27">
        <f>D311*Variables!$C$9</f>
        <v>3.4305318539487595</v>
      </c>
      <c r="H311" s="28">
        <f t="shared" si="14"/>
        <v>3.3511105342861769</v>
      </c>
      <c r="I311" s="28">
        <f t="shared" si="13"/>
        <v>7.942131966258259E-2</v>
      </c>
      <c r="J311" s="197">
        <f>VLOOKUP(A311,'Land costs'!$A$2:$F$96,5,FALSE)</f>
        <v>172078376.43406156</v>
      </c>
      <c r="K311" s="29">
        <f>I311*(J311+Variables!$C$10*Variables!$C$5)</f>
        <v>14019959.081054889</v>
      </c>
      <c r="L311" s="29">
        <f>(G311*Variables!$C$11+D311*Variables!$C$12)*Variables!$C$5</f>
        <v>6222965.7605564957</v>
      </c>
    </row>
    <row r="312" spans="1:12" x14ac:dyDescent="0.35">
      <c r="A312" s="96">
        <v>15</v>
      </c>
      <c r="B312" s="87" t="s">
        <v>73</v>
      </c>
      <c r="C312" s="87">
        <v>2026</v>
      </c>
      <c r="D312" s="97">
        <f>Population!K16</f>
        <v>84534.603156843979</v>
      </c>
      <c r="E312" s="92" t="str">
        <f t="shared" si="12"/>
        <v>Small</v>
      </c>
      <c r="F312" s="119">
        <f>Area!M16</f>
        <v>248.85385530201282</v>
      </c>
      <c r="G312" s="27">
        <f>D312*Variables!$C$9</f>
        <v>0.76081142841159588</v>
      </c>
      <c r="H312" s="28">
        <f t="shared" si="14"/>
        <v>43.35</v>
      </c>
      <c r="I312" s="28">
        <f t="shared" si="13"/>
        <v>0</v>
      </c>
      <c r="J312" s="197">
        <f>VLOOKUP(A312,'Land costs'!$A$2:$F$96,5,FALSE)</f>
        <v>399734297.50693494</v>
      </c>
      <c r="K312" s="29">
        <f>I312*(J312+Variables!$C$10*Variables!$C$5)</f>
        <v>0</v>
      </c>
      <c r="L312" s="29">
        <f>(G312*Variables!$C$11+D312*Variables!$C$12)*Variables!$C$5</f>
        <v>1380107.7123932627</v>
      </c>
    </row>
    <row r="313" spans="1:12" x14ac:dyDescent="0.35">
      <c r="A313" s="96">
        <v>16</v>
      </c>
      <c r="B313" s="87" t="s">
        <v>74</v>
      </c>
      <c r="C313" s="87">
        <v>2026</v>
      </c>
      <c r="D313" s="97">
        <f>Population!K17</f>
        <v>4328562.4534553932</v>
      </c>
      <c r="E313" s="92" t="str">
        <f t="shared" si="12"/>
        <v>Large</v>
      </c>
      <c r="F313" s="119">
        <f>Area!M17</f>
        <v>349.15488130270802</v>
      </c>
      <c r="G313" s="27">
        <f>D313*Variables!$C$9</f>
        <v>38.957062081098542</v>
      </c>
      <c r="H313" s="28">
        <f t="shared" si="14"/>
        <v>108.39099999999998</v>
      </c>
      <c r="I313" s="28">
        <f t="shared" si="13"/>
        <v>0</v>
      </c>
      <c r="J313" s="197">
        <f>VLOOKUP(A313,'Land costs'!$A$2:$F$96,5,FALSE)</f>
        <v>258664564.88983455</v>
      </c>
      <c r="K313" s="29">
        <f>I313*(J313+Variables!$C$10*Variables!$C$5)</f>
        <v>0</v>
      </c>
      <c r="L313" s="29">
        <f>(G313*Variables!$C$11+D313*Variables!$C$12)*Variables!$C$5</f>
        <v>70667894.595848024</v>
      </c>
    </row>
    <row r="314" spans="1:12" x14ac:dyDescent="0.35">
      <c r="A314" s="96">
        <v>17</v>
      </c>
      <c r="B314" s="87" t="s">
        <v>75</v>
      </c>
      <c r="C314" s="87">
        <v>2026</v>
      </c>
      <c r="D314" s="97">
        <f>Population!K18</f>
        <v>15929.280574688535</v>
      </c>
      <c r="E314" s="92" t="str">
        <f t="shared" si="12"/>
        <v>Small</v>
      </c>
      <c r="F314" s="119">
        <f>Area!M18</f>
        <v>2.8807269975310317</v>
      </c>
      <c r="G314" s="27">
        <f>D314*Variables!$C$9</f>
        <v>0.14336352517219683</v>
      </c>
      <c r="H314" s="28">
        <f t="shared" si="14"/>
        <v>0.14004447120464669</v>
      </c>
      <c r="I314" s="28">
        <f t="shared" si="13"/>
        <v>3.3190539675501396E-3</v>
      </c>
      <c r="J314" s="197">
        <f>VLOOKUP(A314,'Land costs'!$A$2:$F$96,5,FALSE)</f>
        <v>399734297.50693494</v>
      </c>
      <c r="K314" s="29">
        <f>I314*(J314+Variables!$C$10*Variables!$C$5)</f>
        <v>1341502.9128746896</v>
      </c>
      <c r="L314" s="29">
        <f>(G314*Variables!$C$11+D314*Variables!$C$12)*Variables!$C$5</f>
        <v>260060.63970294967</v>
      </c>
    </row>
    <row r="315" spans="1:12" x14ac:dyDescent="0.35">
      <c r="A315" s="96">
        <v>18</v>
      </c>
      <c r="B315" s="87" t="s">
        <v>76</v>
      </c>
      <c r="C315" s="87">
        <v>2026</v>
      </c>
      <c r="D315" s="97">
        <f>Population!K19</f>
        <v>140733.27554295966</v>
      </c>
      <c r="E315" s="92" t="str">
        <f t="shared" si="12"/>
        <v>Medium</v>
      </c>
      <c r="F315" s="119">
        <f>Area!M19</f>
        <v>29.802856922396757</v>
      </c>
      <c r="G315" s="27">
        <f>D315*Variables!$C$9</f>
        <v>1.2665994798866369</v>
      </c>
      <c r="H315" s="28">
        <f t="shared" si="14"/>
        <v>1.2372760377909904</v>
      </c>
      <c r="I315" s="28">
        <f t="shared" si="13"/>
        <v>2.9323442095646524E-2</v>
      </c>
      <c r="J315" s="197">
        <f>VLOOKUP(A315,'Land costs'!$A$2:$F$96,5,FALSE)</f>
        <v>207178319.55590102</v>
      </c>
      <c r="K315" s="29">
        <f>I315*(J315+Variables!$C$10*Variables!$C$5)</f>
        <v>6205612.6108636325</v>
      </c>
      <c r="L315" s="29">
        <f>(G315*Variables!$C$11+D315*Variables!$C$12)*Variables!$C$5</f>
        <v>2297604.43314366</v>
      </c>
    </row>
    <row r="316" spans="1:12" x14ac:dyDescent="0.35">
      <c r="A316" s="96">
        <v>19</v>
      </c>
      <c r="B316" s="87" t="s">
        <v>77</v>
      </c>
      <c r="C316" s="87">
        <v>2026</v>
      </c>
      <c r="D316" s="97">
        <f>Population!K20</f>
        <v>6389750.2573165465</v>
      </c>
      <c r="E316" s="92" t="str">
        <f t="shared" si="12"/>
        <v>Large</v>
      </c>
      <c r="F316" s="119">
        <f>Area!M20</f>
        <v>1082.8905812700671</v>
      </c>
      <c r="G316" s="27">
        <f>D316*Variables!$C$9</f>
        <v>57.507752315848919</v>
      </c>
      <c r="H316" s="28">
        <f t="shared" si="14"/>
        <v>56.176372292516277</v>
      </c>
      <c r="I316" s="28">
        <f t="shared" si="13"/>
        <v>1.3313800233326418</v>
      </c>
      <c r="J316" s="197">
        <f>VLOOKUP(A316,'Land costs'!$A$2:$F$96,5,FALSE)</f>
        <v>69556263.81201373</v>
      </c>
      <c r="K316" s="29">
        <f>I316*(J316+Variables!$C$10*Variables!$C$5)</f>
        <v>98527820.431025177</v>
      </c>
      <c r="L316" s="29">
        <f>(G316*Variables!$C$11+D316*Variables!$C$12)*Variables!$C$5</f>
        <v>104318743.81698622</v>
      </c>
    </row>
    <row r="317" spans="1:12" x14ac:dyDescent="0.35">
      <c r="A317" s="96">
        <v>20</v>
      </c>
      <c r="B317" s="87" t="s">
        <v>78</v>
      </c>
      <c r="C317" s="87">
        <v>2026</v>
      </c>
      <c r="D317" s="97">
        <f>Population!K21</f>
        <v>4003073.6800497724</v>
      </c>
      <c r="E317" s="92" t="str">
        <f t="shared" si="12"/>
        <v>Large</v>
      </c>
      <c r="F317" s="119">
        <f>Area!M21</f>
        <v>502.17813914238519</v>
      </c>
      <c r="G317" s="27">
        <f>D317*Variables!$C$9</f>
        <v>36.027663120447954</v>
      </c>
      <c r="H317" s="28">
        <f t="shared" si="14"/>
        <v>38.65</v>
      </c>
      <c r="I317" s="28">
        <f t="shared" si="13"/>
        <v>0</v>
      </c>
      <c r="J317" s="197">
        <f>VLOOKUP(A317,'Land costs'!$A$2:$F$96,5,FALSE)</f>
        <v>423084709.93427253</v>
      </c>
      <c r="K317" s="29">
        <f>I317*(J317+Variables!$C$10*Variables!$C$5)</f>
        <v>0</v>
      </c>
      <c r="L317" s="29">
        <f>(G317*Variables!$C$11+D317*Variables!$C$12)*Variables!$C$5</f>
        <v>65353981.124922216</v>
      </c>
    </row>
    <row r="318" spans="1:12" x14ac:dyDescent="0.35">
      <c r="A318" s="96">
        <v>21</v>
      </c>
      <c r="B318" s="98" t="s">
        <v>79</v>
      </c>
      <c r="C318" s="87">
        <v>2026</v>
      </c>
      <c r="D318" s="97">
        <f>Population!K22</f>
        <v>17680468.379297871</v>
      </c>
      <c r="E318" s="92" t="str">
        <f t="shared" si="12"/>
        <v>Large</v>
      </c>
      <c r="F318" s="119">
        <f>Area!M22</f>
        <v>653.06742527472818</v>
      </c>
      <c r="G318" s="27">
        <f>D318*Variables!$C$9</f>
        <v>159.12421541368084</v>
      </c>
      <c r="H318" s="28">
        <f t="shared" si="14"/>
        <v>155.44028075967648</v>
      </c>
      <c r="I318" s="28">
        <f t="shared" si="13"/>
        <v>3.6839346540043607</v>
      </c>
      <c r="J318" s="197">
        <f>VLOOKUP(A318,'Land costs'!$A$2:$F$96,5,FALSE)</f>
        <v>136261714.31466237</v>
      </c>
      <c r="K318" s="29">
        <f>I318*(J318+Variables!$C$10*Variables!$C$5)</f>
        <v>518365453.45534009</v>
      </c>
      <c r="L318" s="29">
        <f>(G318*Variables!$C$11+D318*Variables!$C$12)*Variables!$C$5</f>
        <v>288650444.40702134</v>
      </c>
    </row>
    <row r="319" spans="1:12" x14ac:dyDescent="0.35">
      <c r="A319" s="96">
        <v>22</v>
      </c>
      <c r="B319" s="87" t="s">
        <v>80</v>
      </c>
      <c r="C319" s="87">
        <v>2026</v>
      </c>
      <c r="D319" s="97">
        <f>Population!K23</f>
        <v>15679975.255292797</v>
      </c>
      <c r="E319" s="92" t="str">
        <f t="shared" si="12"/>
        <v>Large</v>
      </c>
      <c r="F319" s="119">
        <f>Area!M23</f>
        <v>1165.2917056657127</v>
      </c>
      <c r="G319" s="27">
        <f>D319*Variables!$C$9</f>
        <v>141.11977729763518</v>
      </c>
      <c r="H319" s="28">
        <f t="shared" si="14"/>
        <v>137.85266904135503</v>
      </c>
      <c r="I319" s="28">
        <f t="shared" si="13"/>
        <v>3.267108256280153</v>
      </c>
      <c r="J319" s="197">
        <f>VLOOKUP(A319,'Land costs'!$A$2:$F$96,5,FALSE)</f>
        <v>181431544.56336635</v>
      </c>
      <c r="K319" s="29">
        <f>I319*(J319+Variables!$C$10*Variables!$C$5)</f>
        <v>607288648.58091378</v>
      </c>
      <c r="L319" s="29">
        <f>(G319*Variables!$C$11+D319*Variables!$C$12)*Variables!$C$5</f>
        <v>255990493.50021246</v>
      </c>
    </row>
    <row r="320" spans="1:12" x14ac:dyDescent="0.35">
      <c r="A320" s="96">
        <v>23</v>
      </c>
      <c r="B320" s="87" t="s">
        <v>81</v>
      </c>
      <c r="C320" s="87">
        <v>2026</v>
      </c>
      <c r="D320" s="97">
        <f>Population!K24</f>
        <v>56863.694982810986</v>
      </c>
      <c r="E320" s="92" t="str">
        <f t="shared" si="12"/>
        <v>Small</v>
      </c>
      <c r="F320" s="119">
        <f>Area!M24</f>
        <v>110.56183005868657</v>
      </c>
      <c r="G320" s="27">
        <f>D320*Variables!$C$9</f>
        <v>0.5117732548452989</v>
      </c>
      <c r="H320" s="28">
        <f t="shared" si="14"/>
        <v>0.8</v>
      </c>
      <c r="I320" s="28">
        <f t="shared" si="13"/>
        <v>0</v>
      </c>
      <c r="J320" s="197">
        <f>VLOOKUP(A320,'Land costs'!$A$2:$F$96,5,FALSE)</f>
        <v>679160605.168293</v>
      </c>
      <c r="K320" s="29">
        <f>I320*(J320+Variables!$C$10*Variables!$C$5)</f>
        <v>0</v>
      </c>
      <c r="L320" s="29">
        <f>(G320*Variables!$C$11+D320*Variables!$C$12)*Variables!$C$5</f>
        <v>928353.84647573042</v>
      </c>
    </row>
    <row r="321" spans="1:12" x14ac:dyDescent="0.35">
      <c r="A321" s="96">
        <v>24</v>
      </c>
      <c r="B321" s="87" t="s">
        <v>82</v>
      </c>
      <c r="C321" s="87">
        <v>2026</v>
      </c>
      <c r="D321" s="97">
        <f>Population!K25</f>
        <v>2393260.0167763671</v>
      </c>
      <c r="E321" s="92" t="str">
        <f t="shared" si="12"/>
        <v>Large</v>
      </c>
      <c r="F321" s="119">
        <f>Area!M25</f>
        <v>113.25085630510767</v>
      </c>
      <c r="G321" s="27">
        <f>D321*Variables!$C$9</f>
        <v>21.539340150987304</v>
      </c>
      <c r="H321" s="28">
        <f t="shared" si="14"/>
        <v>21.040676126782557</v>
      </c>
      <c r="I321" s="28">
        <f t="shared" si="13"/>
        <v>0.49866402420474643</v>
      </c>
      <c r="J321" s="197">
        <f>VLOOKUP(A321,'Land costs'!$A$2:$F$96,5,FALSE)</f>
        <v>273857556.71751869</v>
      </c>
      <c r="K321" s="29">
        <f>I321*(J321+Variables!$C$10*Variables!$C$5)</f>
        <v>138780977.09270236</v>
      </c>
      <c r="L321" s="29">
        <f>(G321*Variables!$C$11+D321*Variables!$C$12)*Variables!$C$5</f>
        <v>39072243.596947484</v>
      </c>
    </row>
    <row r="322" spans="1:12" x14ac:dyDescent="0.35">
      <c r="A322" s="96">
        <v>25</v>
      </c>
      <c r="B322" s="87" t="s">
        <v>83</v>
      </c>
      <c r="C322" s="87">
        <v>2026</v>
      </c>
      <c r="D322" s="97">
        <f>Population!K26</f>
        <v>343556.64160429715</v>
      </c>
      <c r="E322" s="92" t="str">
        <f t="shared" si="12"/>
        <v>Medium</v>
      </c>
      <c r="F322" s="119">
        <f>Area!M26</f>
        <v>201.16928422617809</v>
      </c>
      <c r="G322" s="27">
        <f>D322*Variables!$C$9</f>
        <v>3.0920097744386745</v>
      </c>
      <c r="H322" s="28">
        <f t="shared" si="14"/>
        <v>3.0204256856878717</v>
      </c>
      <c r="I322" s="28">
        <f t="shared" si="13"/>
        <v>7.1584088750802799E-2</v>
      </c>
      <c r="J322" s="197">
        <f>VLOOKUP(A322,'Land costs'!$A$2:$F$96,5,FALSE)</f>
        <v>202576692.05248237</v>
      </c>
      <c r="K322" s="29">
        <f>I322*(J322+Variables!$C$10*Variables!$C$5)</f>
        <v>14819675.109689115</v>
      </c>
      <c r="L322" s="29">
        <f>(G322*Variables!$C$11+D322*Variables!$C$12)*Variables!$C$5</f>
        <v>5608888.5854506008</v>
      </c>
    </row>
    <row r="323" spans="1:12" x14ac:dyDescent="0.35">
      <c r="A323" s="96">
        <v>26</v>
      </c>
      <c r="B323" s="87" t="s">
        <v>84</v>
      </c>
      <c r="C323" s="87">
        <v>2026</v>
      </c>
      <c r="D323" s="97">
        <f>Population!K27</f>
        <v>142363.14930024493</v>
      </c>
      <c r="E323" s="92" t="str">
        <f t="shared" si="12"/>
        <v>Medium</v>
      </c>
      <c r="F323" s="119">
        <f>Area!M27</f>
        <v>718.24885182976175</v>
      </c>
      <c r="G323" s="27">
        <f>D323*Variables!$C$9</f>
        <v>1.2812683437022043</v>
      </c>
      <c r="H323" s="28">
        <f t="shared" si="14"/>
        <v>1.2516052981363723</v>
      </c>
      <c r="I323" s="28">
        <f t="shared" si="13"/>
        <v>2.9663045565831991E-2</v>
      </c>
      <c r="J323" s="197">
        <f>VLOOKUP(A323,'Land costs'!$A$2:$F$96,5,FALSE)</f>
        <v>207178319.55590102</v>
      </c>
      <c r="K323" s="29">
        <f>I323*(J323+Variables!$C$10*Variables!$C$5)</f>
        <v>6277481.6489663888</v>
      </c>
      <c r="L323" s="29">
        <f>(G323*Variables!$C$11+D323*Variables!$C$12)*Variables!$C$5</f>
        <v>2324213.6707653627</v>
      </c>
    </row>
    <row r="324" spans="1:12" x14ac:dyDescent="0.35">
      <c r="A324" s="96">
        <v>27</v>
      </c>
      <c r="B324" s="87" t="s">
        <v>85</v>
      </c>
      <c r="C324" s="87">
        <v>2026</v>
      </c>
      <c r="D324" s="97">
        <f>Population!K28</f>
        <v>1435813.6270226818</v>
      </c>
      <c r="E324" s="92" t="str">
        <f t="shared" si="12"/>
        <v>Large</v>
      </c>
      <c r="F324" s="119">
        <f>Area!M28</f>
        <v>134.11079564570872</v>
      </c>
      <c r="G324" s="27">
        <f>D324*Variables!$C$9</f>
        <v>12.922322643204136</v>
      </c>
      <c r="H324" s="28">
        <f t="shared" si="14"/>
        <v>27.873100000000001</v>
      </c>
      <c r="I324" s="28">
        <f t="shared" si="13"/>
        <v>0</v>
      </c>
      <c r="J324" s="197">
        <f>VLOOKUP(A324,'Land costs'!$A$2:$F$96,5,FALSE)</f>
        <v>194110385.46713075</v>
      </c>
      <c r="K324" s="29">
        <f>I324*(J324+Variables!$C$10*Variables!$C$5)</f>
        <v>0</v>
      </c>
      <c r="L324" s="29">
        <f>(G324*Variables!$C$11+D324*Variables!$C$12)*Variables!$C$5</f>
        <v>23441021.619711913</v>
      </c>
    </row>
    <row r="325" spans="1:12" x14ac:dyDescent="0.35">
      <c r="A325" s="96">
        <v>28</v>
      </c>
      <c r="B325" s="87" t="s">
        <v>86</v>
      </c>
      <c r="C325" s="87">
        <v>2026</v>
      </c>
      <c r="D325" s="97">
        <f>Population!K29</f>
        <v>1525327.3737240136</v>
      </c>
      <c r="E325" s="92" t="str">
        <f t="shared" ref="E325:E388" si="15">IF(D325&lt;100000,"Small",IF(D325&lt;1000000,"Medium","Large"))</f>
        <v>Large</v>
      </c>
      <c r="F325" s="119">
        <f>Area!M29</f>
        <v>172.85657014990107</v>
      </c>
      <c r="G325" s="27">
        <f>D325*Variables!$C$9</f>
        <v>13.727946363516123</v>
      </c>
      <c r="H325" s="28">
        <f t="shared" si="14"/>
        <v>59.512458633395788</v>
      </c>
      <c r="I325" s="28">
        <f t="shared" ref="I325:I388" si="16">IF(G325-H325&gt;0,G325-H325,0)</f>
        <v>0</v>
      </c>
      <c r="J325" s="197">
        <f>VLOOKUP(A325,'Land costs'!$A$2:$F$96,5,FALSE)</f>
        <v>106495314.22538668</v>
      </c>
      <c r="K325" s="29">
        <f>I325*(J325+Variables!$C$10*Variables!$C$5)</f>
        <v>0</v>
      </c>
      <c r="L325" s="29">
        <f>(G325*Variables!$C$11+D325*Variables!$C$12)*Variables!$C$5</f>
        <v>24902418.581125617</v>
      </c>
    </row>
    <row r="326" spans="1:12" x14ac:dyDescent="0.35">
      <c r="A326" s="96">
        <v>29</v>
      </c>
      <c r="B326" s="87" t="s">
        <v>87</v>
      </c>
      <c r="C326" s="87">
        <v>2026</v>
      </c>
      <c r="D326" s="97">
        <f>Population!K30</f>
        <v>203526.75534630369</v>
      </c>
      <c r="E326" s="92" t="str">
        <f t="shared" si="15"/>
        <v>Medium</v>
      </c>
      <c r="F326" s="119">
        <f>Area!M30</f>
        <v>971.57313567013409</v>
      </c>
      <c r="G326" s="27">
        <f>D326*Variables!$C$9</f>
        <v>1.8317407981167333</v>
      </c>
      <c r="H326" s="28">
        <f t="shared" si="14"/>
        <v>1.7893335919866493</v>
      </c>
      <c r="I326" s="28">
        <f t="shared" si="16"/>
        <v>4.2407206130083974E-2</v>
      </c>
      <c r="J326" s="197">
        <f>VLOOKUP(A326,'Land costs'!$A$2:$F$96,5,FALSE)</f>
        <v>207178319.55590102</v>
      </c>
      <c r="K326" s="29">
        <f>I326*(J326+Variables!$C$10*Variables!$C$5)</f>
        <v>8974481.655119637</v>
      </c>
      <c r="L326" s="29">
        <f>(G326*Variables!$C$11+D326*Variables!$C$12)*Variables!$C$5</f>
        <v>3322767.6506702746</v>
      </c>
    </row>
    <row r="327" spans="1:12" x14ac:dyDescent="0.35">
      <c r="A327" s="96">
        <v>30</v>
      </c>
      <c r="B327" s="87" t="s">
        <v>88</v>
      </c>
      <c r="C327" s="87">
        <v>2026</v>
      </c>
      <c r="D327" s="97">
        <f>Population!K31</f>
        <v>139633.43047919439</v>
      </c>
      <c r="E327" s="92" t="str">
        <f t="shared" si="15"/>
        <v>Medium</v>
      </c>
      <c r="F327" s="119">
        <f>Area!M31</f>
        <v>96.859284997789459</v>
      </c>
      <c r="G327" s="27">
        <f>D327*Variables!$C$9</f>
        <v>1.2567008743127495</v>
      </c>
      <c r="H327" s="28">
        <f t="shared" si="14"/>
        <v>1.2276065979415349</v>
      </c>
      <c r="I327" s="28">
        <f t="shared" si="16"/>
        <v>2.9094276371214534E-2</v>
      </c>
      <c r="J327" s="197">
        <f>VLOOKUP(A327,'Land costs'!$A$2:$F$96,5,FALSE)</f>
        <v>207178319.55590102</v>
      </c>
      <c r="K327" s="29">
        <f>I327*(J327+Variables!$C$10*Variables!$C$5)</f>
        <v>6157115.1082555065</v>
      </c>
      <c r="L327" s="29">
        <f>(G327*Variables!$C$11+D327*Variables!$C$12)*Variables!$C$5</f>
        <v>2279648.4175209943</v>
      </c>
    </row>
    <row r="328" spans="1:12" x14ac:dyDescent="0.35">
      <c r="A328" s="96">
        <v>31</v>
      </c>
      <c r="B328" s="87" t="s">
        <v>89</v>
      </c>
      <c r="C328" s="87">
        <v>2026</v>
      </c>
      <c r="D328" s="97">
        <f>Population!K32</f>
        <v>240968.38013332136</v>
      </c>
      <c r="E328" s="92" t="str">
        <f t="shared" si="15"/>
        <v>Medium</v>
      </c>
      <c r="F328" s="119">
        <f>Area!M32</f>
        <v>731.66013744484019</v>
      </c>
      <c r="G328" s="27">
        <f>D328*Variables!$C$9</f>
        <v>2.1687154211998925</v>
      </c>
      <c r="H328" s="28">
        <f t="shared" si="14"/>
        <v>2.1185068098074553</v>
      </c>
      <c r="I328" s="28">
        <f t="shared" si="16"/>
        <v>5.0208611392437152E-2</v>
      </c>
      <c r="J328" s="197">
        <f>VLOOKUP(A328,'Land costs'!$A$2:$F$96,5,FALSE)</f>
        <v>207178319.55590102</v>
      </c>
      <c r="K328" s="29">
        <f>I328*(J328+Variables!$C$10*Variables!$C$5)</f>
        <v>10625464.466776129</v>
      </c>
      <c r="L328" s="29">
        <f>(G328*Variables!$C$11+D328*Variables!$C$12)*Variables!$C$5</f>
        <v>3934037.7483984656</v>
      </c>
    </row>
    <row r="329" spans="1:12" x14ac:dyDescent="0.35">
      <c r="A329" s="96">
        <v>32</v>
      </c>
      <c r="B329" s="87" t="s">
        <v>90</v>
      </c>
      <c r="C329" s="87">
        <v>2026</v>
      </c>
      <c r="D329" s="97">
        <f>Population!K33</f>
        <v>1677576.3397020558</v>
      </c>
      <c r="E329" s="92" t="str">
        <f t="shared" si="15"/>
        <v>Large</v>
      </c>
      <c r="F329" s="119">
        <f>Area!M33</f>
        <v>43.21414253747529</v>
      </c>
      <c r="G329" s="27">
        <f>D329*Variables!$C$9</f>
        <v>15.098187057318503</v>
      </c>
      <c r="H329" s="28">
        <f t="shared" si="14"/>
        <v>14.74864419001514</v>
      </c>
      <c r="I329" s="28">
        <f t="shared" si="16"/>
        <v>0.34954286730336293</v>
      </c>
      <c r="J329" s="197">
        <f>VLOOKUP(A329,'Land costs'!$A$2:$F$96,5,FALSE)</f>
        <v>258664564.88983455</v>
      </c>
      <c r="K329" s="29">
        <f>I329*(J329+Variables!$C$10*Variables!$C$5)</f>
        <v>91969126.117998004</v>
      </c>
      <c r="L329" s="29">
        <f>(G329*Variables!$C$11+D329*Variables!$C$12)*Variables!$C$5</f>
        <v>27388027.601615641</v>
      </c>
    </row>
    <row r="330" spans="1:12" x14ac:dyDescent="0.35">
      <c r="A330" s="96">
        <v>33</v>
      </c>
      <c r="B330" s="87" t="s">
        <v>91</v>
      </c>
      <c r="C330" s="87">
        <v>2026</v>
      </c>
      <c r="D330" s="97">
        <f>Population!K34</f>
        <v>1056776.3246985453</v>
      </c>
      <c r="E330" s="92" t="str">
        <f t="shared" si="15"/>
        <v>Large</v>
      </c>
      <c r="F330" s="119">
        <f>Area!M34</f>
        <v>360.61456876100056</v>
      </c>
      <c r="G330" s="27">
        <f>D330*Variables!$C$9</f>
        <v>9.5109869222869072</v>
      </c>
      <c r="H330" s="28">
        <f t="shared" si="14"/>
        <v>9.2907950789165827</v>
      </c>
      <c r="I330" s="28">
        <f t="shared" si="16"/>
        <v>0.22019184337032449</v>
      </c>
      <c r="J330" s="197">
        <f>VLOOKUP(A330,'Land costs'!$A$2:$F$96,5,FALSE)</f>
        <v>147442586.65970939</v>
      </c>
      <c r="K330" s="29">
        <f>I330*(J330+Variables!$C$10*Variables!$C$5)</f>
        <v>33445071.89747275</v>
      </c>
      <c r="L330" s="29">
        <f>(G330*Variables!$C$11+D330*Variables!$C$12)*Variables!$C$5</f>
        <v>17252877.538030896</v>
      </c>
    </row>
    <row r="331" spans="1:12" x14ac:dyDescent="0.35">
      <c r="A331" s="96">
        <v>34</v>
      </c>
      <c r="B331" s="87" t="s">
        <v>92</v>
      </c>
      <c r="C331" s="87">
        <v>2026</v>
      </c>
      <c r="D331" s="97">
        <f>Population!K35</f>
        <v>611329.12695442047</v>
      </c>
      <c r="E331" s="92" t="str">
        <f t="shared" si="15"/>
        <v>Medium</v>
      </c>
      <c r="F331" s="119">
        <f>Area!M35</f>
        <v>109.7010428598234</v>
      </c>
      <c r="G331" s="27">
        <f>D331*Variables!$C$9</f>
        <v>5.5019621425897842</v>
      </c>
      <c r="H331" s="28">
        <f t="shared" si="14"/>
        <v>5.3745844901726905</v>
      </c>
      <c r="I331" s="28">
        <f t="shared" si="16"/>
        <v>0.12737765241709376</v>
      </c>
      <c r="J331" s="197">
        <f>VLOOKUP(A331,'Land costs'!$A$2:$F$96,5,FALSE)</f>
        <v>382950815.48123109</v>
      </c>
      <c r="K331" s="29">
        <f>I331*(J331+Variables!$C$10*Variables!$C$5)</f>
        <v>49345953.765219167</v>
      </c>
      <c r="L331" s="29">
        <f>(G331*Variables!$C$11+D331*Variables!$C$12)*Variables!$C$5</f>
        <v>9980528.8179451171</v>
      </c>
    </row>
    <row r="332" spans="1:12" x14ac:dyDescent="0.35">
      <c r="A332" s="96">
        <v>35</v>
      </c>
      <c r="B332" s="87" t="s">
        <v>93</v>
      </c>
      <c r="C332" s="87">
        <v>2026</v>
      </c>
      <c r="D332" s="97">
        <f>Population!K36</f>
        <v>260441.60591347585</v>
      </c>
      <c r="E332" s="92" t="str">
        <f t="shared" si="15"/>
        <v>Medium</v>
      </c>
      <c r="F332" s="119">
        <f>Area!M36</f>
        <v>37.305966481436329</v>
      </c>
      <c r="G332" s="27">
        <f>D332*Variables!$C$9</f>
        <v>2.3439744532212829</v>
      </c>
      <c r="H332" s="28">
        <f t="shared" si="14"/>
        <v>2.2897083649714589</v>
      </c>
      <c r="I332" s="28">
        <f t="shared" si="16"/>
        <v>5.426608824982404E-2</v>
      </c>
      <c r="J332" s="197">
        <f>VLOOKUP(A332,'Land costs'!$A$2:$F$96,5,FALSE)</f>
        <v>83219953.906071469</v>
      </c>
      <c r="K332" s="29">
        <f>I332*(J332+Variables!$C$10*Variables!$C$5)</f>
        <v>4757397.818025589</v>
      </c>
      <c r="L332" s="29">
        <f>(G332*Variables!$C$11+D332*Variables!$C$12)*Variables!$C$5</f>
        <v>4251956.6606633384</v>
      </c>
    </row>
    <row r="333" spans="1:12" x14ac:dyDescent="0.35">
      <c r="A333" s="96">
        <v>36</v>
      </c>
      <c r="B333" s="87" t="s">
        <v>94</v>
      </c>
      <c r="C333" s="87">
        <v>2026</v>
      </c>
      <c r="D333" s="97">
        <f>Population!K37</f>
        <v>1669826.2686713375</v>
      </c>
      <c r="E333" s="92" t="str">
        <f t="shared" si="15"/>
        <v>Large</v>
      </c>
      <c r="F333" s="119">
        <f>Area!M37</f>
        <v>69.865907641269843</v>
      </c>
      <c r="G333" s="27">
        <f>D333*Variables!$C$9</f>
        <v>15.028436418042038</v>
      </c>
      <c r="H333" s="28">
        <f t="shared" si="14"/>
        <v>14.680508369680606</v>
      </c>
      <c r="I333" s="28">
        <f t="shared" si="16"/>
        <v>0.34792804836143176</v>
      </c>
      <c r="J333" s="197">
        <f>VLOOKUP(A333,'Land costs'!$A$2:$F$96,5,FALSE)</f>
        <v>115153966.74863443</v>
      </c>
      <c r="K333" s="29">
        <f>I333*(J333+Variables!$C$10*Variables!$C$5)</f>
        <v>41612884.607281029</v>
      </c>
      <c r="L333" s="29">
        <f>(G333*Variables!$C$11+D333*Variables!$C$12)*Variables!$C$5</f>
        <v>27261500.328739643</v>
      </c>
    </row>
    <row r="334" spans="1:12" x14ac:dyDescent="0.35">
      <c r="A334" s="96">
        <v>37</v>
      </c>
      <c r="B334" s="87" t="s">
        <v>95</v>
      </c>
      <c r="C334" s="87">
        <v>2026</v>
      </c>
      <c r="D334" s="97">
        <f>Population!K38</f>
        <v>278594.73341942107</v>
      </c>
      <c r="E334" s="92" t="str">
        <f t="shared" si="15"/>
        <v>Medium</v>
      </c>
      <c r="F334" s="119">
        <f>Area!M38</f>
        <v>29.359133384799016</v>
      </c>
      <c r="G334" s="27">
        <f>D334*Variables!$C$9</f>
        <v>2.5073526007747895</v>
      </c>
      <c r="H334" s="28">
        <f t="shared" si="14"/>
        <v>2.449304093752847</v>
      </c>
      <c r="I334" s="28">
        <f t="shared" si="16"/>
        <v>5.804850702194253E-2</v>
      </c>
      <c r="J334" s="197">
        <f>VLOOKUP(A334,'Land costs'!$A$2:$F$96,5,FALSE)</f>
        <v>135804860.55953482</v>
      </c>
      <c r="K334" s="29">
        <f>I334*(J334+Variables!$C$10*Variables!$C$5)</f>
        <v>8141470.1180750886</v>
      </c>
      <c r="L334" s="29">
        <f>(G334*Variables!$C$11+D334*Variables!$C$12)*Variables!$C$5</f>
        <v>4548323.7143836925</v>
      </c>
    </row>
    <row r="335" spans="1:12" x14ac:dyDescent="0.35">
      <c r="A335" s="96">
        <v>38</v>
      </c>
      <c r="B335" s="87" t="s">
        <v>96</v>
      </c>
      <c r="C335" s="87">
        <v>2026</v>
      </c>
      <c r="D335" s="97">
        <f>Population!K39</f>
        <v>1225170.5614963565</v>
      </c>
      <c r="E335" s="92" t="str">
        <f t="shared" si="15"/>
        <v>Large</v>
      </c>
      <c r="F335" s="119">
        <f>Area!M39</f>
        <v>118.0987696305825</v>
      </c>
      <c r="G335" s="27">
        <f>D335*Variables!$C$9</f>
        <v>11.026535053467208</v>
      </c>
      <c r="H335" s="28">
        <f t="shared" si="14"/>
        <v>10.771256279639745</v>
      </c>
      <c r="I335" s="28">
        <f t="shared" si="16"/>
        <v>0.25527877382746311</v>
      </c>
      <c r="J335" s="197">
        <f>VLOOKUP(A335,'Land costs'!$A$2:$F$96,5,FALSE)</f>
        <v>223708463.42310071</v>
      </c>
      <c r="K335" s="29">
        <f>I335*(J335+Variables!$C$10*Variables!$C$5)</f>
        <v>58243506.432204098</v>
      </c>
      <c r="L335" s="29">
        <f>(G335*Variables!$C$11+D335*Variables!$C$12)*Variables!$C$5</f>
        <v>20002073.444185939</v>
      </c>
    </row>
    <row r="336" spans="1:12" x14ac:dyDescent="0.35">
      <c r="A336" s="96">
        <v>39</v>
      </c>
      <c r="B336" s="87" t="s">
        <v>97</v>
      </c>
      <c r="C336" s="87">
        <v>2026</v>
      </c>
      <c r="D336" s="97">
        <f>Population!K40</f>
        <v>100861.76049878611</v>
      </c>
      <c r="E336" s="92" t="str">
        <f t="shared" si="15"/>
        <v>Medium</v>
      </c>
      <c r="F336" s="119">
        <f>Area!M40</f>
        <v>28.145033883923865</v>
      </c>
      <c r="G336" s="27">
        <f>D336*Variables!$C$9</f>
        <v>0.90775584448907498</v>
      </c>
      <c r="H336" s="28">
        <f t="shared" si="14"/>
        <v>0.88674010402371284</v>
      </c>
      <c r="I336" s="28">
        <f t="shared" si="16"/>
        <v>2.1015740465362143E-2</v>
      </c>
      <c r="J336" s="197">
        <f>VLOOKUP(A336,'Land costs'!$A$2:$F$96,5,FALSE)</f>
        <v>399734297.50693494</v>
      </c>
      <c r="K336" s="29">
        <f>I336*(J336+Variables!$C$10*Variables!$C$5)</f>
        <v>8494190.6115830299</v>
      </c>
      <c r="L336" s="29">
        <f>(G336*Variables!$C$11+D336*Variables!$C$12)*Variables!$C$5</f>
        <v>1646664.0683421378</v>
      </c>
    </row>
    <row r="337" spans="1:12" x14ac:dyDescent="0.35">
      <c r="A337" s="96">
        <v>40</v>
      </c>
      <c r="B337" s="87" t="s">
        <v>98</v>
      </c>
      <c r="C337" s="87">
        <v>2026</v>
      </c>
      <c r="D337" s="97">
        <f>Population!K41</f>
        <v>180090.39276661252</v>
      </c>
      <c r="E337" s="92" t="str">
        <f t="shared" si="15"/>
        <v>Medium</v>
      </c>
      <c r="F337" s="119">
        <f>Area!M41</f>
        <v>39.292674755595677</v>
      </c>
      <c r="G337" s="27">
        <f>D337*Variables!$C$9</f>
        <v>1.6208135348995127</v>
      </c>
      <c r="H337" s="28">
        <f t="shared" si="14"/>
        <v>1.5832895720421143</v>
      </c>
      <c r="I337" s="28">
        <f t="shared" si="16"/>
        <v>3.7523962857398452E-2</v>
      </c>
      <c r="J337" s="197">
        <f>VLOOKUP(A337,'Land costs'!$A$2:$F$96,5,FALSE)</f>
        <v>101660475.1170758</v>
      </c>
      <c r="K337" s="29">
        <f>I337*(J337+Variables!$C$10*Variables!$C$5)</f>
        <v>3981611.09780053</v>
      </c>
      <c r="L337" s="29">
        <f>(G337*Variables!$C$11+D337*Variables!$C$12)*Variables!$C$5</f>
        <v>2940146.7647986645</v>
      </c>
    </row>
    <row r="338" spans="1:12" x14ac:dyDescent="0.35">
      <c r="A338" s="96">
        <v>41</v>
      </c>
      <c r="B338" s="87" t="s">
        <v>99</v>
      </c>
      <c r="C338" s="87">
        <v>2026</v>
      </c>
      <c r="D338" s="97">
        <f>Population!K42</f>
        <v>86680.295723104427</v>
      </c>
      <c r="E338" s="92" t="str">
        <f t="shared" si="15"/>
        <v>Small</v>
      </c>
      <c r="F338" s="119">
        <f>Area!M42</f>
        <v>15.672920829479173</v>
      </c>
      <c r="G338" s="27">
        <f>D338*Variables!$C$9</f>
        <v>0.78012266150793985</v>
      </c>
      <c r="H338" s="28">
        <f t="shared" si="14"/>
        <v>0.76206179692091414</v>
      </c>
      <c r="I338" s="28">
        <f t="shared" si="16"/>
        <v>1.8060864587025716E-2</v>
      </c>
      <c r="J338" s="197">
        <f>VLOOKUP(A338,'Land costs'!$A$2:$F$96,5,FALSE)</f>
        <v>399734297.50693494</v>
      </c>
      <c r="K338" s="29">
        <f>I338*(J338+Variables!$C$10*Variables!$C$5)</f>
        <v>7299882.041512575</v>
      </c>
      <c r="L338" s="29">
        <f>(G338*Variables!$C$11+D338*Variables!$C$12)*Variables!$C$5</f>
        <v>1415138.1821480757</v>
      </c>
    </row>
    <row r="339" spans="1:12" x14ac:dyDescent="0.35">
      <c r="A339" s="96">
        <v>42</v>
      </c>
      <c r="B339" s="87" t="s">
        <v>100</v>
      </c>
      <c r="C339" s="87">
        <v>2026</v>
      </c>
      <c r="D339" s="97">
        <f>Population!K43</f>
        <v>107341.46785120179</v>
      </c>
      <c r="E339" s="92" t="str">
        <f t="shared" si="15"/>
        <v>Medium</v>
      </c>
      <c r="F339" s="119">
        <f>Area!M43</f>
        <v>16.555902284661098</v>
      </c>
      <c r="G339" s="27">
        <f>D339*Variables!$C$9</f>
        <v>0.96607321066081608</v>
      </c>
      <c r="H339" s="28">
        <f t="shared" si="14"/>
        <v>0.94370734654763688</v>
      </c>
      <c r="I339" s="28">
        <f t="shared" si="16"/>
        <v>2.2365864113179201E-2</v>
      </c>
      <c r="J339" s="197">
        <f>VLOOKUP(A339,'Land costs'!$A$2:$F$96,5,FALSE)</f>
        <v>189319723.52178472</v>
      </c>
      <c r="K339" s="29">
        <f>I339*(J339+Variables!$C$10*Variables!$C$5)</f>
        <v>4333782.9425511062</v>
      </c>
      <c r="L339" s="29">
        <f>(G339*Variables!$C$11+D339*Variables!$C$12)*Variables!$C$5</f>
        <v>1752451.4472043547</v>
      </c>
    </row>
    <row r="340" spans="1:12" x14ac:dyDescent="0.35">
      <c r="A340" s="96">
        <v>1</v>
      </c>
      <c r="B340" s="87" t="s">
        <v>59</v>
      </c>
      <c r="C340" s="87">
        <v>2027</v>
      </c>
      <c r="D340" s="97">
        <f>Population!L2</f>
        <v>581872.17100281536</v>
      </c>
      <c r="E340" s="92" t="str">
        <f t="shared" si="15"/>
        <v>Medium</v>
      </c>
      <c r="F340" s="119">
        <f>Area!N2</f>
        <v>114.85888063398342</v>
      </c>
      <c r="G340" s="27">
        <f>D340*Variables!$C$9</f>
        <v>5.2368495390253385</v>
      </c>
      <c r="H340" s="28">
        <f t="shared" si="14"/>
        <v>5.1156095917019995</v>
      </c>
      <c r="I340" s="28">
        <f t="shared" si="16"/>
        <v>0.12123994732333898</v>
      </c>
      <c r="J340" s="197">
        <f>VLOOKUP(A340,'Land costs'!$A$2:$F$96,5,FALSE)</f>
        <v>349411907.96390015</v>
      </c>
      <c r="K340" s="29">
        <f>I340*(J340+Variables!$C$10*Variables!$C$5)</f>
        <v>42901958.600250445</v>
      </c>
      <c r="L340" s="29">
        <f>(G340*Variables!$C$11+D340*Variables!$C$12)*Variables!$C$5</f>
        <v>9499616.025144631</v>
      </c>
    </row>
    <row r="341" spans="1:12" x14ac:dyDescent="0.35">
      <c r="A341" s="96">
        <v>2</v>
      </c>
      <c r="B341" s="87" t="s">
        <v>60</v>
      </c>
      <c r="C341" s="87">
        <v>2027</v>
      </c>
      <c r="D341" s="97">
        <f>Population!L3</f>
        <v>426822.24409496418</v>
      </c>
      <c r="E341" s="92" t="str">
        <f t="shared" si="15"/>
        <v>Medium</v>
      </c>
      <c r="F341" s="119">
        <f>Area!N3</f>
        <v>690.66458486487409</v>
      </c>
      <c r="G341" s="27">
        <f>D341*Variables!$C$9</f>
        <v>3.8414001968546776</v>
      </c>
      <c r="H341" s="28">
        <f t="shared" si="14"/>
        <v>12.956920723790825</v>
      </c>
      <c r="I341" s="28">
        <f t="shared" si="16"/>
        <v>0</v>
      </c>
      <c r="J341" s="197">
        <f>VLOOKUP(A341,'Land costs'!$A$2:$F$96,5,FALSE)</f>
        <v>207178319.55590102</v>
      </c>
      <c r="K341" s="29">
        <f>I341*(J341+Variables!$C$10*Variables!$C$5)</f>
        <v>0</v>
      </c>
      <c r="L341" s="29">
        <f>(G341*Variables!$C$11+D341*Variables!$C$12)*Variables!$C$5</f>
        <v>6968278.6562980274</v>
      </c>
    </row>
    <row r="342" spans="1:12" x14ac:dyDescent="0.35">
      <c r="A342" s="96">
        <v>3</v>
      </c>
      <c r="B342" s="87" t="s">
        <v>61</v>
      </c>
      <c r="C342" s="87">
        <v>2027</v>
      </c>
      <c r="D342" s="97">
        <f>Population!L4</f>
        <v>12282725.931471176</v>
      </c>
      <c r="E342" s="92" t="str">
        <f t="shared" si="15"/>
        <v>Large</v>
      </c>
      <c r="F342" s="119">
        <f>Area!N4</f>
        <v>814.59127186469834</v>
      </c>
      <c r="G342" s="27">
        <f>D342*Variables!$C$9</f>
        <v>110.54453338324059</v>
      </c>
      <c r="H342" s="28">
        <f t="shared" si="14"/>
        <v>107.985282195214</v>
      </c>
      <c r="I342" s="28">
        <f t="shared" si="16"/>
        <v>2.5592511880265931</v>
      </c>
      <c r="J342" s="197">
        <f>VLOOKUP(A342,'Land costs'!$A$2:$F$96,5,FALSE)</f>
        <v>623490608.57078338</v>
      </c>
      <c r="K342" s="29">
        <f>I342*(J342+Variables!$C$10*Variables!$C$5)</f>
        <v>1607052672.1865501</v>
      </c>
      <c r="L342" s="29">
        <f>(G342*Variables!$C$11+D342*Variables!$C$12)*Variables!$C$5</f>
        <v>200527170.58107686</v>
      </c>
    </row>
    <row r="343" spans="1:12" x14ac:dyDescent="0.35">
      <c r="A343" s="96">
        <v>4</v>
      </c>
      <c r="B343" s="87" t="s">
        <v>62</v>
      </c>
      <c r="C343" s="87">
        <v>2027</v>
      </c>
      <c r="D343" s="97">
        <f>Population!L5</f>
        <v>2615806.370927142</v>
      </c>
      <c r="E343" s="92" t="str">
        <f t="shared" si="15"/>
        <v>Large</v>
      </c>
      <c r="F343" s="119">
        <f>Area!N5</f>
        <v>450.36771617009293</v>
      </c>
      <c r="G343" s="27">
        <f>D343*Variables!$C$9</f>
        <v>23.542257338344278</v>
      </c>
      <c r="H343" s="28">
        <f t="shared" si="14"/>
        <v>100.58253557595253</v>
      </c>
      <c r="I343" s="28">
        <f t="shared" si="16"/>
        <v>0</v>
      </c>
      <c r="J343" s="197">
        <f>VLOOKUP(A343,'Land costs'!$A$2:$F$96,5,FALSE)</f>
        <v>258664564.88983455</v>
      </c>
      <c r="K343" s="29">
        <f>I343*(J343+Variables!$C$10*Variables!$C$5)</f>
        <v>0</v>
      </c>
      <c r="L343" s="29">
        <f>(G343*Variables!$C$11+D343*Variables!$C$12)*Variables!$C$5</f>
        <v>42705524.268516123</v>
      </c>
    </row>
    <row r="344" spans="1:12" x14ac:dyDescent="0.35">
      <c r="A344" s="96">
        <v>5</v>
      </c>
      <c r="B344" s="87" t="s">
        <v>63</v>
      </c>
      <c r="C344" s="87">
        <v>2027</v>
      </c>
      <c r="D344" s="97">
        <f>Population!L6</f>
        <v>1226868.1132391586</v>
      </c>
      <c r="E344" s="92" t="str">
        <f t="shared" si="15"/>
        <v>Large</v>
      </c>
      <c r="F344" s="119">
        <f>Area!N6</f>
        <v>204.02564323141797</v>
      </c>
      <c r="G344" s="27">
        <f>D344*Variables!$C$9</f>
        <v>11.041813019152428</v>
      </c>
      <c r="H344" s="28">
        <f t="shared" si="14"/>
        <v>10.786180540346223</v>
      </c>
      <c r="I344" s="28">
        <f t="shared" si="16"/>
        <v>0.25563247880620565</v>
      </c>
      <c r="J344" s="197">
        <f>VLOOKUP(A344,'Land costs'!$A$2:$F$96,5,FALSE)</f>
        <v>258664564.88983455</v>
      </c>
      <c r="K344" s="29">
        <f>I344*(J344+Variables!$C$10*Variables!$C$5)</f>
        <v>67260121.382423028</v>
      </c>
      <c r="L344" s="29">
        <f>(G344*Variables!$C$11+D344*Variables!$C$12)*Variables!$C$5</f>
        <v>20029787.589221682</v>
      </c>
    </row>
    <row r="345" spans="1:12" x14ac:dyDescent="0.35">
      <c r="A345" s="96">
        <v>6</v>
      </c>
      <c r="B345" s="87" t="s">
        <v>64</v>
      </c>
      <c r="C345" s="87">
        <v>2027</v>
      </c>
      <c r="D345" s="97">
        <f>Population!L7</f>
        <v>1398787.8003672068</v>
      </c>
      <c r="E345" s="92" t="str">
        <f t="shared" si="15"/>
        <v>Large</v>
      </c>
      <c r="F345" s="119">
        <f>Area!N7</f>
        <v>175.74554825502315</v>
      </c>
      <c r="G345" s="27">
        <f>D345*Variables!$C$9</f>
        <v>12.589090203304862</v>
      </c>
      <c r="H345" s="28">
        <f t="shared" si="14"/>
        <v>12.29763622477763</v>
      </c>
      <c r="I345" s="28">
        <f t="shared" si="16"/>
        <v>0.29145397852723143</v>
      </c>
      <c r="J345" s="197">
        <f>VLOOKUP(A345,'Land costs'!$A$2:$F$96,5,FALSE)</f>
        <v>421303330.51817626</v>
      </c>
      <c r="K345" s="29">
        <f>I345*(J345+Variables!$C$10*Variables!$C$5)</f>
        <v>124086923.94794466</v>
      </c>
      <c r="L345" s="29">
        <f>(G345*Variables!$C$11+D345*Variables!$C$12)*Variables!$C$5</f>
        <v>22836539.821528658</v>
      </c>
    </row>
    <row r="346" spans="1:12" x14ac:dyDescent="0.35">
      <c r="A346" s="96">
        <v>7</v>
      </c>
      <c r="B346" s="87" t="s">
        <v>65</v>
      </c>
      <c r="C346" s="87">
        <v>2027</v>
      </c>
      <c r="D346" s="97">
        <f>Population!L8</f>
        <v>6759442.4978456562</v>
      </c>
      <c r="E346" s="92" t="str">
        <f t="shared" si="15"/>
        <v>Large</v>
      </c>
      <c r="F346" s="119">
        <f>Area!N8</f>
        <v>1190.9052360470914</v>
      </c>
      <c r="G346" s="27">
        <f>D346*Variables!$C$9</f>
        <v>60.834982480610911</v>
      </c>
      <c r="H346" s="28">
        <f t="shared" si="14"/>
        <v>59.426572707444471</v>
      </c>
      <c r="I346" s="28">
        <f t="shared" si="16"/>
        <v>1.40840977316644</v>
      </c>
      <c r="J346" s="197">
        <f>VLOOKUP(A346,'Land costs'!$A$2:$F$96,5,FALSE)</f>
        <v>368904372.20152247</v>
      </c>
      <c r="K346" s="29">
        <f>I346*(J346+Variables!$C$10*Variables!$C$5)</f>
        <v>525833153.0637483</v>
      </c>
      <c r="L346" s="29">
        <f>(G346*Variables!$C$11+D346*Variables!$C$12)*Variables!$C$5</f>
        <v>110354320.88617203</v>
      </c>
    </row>
    <row r="347" spans="1:12" x14ac:dyDescent="0.35">
      <c r="A347" s="96">
        <v>8</v>
      </c>
      <c r="B347" s="87" t="s">
        <v>66</v>
      </c>
      <c r="C347" s="87">
        <v>2027</v>
      </c>
      <c r="D347" s="97">
        <f>Population!L9</f>
        <v>64415.514535721311</v>
      </c>
      <c r="E347" s="92" t="str">
        <f t="shared" si="15"/>
        <v>Small</v>
      </c>
      <c r="F347" s="119">
        <f>Area!N9</f>
        <v>167.75441776805471</v>
      </c>
      <c r="G347" s="27">
        <f>D347*Variables!$C$9</f>
        <v>0.57973963082149182</v>
      </c>
      <c r="H347" s="28">
        <f t="shared" si="14"/>
        <v>0.56631789667040322</v>
      </c>
      <c r="I347" s="28">
        <f t="shared" si="16"/>
        <v>1.3421734151088605E-2</v>
      </c>
      <c r="J347" s="197">
        <f>VLOOKUP(A347,'Land costs'!$A$2:$F$96,5,FALSE)</f>
        <v>399734297.50693494</v>
      </c>
      <c r="K347" s="29">
        <f>I347*(J347+Variables!$C$10*Variables!$C$5)</f>
        <v>5424827.5669964878</v>
      </c>
      <c r="L347" s="29">
        <f>(G347*Variables!$C$11+D347*Variables!$C$12)*Variables!$C$5</f>
        <v>1051644.47561888</v>
      </c>
    </row>
    <row r="348" spans="1:12" x14ac:dyDescent="0.35">
      <c r="A348" s="96">
        <v>9</v>
      </c>
      <c r="B348" s="87" t="s">
        <v>67</v>
      </c>
      <c r="C348" s="87">
        <v>2027</v>
      </c>
      <c r="D348" s="97">
        <f>Population!L10</f>
        <v>828545.68308177299</v>
      </c>
      <c r="E348" s="92" t="str">
        <f t="shared" si="15"/>
        <v>Medium</v>
      </c>
      <c r="F348" s="119">
        <f>Area!N10</f>
        <v>453.39031829203986</v>
      </c>
      <c r="G348" s="27">
        <f>D348*Variables!$C$9</f>
        <v>7.4569111477359575</v>
      </c>
      <c r="H348" s="28">
        <f t="shared" si="14"/>
        <v>7.2842738573175305</v>
      </c>
      <c r="I348" s="28">
        <f t="shared" si="16"/>
        <v>0.17263729041842701</v>
      </c>
      <c r="J348" s="197">
        <f>VLOOKUP(A348,'Land costs'!$A$2:$F$96,5,FALSE)</f>
        <v>292630299.54426229</v>
      </c>
      <c r="K348" s="29">
        <f>I348*(J348+Variables!$C$10*Variables!$C$5)</f>
        <v>51286795.521681488</v>
      </c>
      <c r="L348" s="29">
        <f>(G348*Variables!$C$11+D348*Variables!$C$12)*Variables!$C$5</f>
        <v>13526795.472969839</v>
      </c>
    </row>
    <row r="349" spans="1:12" x14ac:dyDescent="0.35">
      <c r="A349" s="96">
        <v>10</v>
      </c>
      <c r="B349" s="87" t="s">
        <v>68</v>
      </c>
      <c r="C349" s="87">
        <v>2027</v>
      </c>
      <c r="D349" s="97">
        <f>Population!L11</f>
        <v>768882.56197878288</v>
      </c>
      <c r="E349" s="92" t="str">
        <f t="shared" si="15"/>
        <v>Medium</v>
      </c>
      <c r="F349" s="119">
        <f>Area!N11</f>
        <v>134.32780758345717</v>
      </c>
      <c r="G349" s="27">
        <f>D349*Variables!$C$9</f>
        <v>6.9199430578090464</v>
      </c>
      <c r="H349" s="28">
        <f t="shared" si="14"/>
        <v>6.7597372841741192</v>
      </c>
      <c r="I349" s="28">
        <f t="shared" si="16"/>
        <v>0.16020577363492716</v>
      </c>
      <c r="J349" s="197">
        <f>VLOOKUP(A349,'Land costs'!$A$2:$F$96,5,FALSE)</f>
        <v>207178319.55590102</v>
      </c>
      <c r="K349" s="29">
        <f>I349*(J349+Variables!$C$10*Variables!$C$5)</f>
        <v>33903760.887255035</v>
      </c>
      <c r="L349" s="29">
        <f>(G349*Variables!$C$11+D349*Variables!$C$12)*Variables!$C$5</f>
        <v>12552738.335362947</v>
      </c>
    </row>
    <row r="350" spans="1:12" x14ac:dyDescent="0.35">
      <c r="A350" s="96">
        <v>11</v>
      </c>
      <c r="B350" s="87" t="s">
        <v>69</v>
      </c>
      <c r="C350" s="87">
        <v>2027</v>
      </c>
      <c r="D350" s="97">
        <f>Population!L12</f>
        <v>299904.10065683699</v>
      </c>
      <c r="E350" s="92" t="str">
        <f t="shared" si="15"/>
        <v>Medium</v>
      </c>
      <c r="F350" s="119">
        <f>Area!N12</f>
        <v>172.28832095097513</v>
      </c>
      <c r="G350" s="27">
        <f>D350*Variables!$C$9</f>
        <v>2.6991369059115331</v>
      </c>
      <c r="H350" s="28">
        <f t="shared" si="14"/>
        <v>2.636648340247663</v>
      </c>
      <c r="I350" s="28">
        <f t="shared" si="16"/>
        <v>6.2488565663870066E-2</v>
      </c>
      <c r="J350" s="197">
        <f>VLOOKUP(A350,'Land costs'!$A$2:$F$96,5,FALSE)</f>
        <v>446522393.21506435</v>
      </c>
      <c r="K350" s="29">
        <f>I350*(J350+Variables!$C$10*Variables!$C$5)</f>
        <v>28180494.059120864</v>
      </c>
      <c r="L350" s="29">
        <f>(G350*Variables!$C$11+D350*Variables!$C$12)*Variables!$C$5</f>
        <v>4896219.3804461779</v>
      </c>
    </row>
    <row r="351" spans="1:12" x14ac:dyDescent="0.35">
      <c r="A351" s="96">
        <v>12</v>
      </c>
      <c r="B351" s="87" t="s">
        <v>70</v>
      </c>
      <c r="C351" s="87">
        <v>2027</v>
      </c>
      <c r="D351" s="97">
        <f>Population!L13</f>
        <v>145882.62252674557</v>
      </c>
      <c r="E351" s="92" t="str">
        <f t="shared" si="15"/>
        <v>Medium</v>
      </c>
      <c r="F351" s="119">
        <f>Area!N13</f>
        <v>28.714720158495858</v>
      </c>
      <c r="G351" s="27">
        <f>D351*Variables!$C$9</f>
        <v>1.3129436027407102</v>
      </c>
      <c r="H351" s="28">
        <f t="shared" si="14"/>
        <v>1.2825472333112338</v>
      </c>
      <c r="I351" s="28">
        <f t="shared" si="16"/>
        <v>3.0396369429476433E-2</v>
      </c>
      <c r="J351" s="197">
        <f>VLOOKUP(A351,'Land costs'!$A$2:$F$96,5,FALSE)</f>
        <v>207178319.55590102</v>
      </c>
      <c r="K351" s="29">
        <f>I351*(J351+Variables!$C$10*Variables!$C$5)</f>
        <v>6432672.2913621813</v>
      </c>
      <c r="L351" s="29">
        <f>(G351*Variables!$C$11+D351*Variables!$C$12)*Variables!$C$5</f>
        <v>2381672.4150199853</v>
      </c>
    </row>
    <row r="352" spans="1:12" x14ac:dyDescent="0.35">
      <c r="A352" s="96">
        <v>13</v>
      </c>
      <c r="B352" s="87" t="s">
        <v>71</v>
      </c>
      <c r="C352" s="87">
        <v>2027</v>
      </c>
      <c r="D352" s="97">
        <f>Population!L14</f>
        <v>9792505.230035305</v>
      </c>
      <c r="E352" s="92" t="str">
        <f t="shared" si="15"/>
        <v>Large</v>
      </c>
      <c r="F352" s="119">
        <f>Area!N14</f>
        <v>920.72909992048324</v>
      </c>
      <c r="G352" s="27">
        <f>D352*Variables!$C$9</f>
        <v>88.132547070317742</v>
      </c>
      <c r="H352" s="28">
        <f t="shared" si="14"/>
        <v>279.82566666666668</v>
      </c>
      <c r="I352" s="28">
        <f t="shared" si="16"/>
        <v>0</v>
      </c>
      <c r="J352" s="197">
        <f>VLOOKUP(A352,'Land costs'!$A$2:$F$96,5,FALSE)</f>
        <v>225281113.07128146</v>
      </c>
      <c r="K352" s="29">
        <f>I352*(J352+Variables!$C$10*Variables!$C$5)</f>
        <v>0</v>
      </c>
      <c r="L352" s="29">
        <f>(G352*Variables!$C$11+D352*Variables!$C$12)*Variables!$C$5</f>
        <v>159871951.68525404</v>
      </c>
    </row>
    <row r="353" spans="1:12" x14ac:dyDescent="0.35">
      <c r="A353" s="96">
        <v>14</v>
      </c>
      <c r="B353" s="87" t="s">
        <v>72</v>
      </c>
      <c r="C353" s="87">
        <v>2027</v>
      </c>
      <c r="D353" s="97">
        <f>Population!L15</f>
        <v>390203.9398763717</v>
      </c>
      <c r="E353" s="92" t="str">
        <f t="shared" si="15"/>
        <v>Medium</v>
      </c>
      <c r="F353" s="119">
        <f>Area!N15</f>
        <v>45.339031829203982</v>
      </c>
      <c r="G353" s="27">
        <f>D353*Variables!$C$9</f>
        <v>3.5118354588873455</v>
      </c>
      <c r="H353" s="28">
        <f t="shared" si="14"/>
        <v>3.4305318539487595</v>
      </c>
      <c r="I353" s="28">
        <f t="shared" si="16"/>
        <v>8.1303604938586016E-2</v>
      </c>
      <c r="J353" s="197">
        <f>VLOOKUP(A353,'Land costs'!$A$2:$F$96,5,FALSE)</f>
        <v>172078376.43406156</v>
      </c>
      <c r="K353" s="29">
        <f>I353*(J353+Variables!$C$10*Variables!$C$5)</f>
        <v>14352232.111275928</v>
      </c>
      <c r="L353" s="29">
        <f>(G353*Variables!$C$11+D353*Variables!$C$12)*Variables!$C$5</f>
        <v>6370450.049081686</v>
      </c>
    </row>
    <row r="354" spans="1:12" x14ac:dyDescent="0.35">
      <c r="A354" s="96">
        <v>15</v>
      </c>
      <c r="B354" s="87" t="s">
        <v>73</v>
      </c>
      <c r="C354" s="87">
        <v>2027</v>
      </c>
      <c r="D354" s="97">
        <f>Population!L16</f>
        <v>86538.07325166119</v>
      </c>
      <c r="E354" s="92" t="str">
        <f t="shared" si="15"/>
        <v>Small</v>
      </c>
      <c r="F354" s="119">
        <f>Area!N16</f>
        <v>252.38727718256879</v>
      </c>
      <c r="G354" s="27">
        <f>D354*Variables!$C$9</f>
        <v>0.77884265926495078</v>
      </c>
      <c r="H354" s="28">
        <f t="shared" si="14"/>
        <v>43.35</v>
      </c>
      <c r="I354" s="28">
        <f t="shared" si="16"/>
        <v>0</v>
      </c>
      <c r="J354" s="197">
        <f>VLOOKUP(A354,'Land costs'!$A$2:$F$96,5,FALSE)</f>
        <v>399734297.50693494</v>
      </c>
      <c r="K354" s="29">
        <f>I354*(J354+Variables!$C$10*Variables!$C$5)</f>
        <v>0</v>
      </c>
      <c r="L354" s="29">
        <f>(G354*Variables!$C$11+D354*Variables!$C$12)*Variables!$C$5</f>
        <v>1412816.2651769833</v>
      </c>
    </row>
    <row r="355" spans="1:12" x14ac:dyDescent="0.35">
      <c r="A355" s="96">
        <v>16</v>
      </c>
      <c r="B355" s="87" t="s">
        <v>74</v>
      </c>
      <c r="C355" s="87">
        <v>2027</v>
      </c>
      <c r="D355" s="97">
        <f>Population!L17</f>
        <v>4431149.3836022858</v>
      </c>
      <c r="E355" s="92" t="str">
        <f t="shared" si="15"/>
        <v>Large</v>
      </c>
      <c r="F355" s="119">
        <f>Area!N17</f>
        <v>337.34771140358259</v>
      </c>
      <c r="G355" s="27">
        <f>D355*Variables!$C$9</f>
        <v>39.880344452420573</v>
      </c>
      <c r="H355" s="28">
        <f t="shared" si="14"/>
        <v>108.39099999999998</v>
      </c>
      <c r="I355" s="28">
        <f t="shared" si="16"/>
        <v>0</v>
      </c>
      <c r="J355" s="197">
        <f>VLOOKUP(A355,'Land costs'!$A$2:$F$96,5,FALSE)</f>
        <v>258664564.88983455</v>
      </c>
      <c r="K355" s="29">
        <f>I355*(J355+Variables!$C$10*Variables!$C$5)</f>
        <v>0</v>
      </c>
      <c r="L355" s="29">
        <f>(G355*Variables!$C$11+D355*Variables!$C$12)*Variables!$C$5</f>
        <v>72342723.697769612</v>
      </c>
    </row>
    <row r="356" spans="1:12" x14ac:dyDescent="0.35">
      <c r="A356" s="96">
        <v>17</v>
      </c>
      <c r="B356" s="87" t="s">
        <v>75</v>
      </c>
      <c r="C356" s="87">
        <v>2027</v>
      </c>
      <c r="D356" s="97">
        <f>Population!L18</f>
        <v>16306.804524308656</v>
      </c>
      <c r="E356" s="92" t="str">
        <f t="shared" si="15"/>
        <v>Small</v>
      </c>
      <c r="F356" s="119">
        <f>Area!N18</f>
        <v>2.9216298149401947</v>
      </c>
      <c r="G356" s="27">
        <f>D356*Variables!$C$9</f>
        <v>0.14676124071877791</v>
      </c>
      <c r="H356" s="28">
        <f t="shared" si="14"/>
        <v>0.14336352517219683</v>
      </c>
      <c r="I356" s="28">
        <f t="shared" si="16"/>
        <v>3.3977155465810815E-3</v>
      </c>
      <c r="J356" s="197">
        <f>VLOOKUP(A356,'Land costs'!$A$2:$F$96,5,FALSE)</f>
        <v>399734297.50693494</v>
      </c>
      <c r="K356" s="29">
        <f>I356*(J356+Variables!$C$10*Variables!$C$5)</f>
        <v>1373296.5319098213</v>
      </c>
      <c r="L356" s="29">
        <f>(G356*Variables!$C$11+D356*Variables!$C$12)*Variables!$C$5</f>
        <v>266224.07686390961</v>
      </c>
    </row>
    <row r="357" spans="1:12" x14ac:dyDescent="0.35">
      <c r="A357" s="96">
        <v>18</v>
      </c>
      <c r="B357" s="87" t="s">
        <v>76</v>
      </c>
      <c r="C357" s="87">
        <v>2027</v>
      </c>
      <c r="D357" s="97">
        <f>Population!L19</f>
        <v>144068.65417332784</v>
      </c>
      <c r="E357" s="92" t="str">
        <f t="shared" si="15"/>
        <v>Medium</v>
      </c>
      <c r="F357" s="119">
        <f>Area!N19</f>
        <v>30.226021219469327</v>
      </c>
      <c r="G357" s="27">
        <f>D357*Variables!$C$9</f>
        <v>1.2966178875599506</v>
      </c>
      <c r="H357" s="28">
        <f t="shared" si="14"/>
        <v>1.2665994798866369</v>
      </c>
      <c r="I357" s="28">
        <f t="shared" si="16"/>
        <v>3.0018407673313652E-2</v>
      </c>
      <c r="J357" s="197">
        <f>VLOOKUP(A357,'Land costs'!$A$2:$F$96,5,FALSE)</f>
        <v>207178319.55590102</v>
      </c>
      <c r="K357" s="29">
        <f>I357*(J357+Variables!$C$10*Variables!$C$5)</f>
        <v>6352685.6297411658</v>
      </c>
      <c r="L357" s="29">
        <f>(G357*Variables!$C$11+D357*Variables!$C$12)*Variables!$C$5</f>
        <v>2352057.6582091656</v>
      </c>
    </row>
    <row r="358" spans="1:12" x14ac:dyDescent="0.35">
      <c r="A358" s="96">
        <v>19</v>
      </c>
      <c r="B358" s="87" t="s">
        <v>77</v>
      </c>
      <c r="C358" s="87">
        <v>2027</v>
      </c>
      <c r="D358" s="97">
        <f>Population!L20</f>
        <v>6541187.3384149494</v>
      </c>
      <c r="E358" s="92" t="str">
        <f t="shared" si="15"/>
        <v>Large</v>
      </c>
      <c r="F358" s="119">
        <f>Area!N20</f>
        <v>1073.2314977899575</v>
      </c>
      <c r="G358" s="27">
        <f>D358*Variables!$C$9</f>
        <v>58.870686045734544</v>
      </c>
      <c r="H358" s="28">
        <f t="shared" si="14"/>
        <v>57.507752315848919</v>
      </c>
      <c r="I358" s="28">
        <f t="shared" si="16"/>
        <v>1.3629337298856257</v>
      </c>
      <c r="J358" s="197">
        <f>VLOOKUP(A358,'Land costs'!$A$2:$F$96,5,FALSE)</f>
        <v>69556263.81201373</v>
      </c>
      <c r="K358" s="29">
        <f>I358*(J358+Variables!$C$10*Variables!$C$5)</f>
        <v>100862929.7752405</v>
      </c>
      <c r="L358" s="29">
        <f>(G358*Variables!$C$11+D358*Variables!$C$12)*Variables!$C$5</f>
        <v>106791098.04544879</v>
      </c>
    </row>
    <row r="359" spans="1:12" x14ac:dyDescent="0.35">
      <c r="A359" s="96">
        <v>20</v>
      </c>
      <c r="B359" s="87" t="s">
        <v>78</v>
      </c>
      <c r="C359" s="87">
        <v>2027</v>
      </c>
      <c r="D359" s="97">
        <f>Population!L21</f>
        <v>4097946.5262669525</v>
      </c>
      <c r="E359" s="92" t="str">
        <f t="shared" si="15"/>
        <v>Large</v>
      </c>
      <c r="F359" s="119">
        <f>Area!N21</f>
        <v>509.30845754805802</v>
      </c>
      <c r="G359" s="27">
        <f>D359*Variables!$C$9</f>
        <v>36.881518736402576</v>
      </c>
      <c r="H359" s="28">
        <f t="shared" si="14"/>
        <v>38.65</v>
      </c>
      <c r="I359" s="28">
        <f t="shared" si="16"/>
        <v>0</v>
      </c>
      <c r="J359" s="197">
        <f>VLOOKUP(A359,'Land costs'!$A$2:$F$96,5,FALSE)</f>
        <v>423084709.93427253</v>
      </c>
      <c r="K359" s="29">
        <f>I359*(J359+Variables!$C$10*Variables!$C$5)</f>
        <v>0</v>
      </c>
      <c r="L359" s="29">
        <f>(G359*Variables!$C$11+D359*Variables!$C$12)*Variables!$C$5</f>
        <v>66902870.477582879</v>
      </c>
    </row>
    <row r="360" spans="1:12" x14ac:dyDescent="0.35">
      <c r="A360" s="96">
        <v>21</v>
      </c>
      <c r="B360" s="98" t="s">
        <v>79</v>
      </c>
      <c r="C360" s="87">
        <v>2027</v>
      </c>
      <c r="D360" s="97">
        <f>Population!L22</f>
        <v>18099495.479887232</v>
      </c>
      <c r="E360" s="92" t="str">
        <f t="shared" si="15"/>
        <v>Large</v>
      </c>
      <c r="F360" s="119">
        <f>Area!N22</f>
        <v>628.55382605844875</v>
      </c>
      <c r="G360" s="27">
        <f>D360*Variables!$C$9</f>
        <v>162.8954593189851</v>
      </c>
      <c r="H360" s="28">
        <f t="shared" si="14"/>
        <v>159.12421541368084</v>
      </c>
      <c r="I360" s="28">
        <f t="shared" si="16"/>
        <v>3.7712439053042601</v>
      </c>
      <c r="J360" s="197">
        <f>VLOOKUP(A360,'Land costs'!$A$2:$F$96,5,FALSE)</f>
        <v>136261714.31466237</v>
      </c>
      <c r="K360" s="29">
        <f>I360*(J360+Variables!$C$10*Variables!$C$5)</f>
        <v>530650714.70223111</v>
      </c>
      <c r="L360" s="29">
        <f>(G360*Variables!$C$11+D360*Variables!$C$12)*Variables!$C$5</f>
        <v>295491459.93946779</v>
      </c>
    </row>
    <row r="361" spans="1:12" x14ac:dyDescent="0.35">
      <c r="A361" s="96">
        <v>22</v>
      </c>
      <c r="B361" s="87" t="s">
        <v>80</v>
      </c>
      <c r="C361" s="87">
        <v>2027</v>
      </c>
      <c r="D361" s="97">
        <f>Population!L23</f>
        <v>16051590.668843238</v>
      </c>
      <c r="E361" s="92" t="str">
        <f t="shared" si="15"/>
        <v>Large</v>
      </c>
      <c r="F361" s="119">
        <f>Area!N23</f>
        <v>1181.8374296812503</v>
      </c>
      <c r="G361" s="27">
        <f>D361*Variables!$C$9</f>
        <v>144.46431601958915</v>
      </c>
      <c r="H361" s="28">
        <f t="shared" si="14"/>
        <v>141.11977729763518</v>
      </c>
      <c r="I361" s="28">
        <f t="shared" si="16"/>
        <v>3.3445387219539668</v>
      </c>
      <c r="J361" s="197">
        <f>VLOOKUP(A361,'Land costs'!$A$2:$F$96,5,FALSE)</f>
        <v>181431544.56336635</v>
      </c>
      <c r="K361" s="29">
        <f>I361*(J361+Variables!$C$10*Variables!$C$5)</f>
        <v>621681389.55227661</v>
      </c>
      <c r="L361" s="29">
        <f>(G361*Variables!$C$11+D361*Variables!$C$12)*Variables!$C$5</f>
        <v>262057468.1961675</v>
      </c>
    </row>
    <row r="362" spans="1:12" x14ac:dyDescent="0.35">
      <c r="A362" s="96">
        <v>23</v>
      </c>
      <c r="B362" s="87" t="s">
        <v>81</v>
      </c>
      <c r="C362" s="87">
        <v>2027</v>
      </c>
      <c r="D362" s="97">
        <f>Population!L24</f>
        <v>58211.364553903608</v>
      </c>
      <c r="E362" s="92" t="str">
        <f t="shared" si="15"/>
        <v>Small</v>
      </c>
      <c r="F362" s="119">
        <f>Area!N24</f>
        <v>112.13167348751172</v>
      </c>
      <c r="G362" s="27">
        <f>D362*Variables!$C$9</f>
        <v>0.52390228098513247</v>
      </c>
      <c r="H362" s="28">
        <f t="shared" si="14"/>
        <v>0.8</v>
      </c>
      <c r="I362" s="28">
        <f t="shared" si="16"/>
        <v>0</v>
      </c>
      <c r="J362" s="197">
        <f>VLOOKUP(A362,'Land costs'!$A$2:$F$96,5,FALSE)</f>
        <v>679160605.168293</v>
      </c>
      <c r="K362" s="29">
        <f>I362*(J362+Variables!$C$10*Variables!$C$5)</f>
        <v>0</v>
      </c>
      <c r="L362" s="29">
        <f>(G362*Variables!$C$11+D362*Variables!$C$12)*Variables!$C$5</f>
        <v>950355.83263720514</v>
      </c>
    </row>
    <row r="363" spans="1:12" x14ac:dyDescent="0.35">
      <c r="A363" s="96">
        <v>24</v>
      </c>
      <c r="B363" s="87" t="s">
        <v>82</v>
      </c>
      <c r="C363" s="87">
        <v>2027</v>
      </c>
      <c r="D363" s="97">
        <f>Population!L25</f>
        <v>2449980.2791739674</v>
      </c>
      <c r="E363" s="92" t="str">
        <f t="shared" si="15"/>
        <v>Large</v>
      </c>
      <c r="F363" s="119">
        <f>Area!N25</f>
        <v>114.85888063398343</v>
      </c>
      <c r="G363" s="27">
        <f>D363*Variables!$C$9</f>
        <v>22.049822512565708</v>
      </c>
      <c r="H363" s="28">
        <f t="shared" si="14"/>
        <v>21.539340150987304</v>
      </c>
      <c r="I363" s="28">
        <f t="shared" si="16"/>
        <v>0.51048236157840421</v>
      </c>
      <c r="J363" s="197">
        <f>VLOOKUP(A363,'Land costs'!$A$2:$F$96,5,FALSE)</f>
        <v>273857556.71751869</v>
      </c>
      <c r="K363" s="29">
        <f>I363*(J363+Variables!$C$10*Variables!$C$5)</f>
        <v>142070086.24980089</v>
      </c>
      <c r="L363" s="29">
        <f>(G363*Variables!$C$11+D363*Variables!$C$12)*Variables!$C$5</f>
        <v>39998255.770195149</v>
      </c>
    </row>
    <row r="364" spans="1:12" x14ac:dyDescent="0.35">
      <c r="A364" s="96">
        <v>25</v>
      </c>
      <c r="B364" s="87" t="s">
        <v>83</v>
      </c>
      <c r="C364" s="87">
        <v>2027</v>
      </c>
      <c r="D364" s="97">
        <f>Population!L26</f>
        <v>351698.93401031906</v>
      </c>
      <c r="E364" s="92" t="str">
        <f t="shared" si="15"/>
        <v>Medium</v>
      </c>
      <c r="F364" s="119">
        <f>Area!N26</f>
        <v>204.02564323141792</v>
      </c>
      <c r="G364" s="27">
        <f>D364*Variables!$C$9</f>
        <v>3.1652904060928715</v>
      </c>
      <c r="H364" s="28">
        <f t="shared" si="14"/>
        <v>3.0920097744386745</v>
      </c>
      <c r="I364" s="28">
        <f t="shared" si="16"/>
        <v>7.3280631654196959E-2</v>
      </c>
      <c r="J364" s="197">
        <f>VLOOKUP(A364,'Land costs'!$A$2:$F$96,5,FALSE)</f>
        <v>202576692.05248237</v>
      </c>
      <c r="K364" s="29">
        <f>I364*(J364+Variables!$C$10*Variables!$C$5)</f>
        <v>15170901.409788774</v>
      </c>
      <c r="L364" s="29">
        <f>(G364*Variables!$C$11+D364*Variables!$C$12)*Variables!$C$5</f>
        <v>5741819.2449257812</v>
      </c>
    </row>
    <row r="365" spans="1:12" x14ac:dyDescent="0.35">
      <c r="A365" s="96">
        <v>26</v>
      </c>
      <c r="B365" s="87" t="s">
        <v>84</v>
      </c>
      <c r="C365" s="87">
        <v>2027</v>
      </c>
      <c r="D365" s="97">
        <f>Population!L27</f>
        <v>145737.15593866076</v>
      </c>
      <c r="E365" s="92" t="str">
        <f t="shared" si="15"/>
        <v>Medium</v>
      </c>
      <c r="F365" s="119">
        <f>Area!N27</f>
        <v>728.44711138921059</v>
      </c>
      <c r="G365" s="27">
        <f>D365*Variables!$C$9</f>
        <v>1.3116344034479468</v>
      </c>
      <c r="H365" s="28">
        <f t="shared" si="14"/>
        <v>1.2812683437022043</v>
      </c>
      <c r="I365" s="28">
        <f t="shared" si="16"/>
        <v>3.0366059745742469E-2</v>
      </c>
      <c r="J365" s="197">
        <f>VLOOKUP(A365,'Land costs'!$A$2:$F$96,5,FALSE)</f>
        <v>207178319.55590102</v>
      </c>
      <c r="K365" s="29">
        <f>I365*(J365+Variables!$C$10*Variables!$C$5)</f>
        <v>6426257.9640469477</v>
      </c>
      <c r="L365" s="29">
        <f>(G365*Variables!$C$11+D365*Variables!$C$12)*Variables!$C$5</f>
        <v>2379297.5347625017</v>
      </c>
    </row>
    <row r="366" spans="1:12" x14ac:dyDescent="0.35">
      <c r="A366" s="96">
        <v>27</v>
      </c>
      <c r="B366" s="87" t="s">
        <v>85</v>
      </c>
      <c r="C366" s="87">
        <v>2027</v>
      </c>
      <c r="D366" s="97">
        <f>Population!L28</f>
        <v>1469842.4099831195</v>
      </c>
      <c r="E366" s="92" t="str">
        <f t="shared" si="15"/>
        <v>Large</v>
      </c>
      <c r="F366" s="119">
        <f>Area!N28</f>
        <v>136.01500572587091</v>
      </c>
      <c r="G366" s="27">
        <f>D366*Variables!$C$9</f>
        <v>13.228581689848076</v>
      </c>
      <c r="H366" s="28">
        <f t="shared" si="14"/>
        <v>27.873100000000001</v>
      </c>
      <c r="I366" s="28">
        <f t="shared" si="16"/>
        <v>0</v>
      </c>
      <c r="J366" s="197">
        <f>VLOOKUP(A366,'Land costs'!$A$2:$F$96,5,FALSE)</f>
        <v>194110385.46713075</v>
      </c>
      <c r="K366" s="29">
        <f>I366*(J366+Variables!$C$10*Variables!$C$5)</f>
        <v>0</v>
      </c>
      <c r="L366" s="29">
        <f>(G366*Variables!$C$11+D366*Variables!$C$12)*Variables!$C$5</f>
        <v>23996573.832099088</v>
      </c>
    </row>
    <row r="367" spans="1:12" x14ac:dyDescent="0.35">
      <c r="A367" s="96">
        <v>28</v>
      </c>
      <c r="B367" s="87" t="s">
        <v>86</v>
      </c>
      <c r="C367" s="87">
        <v>2027</v>
      </c>
      <c r="D367" s="97">
        <f>Population!L29</f>
        <v>1561477.6324812728</v>
      </c>
      <c r="E367" s="92" t="str">
        <f t="shared" si="15"/>
        <v>Large</v>
      </c>
      <c r="F367" s="119">
        <f>Area!N29</f>
        <v>175.31092307292198</v>
      </c>
      <c r="G367" s="27">
        <f>D367*Variables!$C$9</f>
        <v>14.053298692331456</v>
      </c>
      <c r="H367" s="28">
        <f t="shared" ref="H367:H430" si="17">H325+I325</f>
        <v>59.512458633395788</v>
      </c>
      <c r="I367" s="28">
        <f t="shared" si="16"/>
        <v>0</v>
      </c>
      <c r="J367" s="197">
        <f>VLOOKUP(A367,'Land costs'!$A$2:$F$96,5,FALSE)</f>
        <v>106495314.22538668</v>
      </c>
      <c r="K367" s="29">
        <f>I367*(J367+Variables!$C$10*Variables!$C$5)</f>
        <v>0</v>
      </c>
      <c r="L367" s="29">
        <f>(G367*Variables!$C$11+D367*Variables!$C$12)*Variables!$C$5</f>
        <v>25492605.901498295</v>
      </c>
    </row>
    <row r="368" spans="1:12" x14ac:dyDescent="0.35">
      <c r="A368" s="96">
        <v>29</v>
      </c>
      <c r="B368" s="87" t="s">
        <v>87</v>
      </c>
      <c r="C368" s="87">
        <v>2027</v>
      </c>
      <c r="D368" s="97">
        <f>Population!L30</f>
        <v>208350.3394480111</v>
      </c>
      <c r="E368" s="92" t="str">
        <f t="shared" si="15"/>
        <v>Medium</v>
      </c>
      <c r="F368" s="119">
        <f>Area!N30</f>
        <v>985.36829175469995</v>
      </c>
      <c r="G368" s="27">
        <f>D368*Variables!$C$9</f>
        <v>1.8751530550321001</v>
      </c>
      <c r="H368" s="28">
        <f t="shared" si="17"/>
        <v>1.8317407981167333</v>
      </c>
      <c r="I368" s="28">
        <f t="shared" si="16"/>
        <v>4.3412256915366765E-2</v>
      </c>
      <c r="J368" s="197">
        <f>VLOOKUP(A368,'Land costs'!$A$2:$F$96,5,FALSE)</f>
        <v>207178319.55590102</v>
      </c>
      <c r="K368" s="29">
        <f>I368*(J368+Variables!$C$10*Variables!$C$5)</f>
        <v>9187176.8703459315</v>
      </c>
      <c r="L368" s="29">
        <f>(G368*Variables!$C$11+D368*Variables!$C$12)*Variables!$C$5</f>
        <v>3401517.2439911603</v>
      </c>
    </row>
    <row r="369" spans="1:12" x14ac:dyDescent="0.35">
      <c r="A369" s="96">
        <v>30</v>
      </c>
      <c r="B369" s="87" t="s">
        <v>88</v>
      </c>
      <c r="C369" s="87">
        <v>2027</v>
      </c>
      <c r="D369" s="97">
        <f>Population!L31</f>
        <v>142942.74278155129</v>
      </c>
      <c r="E369" s="92" t="str">
        <f t="shared" si="15"/>
        <v>Medium</v>
      </c>
      <c r="F369" s="119">
        <f>Area!N31</f>
        <v>98.234568963275322</v>
      </c>
      <c r="G369" s="27">
        <f>D369*Variables!$C$9</f>
        <v>1.2864846850339617</v>
      </c>
      <c r="H369" s="28">
        <f t="shared" si="17"/>
        <v>1.2567008743127495</v>
      </c>
      <c r="I369" s="28">
        <f t="shared" si="16"/>
        <v>2.9783810721212278E-2</v>
      </c>
      <c r="J369" s="197">
        <f>VLOOKUP(A369,'Land costs'!$A$2:$F$96,5,FALSE)</f>
        <v>207178319.55590102</v>
      </c>
      <c r="K369" s="29">
        <f>I369*(J369+Variables!$C$10*Variables!$C$5)</f>
        <v>6303038.7363211531</v>
      </c>
      <c r="L369" s="29">
        <f>(G369*Variables!$C$11+D369*Variables!$C$12)*Variables!$C$5</f>
        <v>2333676.0850162422</v>
      </c>
    </row>
    <row r="370" spans="1:12" x14ac:dyDescent="0.35">
      <c r="A370" s="96">
        <v>31</v>
      </c>
      <c r="B370" s="87" t="s">
        <v>89</v>
      </c>
      <c r="C370" s="87">
        <v>2027</v>
      </c>
      <c r="D370" s="97">
        <f>Population!L32</f>
        <v>246679.33074248111</v>
      </c>
      <c r="E370" s="92" t="str">
        <f t="shared" si="15"/>
        <v>Medium</v>
      </c>
      <c r="F370" s="119">
        <f>Area!N32</f>
        <v>742.04882093797175</v>
      </c>
      <c r="G370" s="27">
        <f>D370*Variables!$C$9</f>
        <v>2.2201139766823301</v>
      </c>
      <c r="H370" s="28">
        <f t="shared" si="17"/>
        <v>2.1687154211998925</v>
      </c>
      <c r="I370" s="28">
        <f t="shared" si="16"/>
        <v>5.1398555482437658E-2</v>
      </c>
      <c r="J370" s="197">
        <f>VLOOKUP(A370,'Land costs'!$A$2:$F$96,5,FALSE)</f>
        <v>207178319.55590102</v>
      </c>
      <c r="K370" s="29">
        <f>I370*(J370+Variables!$C$10*Variables!$C$5)</f>
        <v>10877287.974638669</v>
      </c>
      <c r="L370" s="29">
        <f>(G370*Variables!$C$11+D370*Variables!$C$12)*Variables!$C$5</f>
        <v>4027274.4430355094</v>
      </c>
    </row>
    <row r="371" spans="1:12" x14ac:dyDescent="0.35">
      <c r="A371" s="96">
        <v>32</v>
      </c>
      <c r="B371" s="87" t="s">
        <v>90</v>
      </c>
      <c r="C371" s="87">
        <v>2027</v>
      </c>
      <c r="D371" s="97">
        <f>Population!L33</f>
        <v>1717334.8989529947</v>
      </c>
      <c r="E371" s="92" t="str">
        <f t="shared" si="15"/>
        <v>Large</v>
      </c>
      <c r="F371" s="119">
        <f>Area!N33</f>
        <v>43.827730768230516</v>
      </c>
      <c r="G371" s="27">
        <f>D371*Variables!$C$9</f>
        <v>15.456014090576954</v>
      </c>
      <c r="H371" s="28">
        <f t="shared" si="17"/>
        <v>15.098187057318503</v>
      </c>
      <c r="I371" s="28">
        <f t="shared" si="16"/>
        <v>0.35782703325845056</v>
      </c>
      <c r="J371" s="197">
        <f>VLOOKUP(A371,'Land costs'!$A$2:$F$96,5,FALSE)</f>
        <v>258664564.88983455</v>
      </c>
      <c r="K371" s="29">
        <f>I371*(J371+Variables!$C$10*Variables!$C$5)</f>
        <v>94148794.406994</v>
      </c>
      <c r="L371" s="29">
        <f>(G371*Variables!$C$11+D371*Variables!$C$12)*Variables!$C$5</f>
        <v>28037123.85577393</v>
      </c>
    </row>
    <row r="372" spans="1:12" x14ac:dyDescent="0.35">
      <c r="A372" s="96">
        <v>33</v>
      </c>
      <c r="B372" s="87" t="s">
        <v>91</v>
      </c>
      <c r="C372" s="87">
        <v>2027</v>
      </c>
      <c r="D372" s="97">
        <f>Population!L34</f>
        <v>1081821.9235939009</v>
      </c>
      <c r="E372" s="92" t="str">
        <f t="shared" si="15"/>
        <v>Large</v>
      </c>
      <c r="F372" s="119">
        <f>Area!N34</f>
        <v>365.73485675557868</v>
      </c>
      <c r="G372" s="27">
        <f>D372*Variables!$C$9</f>
        <v>9.7363973123451082</v>
      </c>
      <c r="H372" s="28">
        <f t="shared" si="17"/>
        <v>9.5109869222869072</v>
      </c>
      <c r="I372" s="28">
        <f t="shared" si="16"/>
        <v>0.22541039005820096</v>
      </c>
      <c r="J372" s="197">
        <f>VLOOKUP(A372,'Land costs'!$A$2:$F$96,5,FALSE)</f>
        <v>147442586.65970939</v>
      </c>
      <c r="K372" s="29">
        <f>I372*(J372+Variables!$C$10*Variables!$C$5)</f>
        <v>34237720.101442821</v>
      </c>
      <c r="L372" s="29">
        <f>(G372*Variables!$C$11+D372*Variables!$C$12)*Variables!$C$5</f>
        <v>17661770.73568223</v>
      </c>
    </row>
    <row r="373" spans="1:12" x14ac:dyDescent="0.35">
      <c r="A373" s="96">
        <v>34</v>
      </c>
      <c r="B373" s="87" t="s">
        <v>92</v>
      </c>
      <c r="C373" s="87">
        <v>2027</v>
      </c>
      <c r="D373" s="97">
        <f>Population!L35</f>
        <v>625817.62726324028</v>
      </c>
      <c r="E373" s="92" t="str">
        <f t="shared" si="15"/>
        <v>Medium</v>
      </c>
      <c r="F373" s="119">
        <f>Area!N35</f>
        <v>111.25866415803591</v>
      </c>
      <c r="G373" s="27">
        <f>D373*Variables!$C$9</f>
        <v>5.6323586453691625</v>
      </c>
      <c r="H373" s="28">
        <f t="shared" si="17"/>
        <v>5.5019621425897842</v>
      </c>
      <c r="I373" s="28">
        <f t="shared" si="16"/>
        <v>0.13039650277937831</v>
      </c>
      <c r="J373" s="197">
        <f>VLOOKUP(A373,'Land costs'!$A$2:$F$96,5,FALSE)</f>
        <v>382950815.48123109</v>
      </c>
      <c r="K373" s="29">
        <f>I373*(J373+Variables!$C$10*Variables!$C$5)</f>
        <v>50515452.869454637</v>
      </c>
      <c r="L373" s="29">
        <f>(G373*Variables!$C$11+D373*Variables!$C$12)*Variables!$C$5</f>
        <v>10217067.350930417</v>
      </c>
    </row>
    <row r="374" spans="1:12" x14ac:dyDescent="0.35">
      <c r="A374" s="96">
        <v>35</v>
      </c>
      <c r="B374" s="87" t="s">
        <v>93</v>
      </c>
      <c r="C374" s="87">
        <v>2027</v>
      </c>
      <c r="D374" s="97">
        <f>Population!L36</f>
        <v>266614.07197362528</v>
      </c>
      <c r="E374" s="92" t="str">
        <f t="shared" si="15"/>
        <v>Medium</v>
      </c>
      <c r="F374" s="119">
        <f>Area!N36</f>
        <v>37.835665802673759</v>
      </c>
      <c r="G374" s="27">
        <f>D374*Variables!$C$9</f>
        <v>2.3995266477626274</v>
      </c>
      <c r="H374" s="28">
        <f t="shared" si="17"/>
        <v>2.3439744532212829</v>
      </c>
      <c r="I374" s="28">
        <f t="shared" si="16"/>
        <v>5.5552194541344413E-2</v>
      </c>
      <c r="J374" s="197">
        <f>VLOOKUP(A374,'Land costs'!$A$2:$F$96,5,FALSE)</f>
        <v>83219953.906071469</v>
      </c>
      <c r="K374" s="29">
        <f>I374*(J374+Variables!$C$10*Variables!$C$5)</f>
        <v>4870148.1463127555</v>
      </c>
      <c r="L374" s="29">
        <f>(G374*Variables!$C$11+D374*Variables!$C$12)*Variables!$C$5</f>
        <v>4352728.0335210599</v>
      </c>
    </row>
    <row r="375" spans="1:12" x14ac:dyDescent="0.35">
      <c r="A375" s="96">
        <v>36</v>
      </c>
      <c r="B375" s="87" t="s">
        <v>94</v>
      </c>
      <c r="C375" s="87">
        <v>2027</v>
      </c>
      <c r="D375" s="97">
        <f>Population!L37</f>
        <v>1709401.1512388485</v>
      </c>
      <c r="E375" s="92" t="str">
        <f t="shared" si="15"/>
        <v>Large</v>
      </c>
      <c r="F375" s="119">
        <f>Area!N37</f>
        <v>70.857918500273669</v>
      </c>
      <c r="G375" s="27">
        <f>D375*Variables!$C$9</f>
        <v>15.384610361149637</v>
      </c>
      <c r="H375" s="28">
        <f t="shared" si="17"/>
        <v>15.028436418042038</v>
      </c>
      <c r="I375" s="28">
        <f t="shared" si="16"/>
        <v>0.3561739431075992</v>
      </c>
      <c r="J375" s="197">
        <f>VLOOKUP(A375,'Land costs'!$A$2:$F$96,5,FALSE)</f>
        <v>115153966.74863443</v>
      </c>
      <c r="K375" s="29">
        <f>I375*(J375+Variables!$C$10*Variables!$C$5)</f>
        <v>42599109.97247377</v>
      </c>
      <c r="L375" s="29">
        <f>(G375*Variables!$C$11+D375*Variables!$C$12)*Variables!$C$5</f>
        <v>27907597.886530776</v>
      </c>
    </row>
    <row r="376" spans="1:12" x14ac:dyDescent="0.35">
      <c r="A376" s="96">
        <v>37</v>
      </c>
      <c r="B376" s="87" t="s">
        <v>95</v>
      </c>
      <c r="C376" s="87">
        <v>2027</v>
      </c>
      <c r="D376" s="97">
        <f>Population!L38</f>
        <v>285197.4286014614</v>
      </c>
      <c r="E376" s="92" t="str">
        <f t="shared" si="15"/>
        <v>Medium</v>
      </c>
      <c r="F376" s="119">
        <f>Area!N38</f>
        <v>29.775997347666344</v>
      </c>
      <c r="G376" s="27">
        <f>D376*Variables!$C$9</f>
        <v>2.5667768574131529</v>
      </c>
      <c r="H376" s="28">
        <f t="shared" si="17"/>
        <v>2.5073526007747895</v>
      </c>
      <c r="I376" s="28">
        <f t="shared" si="16"/>
        <v>5.9424256638363371E-2</v>
      </c>
      <c r="J376" s="197">
        <f>VLOOKUP(A376,'Land costs'!$A$2:$F$96,5,FALSE)</f>
        <v>135804860.55953482</v>
      </c>
      <c r="K376" s="29">
        <f>I376*(J376+Variables!$C$10*Variables!$C$5)</f>
        <v>8334422.9598735804</v>
      </c>
      <c r="L376" s="29">
        <f>(G376*Variables!$C$11+D376*Variables!$C$12)*Variables!$C$5</f>
        <v>4656118.9864145881</v>
      </c>
    </row>
    <row r="377" spans="1:12" x14ac:dyDescent="0.35">
      <c r="A377" s="96">
        <v>38</v>
      </c>
      <c r="B377" s="87" t="s">
        <v>96</v>
      </c>
      <c r="C377" s="87">
        <v>2027</v>
      </c>
      <c r="D377" s="97">
        <f>Population!L39</f>
        <v>1254207.1038038204</v>
      </c>
      <c r="E377" s="92" t="str">
        <f t="shared" si="15"/>
        <v>Large</v>
      </c>
      <c r="F377" s="119">
        <f>Area!N39</f>
        <v>119.77562842858266</v>
      </c>
      <c r="G377" s="27">
        <f>D377*Variables!$C$9</f>
        <v>11.287863934234384</v>
      </c>
      <c r="H377" s="28">
        <f t="shared" si="17"/>
        <v>11.026535053467208</v>
      </c>
      <c r="I377" s="28">
        <f t="shared" si="16"/>
        <v>0.26132888076717542</v>
      </c>
      <c r="J377" s="197">
        <f>VLOOKUP(A377,'Land costs'!$A$2:$F$96,5,FALSE)</f>
        <v>223708463.42310071</v>
      </c>
      <c r="K377" s="29">
        <f>I377*(J377+Variables!$C$10*Variables!$C$5)</f>
        <v>59623877.534647658</v>
      </c>
      <c r="L377" s="29">
        <f>(G377*Variables!$C$11+D377*Variables!$C$12)*Variables!$C$5</f>
        <v>20476122.584813152</v>
      </c>
    </row>
    <row r="378" spans="1:12" x14ac:dyDescent="0.35">
      <c r="A378" s="96">
        <v>39</v>
      </c>
      <c r="B378" s="87" t="s">
        <v>97</v>
      </c>
      <c r="C378" s="87">
        <v>2027</v>
      </c>
      <c r="D378" s="97">
        <f>Population!L40</f>
        <v>103252.18422260735</v>
      </c>
      <c r="E378" s="92" t="str">
        <f t="shared" si="15"/>
        <v>Medium</v>
      </c>
      <c r="F378" s="119">
        <f>Area!N40</f>
        <v>28.544659111484652</v>
      </c>
      <c r="G378" s="27">
        <f>D378*Variables!$C$9</f>
        <v>0.92926965800346617</v>
      </c>
      <c r="H378" s="28">
        <f t="shared" si="17"/>
        <v>0.90775584448907498</v>
      </c>
      <c r="I378" s="28">
        <f t="shared" si="16"/>
        <v>2.1513813514391189E-2</v>
      </c>
      <c r="J378" s="197">
        <f>VLOOKUP(A378,'Land costs'!$A$2:$F$96,5,FALSE)</f>
        <v>399734297.50693494</v>
      </c>
      <c r="K378" s="29">
        <f>I378*(J378+Variables!$C$10*Variables!$C$5)</f>
        <v>8695502.9290775321</v>
      </c>
      <c r="L378" s="29">
        <f>(G378*Variables!$C$11+D378*Variables!$C$12)*Variables!$C$5</f>
        <v>1685690.0067618468</v>
      </c>
    </row>
    <row r="379" spans="1:12" x14ac:dyDescent="0.35">
      <c r="A379" s="96">
        <v>40</v>
      </c>
      <c r="B379" s="87" t="s">
        <v>98</v>
      </c>
      <c r="C379" s="87">
        <v>2027</v>
      </c>
      <c r="D379" s="97">
        <f>Population!L41</f>
        <v>184358.53507518125</v>
      </c>
      <c r="E379" s="92" t="str">
        <f t="shared" si="15"/>
        <v>Medium</v>
      </c>
      <c r="F379" s="119">
        <f>Area!N41</f>
        <v>39.850582916425637</v>
      </c>
      <c r="G379" s="27">
        <f>D379*Variables!$C$9</f>
        <v>1.6592268156766312</v>
      </c>
      <c r="H379" s="28">
        <f t="shared" si="17"/>
        <v>1.6208135348995127</v>
      </c>
      <c r="I379" s="28">
        <f t="shared" si="16"/>
        <v>3.8413280777118475E-2</v>
      </c>
      <c r="J379" s="197">
        <f>VLOOKUP(A379,'Land costs'!$A$2:$F$96,5,FALSE)</f>
        <v>101660475.1170758</v>
      </c>
      <c r="K379" s="29">
        <f>I379*(J379+Variables!$C$10*Variables!$C$5)</f>
        <v>4075975.2808183688</v>
      </c>
      <c r="L379" s="29">
        <f>(G379*Variables!$C$11+D379*Variables!$C$12)*Variables!$C$5</f>
        <v>3009828.2431243928</v>
      </c>
    </row>
    <row r="380" spans="1:12" x14ac:dyDescent="0.35">
      <c r="A380" s="96">
        <v>41</v>
      </c>
      <c r="B380" s="87" t="s">
        <v>99</v>
      </c>
      <c r="C380" s="87">
        <v>2027</v>
      </c>
      <c r="D380" s="97">
        <f>Population!L42</f>
        <v>88734.618731742012</v>
      </c>
      <c r="E380" s="92" t="str">
        <f t="shared" si="15"/>
        <v>Small</v>
      </c>
      <c r="F380" s="119">
        <f>Area!N42</f>
        <v>15.8954572307091</v>
      </c>
      <c r="G380" s="27">
        <f>D380*Variables!$C$9</f>
        <v>0.79861156858567817</v>
      </c>
      <c r="H380" s="28">
        <f t="shared" si="17"/>
        <v>0.78012266150793985</v>
      </c>
      <c r="I380" s="28">
        <f t="shared" si="16"/>
        <v>1.8488907077738315E-2</v>
      </c>
      <c r="J380" s="197">
        <f>VLOOKUP(A380,'Land costs'!$A$2:$F$96,5,FALSE)</f>
        <v>399734297.50693494</v>
      </c>
      <c r="K380" s="29">
        <f>I380*(J380+Variables!$C$10*Variables!$C$5)</f>
        <v>7472889.2458964596</v>
      </c>
      <c r="L380" s="29">
        <f>(G380*Variables!$C$11+D380*Variables!$C$12)*Variables!$C$5</f>
        <v>1448676.9570649853</v>
      </c>
    </row>
    <row r="381" spans="1:12" x14ac:dyDescent="0.35">
      <c r="A381" s="96">
        <v>42</v>
      </c>
      <c r="B381" s="87" t="s">
        <v>100</v>
      </c>
      <c r="C381" s="87">
        <v>2027</v>
      </c>
      <c r="D381" s="97">
        <f>Population!L43</f>
        <v>109885.46063927528</v>
      </c>
      <c r="E381" s="92" t="str">
        <f t="shared" si="15"/>
        <v>Medium</v>
      </c>
      <c r="F381" s="119">
        <f>Area!N43</f>
        <v>16.790975947932147</v>
      </c>
      <c r="G381" s="27">
        <f>D381*Variables!$C$9</f>
        <v>0.9889691457534775</v>
      </c>
      <c r="H381" s="28">
        <f t="shared" si="17"/>
        <v>0.96607321066081608</v>
      </c>
      <c r="I381" s="28">
        <f t="shared" si="16"/>
        <v>2.2895935092661412E-2</v>
      </c>
      <c r="J381" s="197">
        <f>VLOOKUP(A381,'Land costs'!$A$2:$F$96,5,FALSE)</f>
        <v>189319723.52178472</v>
      </c>
      <c r="K381" s="29">
        <f>I381*(J381+Variables!$C$10*Variables!$C$5)</f>
        <v>4436493.598289541</v>
      </c>
      <c r="L381" s="29">
        <f>(G381*Variables!$C$11+D381*Variables!$C$12)*Variables!$C$5</f>
        <v>1793984.5465030982</v>
      </c>
    </row>
    <row r="382" spans="1:12" x14ac:dyDescent="0.35">
      <c r="A382" s="96">
        <v>1</v>
      </c>
      <c r="B382" s="87" t="s">
        <v>59</v>
      </c>
      <c r="C382" s="87">
        <v>2028</v>
      </c>
      <c r="D382" s="97">
        <f>Population!M2</f>
        <v>595662.54145558202</v>
      </c>
      <c r="E382" s="92" t="str">
        <f t="shared" si="15"/>
        <v>Medium</v>
      </c>
      <c r="F382" s="119">
        <f>Area!O2</f>
        <v>116.48973695130164</v>
      </c>
      <c r="G382" s="27">
        <f>D382*Variables!$C$9</f>
        <v>5.3609628731002381</v>
      </c>
      <c r="H382" s="28">
        <f t="shared" si="17"/>
        <v>5.2368495390253385</v>
      </c>
      <c r="I382" s="28">
        <f t="shared" si="16"/>
        <v>0.12411333407489966</v>
      </c>
      <c r="J382" s="197">
        <f>VLOOKUP(A382,'Land costs'!$A$2:$F$96,5,FALSE)</f>
        <v>349411907.96390015</v>
      </c>
      <c r="K382" s="29">
        <f>I382*(J382+Variables!$C$10*Variables!$C$5)</f>
        <v>43918735.019075513</v>
      </c>
      <c r="L382" s="29">
        <f>(G382*Variables!$C$11+D382*Variables!$C$12)*Variables!$C$5</f>
        <v>9724756.9249405563</v>
      </c>
    </row>
    <row r="383" spans="1:12" x14ac:dyDescent="0.35">
      <c r="A383" s="96">
        <v>2</v>
      </c>
      <c r="B383" s="87" t="s">
        <v>60</v>
      </c>
      <c r="C383" s="87">
        <v>2028</v>
      </c>
      <c r="D383" s="97">
        <f>Population!M3</f>
        <v>436937.93128001486</v>
      </c>
      <c r="E383" s="92" t="str">
        <f t="shared" si="15"/>
        <v>Medium</v>
      </c>
      <c r="F383" s="119">
        <f>Area!O3</f>
        <v>700.47118140453767</v>
      </c>
      <c r="G383" s="27">
        <f>D383*Variables!$C$9</f>
        <v>3.932441381520134</v>
      </c>
      <c r="H383" s="28">
        <f t="shared" si="17"/>
        <v>12.956920723790825</v>
      </c>
      <c r="I383" s="28">
        <f t="shared" si="16"/>
        <v>0</v>
      </c>
      <c r="J383" s="197">
        <f>VLOOKUP(A383,'Land costs'!$A$2:$F$96,5,FALSE)</f>
        <v>207178319.55590102</v>
      </c>
      <c r="K383" s="29">
        <f>I383*(J383+Variables!$C$10*Variables!$C$5)</f>
        <v>0</v>
      </c>
      <c r="L383" s="29">
        <f>(G383*Variables!$C$11+D383*Variables!$C$12)*Variables!$C$5</f>
        <v>7133426.8604522925</v>
      </c>
    </row>
    <row r="384" spans="1:12" x14ac:dyDescent="0.35">
      <c r="A384" s="96">
        <v>3</v>
      </c>
      <c r="B384" s="87" t="s">
        <v>61</v>
      </c>
      <c r="C384" s="87">
        <v>2028</v>
      </c>
      <c r="D384" s="97">
        <f>Population!M4</f>
        <v>12573826.536047043</v>
      </c>
      <c r="E384" s="92" t="str">
        <f t="shared" si="15"/>
        <v>Large</v>
      </c>
      <c r="F384" s="119">
        <f>Area!O4</f>
        <v>826.15747653620519</v>
      </c>
      <c r="G384" s="27">
        <f>D384*Variables!$C$9</f>
        <v>113.1644388244234</v>
      </c>
      <c r="H384" s="28">
        <f t="shared" si="17"/>
        <v>110.54453338324059</v>
      </c>
      <c r="I384" s="28">
        <f t="shared" si="16"/>
        <v>2.6199054411828087</v>
      </c>
      <c r="J384" s="197">
        <f>VLOOKUP(A384,'Land costs'!$A$2:$F$96,5,FALSE)</f>
        <v>623490608.57078338</v>
      </c>
      <c r="K384" s="29">
        <f>I384*(J384+Variables!$C$10*Variables!$C$5)</f>
        <v>1645139820.5173621</v>
      </c>
      <c r="L384" s="29">
        <f>(G384*Variables!$C$11+D384*Variables!$C$12)*Variables!$C$5</f>
        <v>205279664.52384841</v>
      </c>
    </row>
    <row r="385" spans="1:12" x14ac:dyDescent="0.35">
      <c r="A385" s="96">
        <v>4</v>
      </c>
      <c r="B385" s="87" t="s">
        <v>62</v>
      </c>
      <c r="C385" s="87">
        <v>2028</v>
      </c>
      <c r="D385" s="97">
        <f>Population!M5</f>
        <v>2677800.9819181152</v>
      </c>
      <c r="E385" s="92" t="str">
        <f t="shared" si="15"/>
        <v>Large</v>
      </c>
      <c r="F385" s="119">
        <f>Area!O5</f>
        <v>456.76238962484069</v>
      </c>
      <c r="G385" s="27">
        <f>D385*Variables!$C$9</f>
        <v>24.100208837263036</v>
      </c>
      <c r="H385" s="28">
        <f t="shared" si="17"/>
        <v>100.58253557595253</v>
      </c>
      <c r="I385" s="28">
        <f t="shared" si="16"/>
        <v>0</v>
      </c>
      <c r="J385" s="197">
        <f>VLOOKUP(A385,'Land costs'!$A$2:$F$96,5,FALSE)</f>
        <v>258664564.88983455</v>
      </c>
      <c r="K385" s="29">
        <f>I385*(J385+Variables!$C$10*Variables!$C$5)</f>
        <v>0</v>
      </c>
      <c r="L385" s="29">
        <f>(G385*Variables!$C$11+D385*Variables!$C$12)*Variables!$C$5</f>
        <v>43717645.193679959</v>
      </c>
    </row>
    <row r="386" spans="1:12" x14ac:dyDescent="0.35">
      <c r="A386" s="96">
        <v>5</v>
      </c>
      <c r="B386" s="87" t="s">
        <v>63</v>
      </c>
      <c r="C386" s="87">
        <v>2028</v>
      </c>
      <c r="D386" s="97">
        <f>Population!M6</f>
        <v>1255944.8875229268</v>
      </c>
      <c r="E386" s="92" t="str">
        <f t="shared" si="15"/>
        <v>Large</v>
      </c>
      <c r="F386" s="119">
        <f>Area!O6</f>
        <v>206.92255905823325</v>
      </c>
      <c r="G386" s="27">
        <f>D386*Variables!$C$9</f>
        <v>11.303503987706341</v>
      </c>
      <c r="H386" s="28">
        <f t="shared" si="17"/>
        <v>11.041813019152428</v>
      </c>
      <c r="I386" s="28">
        <f t="shared" si="16"/>
        <v>0.26169096855391238</v>
      </c>
      <c r="J386" s="197">
        <f>VLOOKUP(A386,'Land costs'!$A$2:$F$96,5,FALSE)</f>
        <v>258664564.88983455</v>
      </c>
      <c r="K386" s="29">
        <f>I386*(J386+Variables!$C$10*Variables!$C$5)</f>
        <v>68854186.259186372</v>
      </c>
      <c r="L386" s="29">
        <f>(G386*Variables!$C$11+D386*Variables!$C$12)*Variables!$C$5</f>
        <v>20504493.555086236</v>
      </c>
    </row>
    <row r="387" spans="1:12" x14ac:dyDescent="0.35">
      <c r="A387" s="96">
        <v>6</v>
      </c>
      <c r="B387" s="87" t="s">
        <v>64</v>
      </c>
      <c r="C387" s="87">
        <v>2028</v>
      </c>
      <c r="D387" s="97">
        <f>Population!M7</f>
        <v>1431939.0712359096</v>
      </c>
      <c r="E387" s="92" t="str">
        <f t="shared" si="15"/>
        <v>Large</v>
      </c>
      <c r="F387" s="119">
        <f>Area!O7</f>
        <v>178.24092115113908</v>
      </c>
      <c r="G387" s="27">
        <f>D387*Variables!$C$9</f>
        <v>12.887451641123187</v>
      </c>
      <c r="H387" s="28">
        <f t="shared" si="17"/>
        <v>12.589090203304862</v>
      </c>
      <c r="I387" s="28">
        <f t="shared" si="16"/>
        <v>0.29836143781832547</v>
      </c>
      <c r="J387" s="197">
        <f>VLOOKUP(A387,'Land costs'!$A$2:$F$96,5,FALSE)</f>
        <v>421303330.51817626</v>
      </c>
      <c r="K387" s="29">
        <f>I387*(J387+Variables!$C$10*Variables!$C$5)</f>
        <v>127027784.04551038</v>
      </c>
      <c r="L387" s="29">
        <f>(G387*Variables!$C$11+D387*Variables!$C$12)*Variables!$C$5</f>
        <v>23377765.815298889</v>
      </c>
    </row>
    <row r="388" spans="1:12" x14ac:dyDescent="0.35">
      <c r="A388" s="96">
        <v>7</v>
      </c>
      <c r="B388" s="87" t="s">
        <v>65</v>
      </c>
      <c r="C388" s="87">
        <v>2028</v>
      </c>
      <c r="D388" s="97">
        <f>Population!M8</f>
        <v>6919641.2850445984</v>
      </c>
      <c r="E388" s="92" t="str">
        <f t="shared" si="15"/>
        <v>Large</v>
      </c>
      <c r="F388" s="119">
        <f>Area!O8</f>
        <v>1207.814641021391</v>
      </c>
      <c r="G388" s="27">
        <f>D388*Variables!$C$9</f>
        <v>62.27677156540139</v>
      </c>
      <c r="H388" s="28">
        <f t="shared" si="17"/>
        <v>60.834982480610911</v>
      </c>
      <c r="I388" s="28">
        <f t="shared" si="16"/>
        <v>1.4417890847904786</v>
      </c>
      <c r="J388" s="197">
        <f>VLOOKUP(A388,'Land costs'!$A$2:$F$96,5,FALSE)</f>
        <v>368904372.20152247</v>
      </c>
      <c r="K388" s="29">
        <f>I388*(J388+Variables!$C$10*Variables!$C$5)</f>
        <v>538295398.79135692</v>
      </c>
      <c r="L388" s="29">
        <f>(G388*Variables!$C$11+D388*Variables!$C$12)*Variables!$C$5</f>
        <v>112969718.29117431</v>
      </c>
    </row>
    <row r="389" spans="1:12" x14ac:dyDescent="0.35">
      <c r="A389" s="96">
        <v>8</v>
      </c>
      <c r="B389" s="87" t="s">
        <v>66</v>
      </c>
      <c r="C389" s="87">
        <v>2028</v>
      </c>
      <c r="D389" s="97">
        <f>Population!M9</f>
        <v>65942.162230217902</v>
      </c>
      <c r="E389" s="92" t="str">
        <f t="shared" ref="E389:E452" si="18">IF(D389&lt;100000,"Small",IF(D389&lt;1000000,"Medium","Large"))</f>
        <v>Small</v>
      </c>
      <c r="F389" s="119">
        <f>Area!O9</f>
        <v>170.13632633676949</v>
      </c>
      <c r="G389" s="27">
        <f>D389*Variables!$C$9</f>
        <v>0.59347946007196117</v>
      </c>
      <c r="H389" s="28">
        <f t="shared" si="17"/>
        <v>0.57973963082149182</v>
      </c>
      <c r="I389" s="28">
        <f t="shared" ref="I389:I452" si="19">IF(G389-H389&gt;0,G389-H389,0)</f>
        <v>1.3739829250469349E-2</v>
      </c>
      <c r="J389" s="197">
        <f>VLOOKUP(A389,'Land costs'!$A$2:$F$96,5,FALSE)</f>
        <v>399734297.50693494</v>
      </c>
      <c r="K389" s="29">
        <f>I389*(J389+Variables!$C$10*Variables!$C$5)</f>
        <v>5553395.9803342819</v>
      </c>
      <c r="L389" s="29">
        <f>(G389*Variables!$C$11+D389*Variables!$C$12)*Variables!$C$5</f>
        <v>1076568.4496910474</v>
      </c>
    </row>
    <row r="390" spans="1:12" x14ac:dyDescent="0.35">
      <c r="A390" s="96">
        <v>9</v>
      </c>
      <c r="B390" s="87" t="s">
        <v>67</v>
      </c>
      <c r="C390" s="87">
        <v>2028</v>
      </c>
      <c r="D390" s="97">
        <f>Population!M10</f>
        <v>848182.21577081108</v>
      </c>
      <c r="E390" s="92" t="str">
        <f t="shared" si="18"/>
        <v>Medium</v>
      </c>
      <c r="F390" s="119">
        <f>Area!O10</f>
        <v>459.82790901829605</v>
      </c>
      <c r="G390" s="27">
        <f>D390*Variables!$C$9</f>
        <v>7.6336399419373002</v>
      </c>
      <c r="H390" s="28">
        <f t="shared" si="17"/>
        <v>7.4569111477359575</v>
      </c>
      <c r="I390" s="28">
        <f t="shared" si="19"/>
        <v>0.17672879420134269</v>
      </c>
      <c r="J390" s="197">
        <f>VLOOKUP(A390,'Land costs'!$A$2:$F$96,5,FALSE)</f>
        <v>292630299.54426229</v>
      </c>
      <c r="K390" s="29">
        <f>I390*(J390+Variables!$C$10*Variables!$C$5)</f>
        <v>52502292.575545028</v>
      </c>
      <c r="L390" s="29">
        <f>(G390*Variables!$C$11+D390*Variables!$C$12)*Variables!$C$5</f>
        <v>13847380.525679227</v>
      </c>
    </row>
    <row r="391" spans="1:12" x14ac:dyDescent="0.35">
      <c r="A391" s="96">
        <v>10</v>
      </c>
      <c r="B391" s="87" t="s">
        <v>68</v>
      </c>
      <c r="C391" s="87">
        <v>2028</v>
      </c>
      <c r="D391" s="97">
        <f>Population!M11</f>
        <v>787105.07869768003</v>
      </c>
      <c r="E391" s="92" t="str">
        <f t="shared" si="18"/>
        <v>Medium</v>
      </c>
      <c r="F391" s="119">
        <f>Area!O11</f>
        <v>136.23509896902351</v>
      </c>
      <c r="G391" s="27">
        <f>D391*Variables!$C$9</f>
        <v>7.0839457082791206</v>
      </c>
      <c r="H391" s="28">
        <f t="shared" si="17"/>
        <v>6.9199430578090464</v>
      </c>
      <c r="I391" s="28">
        <f t="shared" si="19"/>
        <v>0.16400265047007423</v>
      </c>
      <c r="J391" s="197">
        <f>VLOOKUP(A391,'Land costs'!$A$2:$F$96,5,FALSE)</f>
        <v>207178319.55590102</v>
      </c>
      <c r="K391" s="29">
        <f>I391*(J391+Variables!$C$10*Variables!$C$5)</f>
        <v>34707280.020282835</v>
      </c>
      <c r="L391" s="29">
        <f>(G391*Variables!$C$11+D391*Variables!$C$12)*Variables!$C$5</f>
        <v>12850238.233911049</v>
      </c>
    </row>
    <row r="392" spans="1:12" x14ac:dyDescent="0.35">
      <c r="A392" s="96">
        <v>11</v>
      </c>
      <c r="B392" s="87" t="s">
        <v>69</v>
      </c>
      <c r="C392" s="87">
        <v>2028</v>
      </c>
      <c r="D392" s="97">
        <f>Population!M12</f>
        <v>307011.82784240402</v>
      </c>
      <c r="E392" s="92" t="str">
        <f t="shared" si="18"/>
        <v>Medium</v>
      </c>
      <c r="F392" s="119">
        <f>Area!O12</f>
        <v>174.73460542695247</v>
      </c>
      <c r="G392" s="27">
        <f>D392*Variables!$C$9</f>
        <v>2.7631064505816361</v>
      </c>
      <c r="H392" s="28">
        <f t="shared" si="17"/>
        <v>2.6991369059115331</v>
      </c>
      <c r="I392" s="28">
        <f t="shared" si="19"/>
        <v>6.3969544670102962E-2</v>
      </c>
      <c r="J392" s="197">
        <f>VLOOKUP(A392,'Land costs'!$A$2:$F$96,5,FALSE)</f>
        <v>446522393.21506435</v>
      </c>
      <c r="K392" s="29">
        <f>I392*(J392+Variables!$C$10*Variables!$C$5)</f>
        <v>28848371.768321656</v>
      </c>
      <c r="L392" s="29">
        <f>(G392*Variables!$C$11+D392*Variables!$C$12)*Variables!$C$5</f>
        <v>5012259.7797627524</v>
      </c>
    </row>
    <row r="393" spans="1:12" x14ac:dyDescent="0.35">
      <c r="A393" s="96">
        <v>12</v>
      </c>
      <c r="B393" s="87" t="s">
        <v>70</v>
      </c>
      <c r="C393" s="87">
        <v>2028</v>
      </c>
      <c r="D393" s="97">
        <f>Population!M13</f>
        <v>149340.04068062943</v>
      </c>
      <c r="E393" s="92" t="str">
        <f t="shared" si="18"/>
        <v>Medium</v>
      </c>
      <c r="F393" s="119">
        <f>Area!O13</f>
        <v>29.122434237825413</v>
      </c>
      <c r="G393" s="27">
        <f>D393*Variables!$C$9</f>
        <v>1.3440603661256649</v>
      </c>
      <c r="H393" s="28">
        <f t="shared" si="17"/>
        <v>1.3129436027407102</v>
      </c>
      <c r="I393" s="28">
        <f t="shared" si="19"/>
        <v>3.1116763384954726E-2</v>
      </c>
      <c r="J393" s="197">
        <f>VLOOKUP(A393,'Land costs'!$A$2:$F$96,5,FALSE)</f>
        <v>207178319.55590102</v>
      </c>
      <c r="K393" s="29">
        <f>I393*(J393+Variables!$C$10*Variables!$C$5)</f>
        <v>6585126.6246674014</v>
      </c>
      <c r="L393" s="29">
        <f>(G393*Variables!$C$11+D393*Variables!$C$12)*Variables!$C$5</f>
        <v>2438118.0512559591</v>
      </c>
    </row>
    <row r="394" spans="1:12" x14ac:dyDescent="0.35">
      <c r="A394" s="96">
        <v>13</v>
      </c>
      <c r="B394" s="87" t="s">
        <v>71</v>
      </c>
      <c r="C394" s="87">
        <v>2028</v>
      </c>
      <c r="D394" s="97">
        <f>Population!M14</f>
        <v>10024587.603987142</v>
      </c>
      <c r="E394" s="92" t="str">
        <f t="shared" si="18"/>
        <v>Large</v>
      </c>
      <c r="F394" s="119">
        <f>Area!O14</f>
        <v>930.02939385907405</v>
      </c>
      <c r="G394" s="27">
        <f>D394*Variables!$C$9</f>
        <v>90.22128843588429</v>
      </c>
      <c r="H394" s="28">
        <f t="shared" si="17"/>
        <v>279.82566666666668</v>
      </c>
      <c r="I394" s="28">
        <f t="shared" si="19"/>
        <v>0</v>
      </c>
      <c r="J394" s="197">
        <f>VLOOKUP(A394,'Land costs'!$A$2:$F$96,5,FALSE)</f>
        <v>225281113.07128146</v>
      </c>
      <c r="K394" s="29">
        <f>I394*(J394+Variables!$C$10*Variables!$C$5)</f>
        <v>0</v>
      </c>
      <c r="L394" s="29">
        <f>(G394*Variables!$C$11+D394*Variables!$C$12)*Variables!$C$5</f>
        <v>163660916.94019461</v>
      </c>
    </row>
    <row r="395" spans="1:12" x14ac:dyDescent="0.35">
      <c r="A395" s="96">
        <v>14</v>
      </c>
      <c r="B395" s="87" t="s">
        <v>72</v>
      </c>
      <c r="C395" s="87">
        <v>2028</v>
      </c>
      <c r="D395" s="97">
        <f>Population!M15</f>
        <v>399451.77325144171</v>
      </c>
      <c r="E395" s="92" t="str">
        <f t="shared" si="18"/>
        <v>Medium</v>
      </c>
      <c r="F395" s="119">
        <f>Area!O15</f>
        <v>45.982790901829595</v>
      </c>
      <c r="G395" s="27">
        <f>D395*Variables!$C$9</f>
        <v>3.5950659592629757</v>
      </c>
      <c r="H395" s="28">
        <f t="shared" si="17"/>
        <v>3.5118354588873455</v>
      </c>
      <c r="I395" s="28">
        <f t="shared" si="19"/>
        <v>8.3230500375630179E-2</v>
      </c>
      <c r="J395" s="197">
        <f>VLOOKUP(A395,'Land costs'!$A$2:$F$96,5,FALSE)</f>
        <v>172078376.43406156</v>
      </c>
      <c r="K395" s="29">
        <f>I395*(J395+Variables!$C$10*Variables!$C$5)</f>
        <v>14692380.012313111</v>
      </c>
      <c r="L395" s="29">
        <f>(G395*Variables!$C$11+D395*Variables!$C$12)*Variables!$C$5</f>
        <v>6521429.7152449228</v>
      </c>
    </row>
    <row r="396" spans="1:12" x14ac:dyDescent="0.35">
      <c r="A396" s="96">
        <v>15</v>
      </c>
      <c r="B396" s="87" t="s">
        <v>73</v>
      </c>
      <c r="C396" s="87">
        <v>2028</v>
      </c>
      <c r="D396" s="97">
        <f>Population!M16</f>
        <v>88589.025587725555</v>
      </c>
      <c r="E396" s="92" t="str">
        <f t="shared" si="18"/>
        <v>Small</v>
      </c>
      <c r="F396" s="119">
        <f>Area!O16</f>
        <v>255.97086935351808</v>
      </c>
      <c r="G396" s="27">
        <f>D396*Variables!$C$9</f>
        <v>0.79730123028953004</v>
      </c>
      <c r="H396" s="28">
        <f t="shared" si="17"/>
        <v>43.35</v>
      </c>
      <c r="I396" s="28">
        <f t="shared" si="19"/>
        <v>0</v>
      </c>
      <c r="J396" s="197">
        <f>VLOOKUP(A396,'Land costs'!$A$2:$F$96,5,FALSE)</f>
        <v>399734297.50693494</v>
      </c>
      <c r="K396" s="29">
        <f>I396*(J396+Variables!$C$10*Variables!$C$5)</f>
        <v>0</v>
      </c>
      <c r="L396" s="29">
        <f>(G396*Variables!$C$11+D396*Variables!$C$12)*Variables!$C$5</f>
        <v>1446300.0106616777</v>
      </c>
    </row>
    <row r="397" spans="1:12" x14ac:dyDescent="0.35">
      <c r="A397" s="96">
        <v>16</v>
      </c>
      <c r="B397" s="87" t="s">
        <v>74</v>
      </c>
      <c r="C397" s="87">
        <v>2028</v>
      </c>
      <c r="D397" s="97">
        <f>Population!M17</f>
        <v>4536167.6239936603</v>
      </c>
      <c r="E397" s="92" t="str">
        <f t="shared" si="18"/>
        <v>Large</v>
      </c>
      <c r="F397" s="119">
        <f>Area!O17</f>
        <v>325.93981778123924</v>
      </c>
      <c r="G397" s="27">
        <f>D397*Variables!$C$9</f>
        <v>40.825508615942944</v>
      </c>
      <c r="H397" s="28">
        <f t="shared" si="17"/>
        <v>108.39099999999998</v>
      </c>
      <c r="I397" s="28">
        <f t="shared" si="19"/>
        <v>0</v>
      </c>
      <c r="J397" s="197">
        <f>VLOOKUP(A397,'Land costs'!$A$2:$F$96,5,FALSE)</f>
        <v>258664564.88983455</v>
      </c>
      <c r="K397" s="29">
        <f>I397*(J397+Variables!$C$10*Variables!$C$5)</f>
        <v>0</v>
      </c>
      <c r="L397" s="29">
        <f>(G397*Variables!$C$11+D397*Variables!$C$12)*Variables!$C$5</f>
        <v>74057246.249406755</v>
      </c>
    </row>
    <row r="398" spans="1:12" x14ac:dyDescent="0.35">
      <c r="A398" s="96">
        <v>17</v>
      </c>
      <c r="B398" s="87" t="s">
        <v>75</v>
      </c>
      <c r="C398" s="87">
        <v>2028</v>
      </c>
      <c r="D398" s="97">
        <f>Population!M18</f>
        <v>16693.275791534772</v>
      </c>
      <c r="E398" s="92" t="str">
        <f t="shared" si="18"/>
        <v>Small</v>
      </c>
      <c r="F398" s="119">
        <f>Area!O18</f>
        <v>2.9631134025762624</v>
      </c>
      <c r="G398" s="27">
        <f>D398*Variables!$C$9</f>
        <v>0.15023948212381294</v>
      </c>
      <c r="H398" s="28">
        <f t="shared" si="17"/>
        <v>0.14676124071877791</v>
      </c>
      <c r="I398" s="28">
        <f t="shared" si="19"/>
        <v>3.4782414050350263E-3</v>
      </c>
      <c r="J398" s="197">
        <f>VLOOKUP(A398,'Land costs'!$A$2:$F$96,5,FALSE)</f>
        <v>399734297.50693494</v>
      </c>
      <c r="K398" s="29">
        <f>I398*(J398+Variables!$C$10*Variables!$C$5)</f>
        <v>1405843.6597160732</v>
      </c>
      <c r="L398" s="29">
        <f>(G398*Variables!$C$11+D398*Variables!$C$12)*Variables!$C$5</f>
        <v>272533.5874855842</v>
      </c>
    </row>
    <row r="399" spans="1:12" x14ac:dyDescent="0.35">
      <c r="A399" s="96">
        <v>18</v>
      </c>
      <c r="B399" s="87" t="s">
        <v>76</v>
      </c>
      <c r="C399" s="87">
        <v>2028</v>
      </c>
      <c r="D399" s="97">
        <f>Population!M19</f>
        <v>147483.0812772357</v>
      </c>
      <c r="E399" s="92" t="str">
        <f t="shared" si="18"/>
        <v>Medium</v>
      </c>
      <c r="F399" s="119">
        <f>Area!O19</f>
        <v>30.655193934553072</v>
      </c>
      <c r="G399" s="27">
        <f>D399*Variables!$C$9</f>
        <v>1.3273477314951214</v>
      </c>
      <c r="H399" s="28">
        <f t="shared" si="17"/>
        <v>1.2966178875599506</v>
      </c>
      <c r="I399" s="28">
        <f t="shared" si="19"/>
        <v>3.0729843935170864E-2</v>
      </c>
      <c r="J399" s="197">
        <f>VLOOKUP(A399,'Land costs'!$A$2:$F$96,5,FALSE)</f>
        <v>207178319.55590102</v>
      </c>
      <c r="K399" s="29">
        <f>I399*(J399+Variables!$C$10*Variables!$C$5)</f>
        <v>6503244.2791659627</v>
      </c>
      <c r="L399" s="29">
        <f>(G399*Variables!$C$11+D399*Variables!$C$12)*Variables!$C$5</f>
        <v>2407801.4247087226</v>
      </c>
    </row>
    <row r="400" spans="1:12" x14ac:dyDescent="0.35">
      <c r="A400" s="96">
        <v>19</v>
      </c>
      <c r="B400" s="87" t="s">
        <v>77</v>
      </c>
      <c r="C400" s="87">
        <v>2028</v>
      </c>
      <c r="D400" s="97">
        <f>Population!M20</f>
        <v>6696213.4783353843</v>
      </c>
      <c r="E400" s="92" t="str">
        <f t="shared" si="18"/>
        <v>Large</v>
      </c>
      <c r="F400" s="119">
        <f>Area!O20</f>
        <v>1063.6585706540709</v>
      </c>
      <c r="G400" s="27">
        <f>D400*Variables!$C$9</f>
        <v>60.265921305018459</v>
      </c>
      <c r="H400" s="28">
        <f t="shared" si="17"/>
        <v>58.870686045734544</v>
      </c>
      <c r="I400" s="28">
        <f t="shared" si="19"/>
        <v>1.3952352592839148</v>
      </c>
      <c r="J400" s="197">
        <f>VLOOKUP(A400,'Land costs'!$A$2:$F$96,5,FALSE)</f>
        <v>69556263.81201373</v>
      </c>
      <c r="K400" s="29">
        <f>I400*(J400+Variables!$C$10*Variables!$C$5)</f>
        <v>103253381.21091367</v>
      </c>
      <c r="L400" s="29">
        <f>(G400*Variables!$C$11+D400*Variables!$C$12)*Variables!$C$5</f>
        <v>109322047.06912595</v>
      </c>
    </row>
    <row r="401" spans="1:12" x14ac:dyDescent="0.35">
      <c r="A401" s="96">
        <v>20</v>
      </c>
      <c r="B401" s="87" t="s">
        <v>78</v>
      </c>
      <c r="C401" s="87">
        <v>2028</v>
      </c>
      <c r="D401" s="97">
        <f>Population!M21</f>
        <v>4195067.8589394791</v>
      </c>
      <c r="E401" s="92" t="str">
        <f t="shared" si="18"/>
        <v>Large</v>
      </c>
      <c r="F401" s="119">
        <f>Area!O21</f>
        <v>516.54001779721909</v>
      </c>
      <c r="G401" s="27">
        <f>D401*Variables!$C$9</f>
        <v>37.755610730455309</v>
      </c>
      <c r="H401" s="28">
        <f t="shared" si="17"/>
        <v>38.65</v>
      </c>
      <c r="I401" s="28">
        <f t="shared" si="19"/>
        <v>0</v>
      </c>
      <c r="J401" s="197">
        <f>VLOOKUP(A401,'Land costs'!$A$2:$F$96,5,FALSE)</f>
        <v>423084709.93427253</v>
      </c>
      <c r="K401" s="29">
        <f>I401*(J401+Variables!$C$10*Variables!$C$5)</f>
        <v>0</v>
      </c>
      <c r="L401" s="29">
        <f>(G401*Variables!$C$11+D401*Variables!$C$12)*Variables!$C$5</f>
        <v>68488468.507901579</v>
      </c>
    </row>
    <row r="402" spans="1:12" x14ac:dyDescent="0.35">
      <c r="A402" s="96">
        <v>21</v>
      </c>
      <c r="B402" s="98" t="s">
        <v>79</v>
      </c>
      <c r="C402" s="87">
        <v>2028</v>
      </c>
      <c r="D402" s="97">
        <f>Population!M22</f>
        <v>18528453.522760559</v>
      </c>
      <c r="E402" s="92" t="str">
        <f t="shared" si="18"/>
        <v>Large</v>
      </c>
      <c r="F402" s="119">
        <f>Area!O22</f>
        <v>604.96037156732325</v>
      </c>
      <c r="G402" s="27">
        <f>D402*Variables!$C$9</f>
        <v>166.75608170484503</v>
      </c>
      <c r="H402" s="28">
        <f t="shared" si="17"/>
        <v>162.8954593189851</v>
      </c>
      <c r="I402" s="28">
        <f t="shared" si="19"/>
        <v>3.8606223858599265</v>
      </c>
      <c r="J402" s="197">
        <f>VLOOKUP(A402,'Land costs'!$A$2:$F$96,5,FALSE)</f>
        <v>136261714.31466237</v>
      </c>
      <c r="K402" s="29">
        <f>I402*(J402+Variables!$C$10*Variables!$C$5)</f>
        <v>543227136.64066768</v>
      </c>
      <c r="L402" s="29">
        <f>(G402*Variables!$C$11+D402*Variables!$C$12)*Variables!$C$5</f>
        <v>302494607.5400331</v>
      </c>
    </row>
    <row r="403" spans="1:12" x14ac:dyDescent="0.35">
      <c r="A403" s="96">
        <v>22</v>
      </c>
      <c r="B403" s="87" t="s">
        <v>80</v>
      </c>
      <c r="C403" s="87">
        <v>2028</v>
      </c>
      <c r="D403" s="97">
        <f>Population!M23</f>
        <v>16432013.367694823</v>
      </c>
      <c r="E403" s="92" t="str">
        <f t="shared" si="18"/>
        <v>Large</v>
      </c>
      <c r="F403" s="119">
        <f>Area!O23</f>
        <v>1198.6180828410247</v>
      </c>
      <c r="G403" s="27">
        <f>D403*Variables!$C$9</f>
        <v>147.88812030925342</v>
      </c>
      <c r="H403" s="28">
        <f t="shared" si="17"/>
        <v>144.46431601958915</v>
      </c>
      <c r="I403" s="28">
        <f t="shared" si="19"/>
        <v>3.4238042896642753</v>
      </c>
      <c r="J403" s="197">
        <f>VLOOKUP(A403,'Land costs'!$A$2:$F$96,5,FALSE)</f>
        <v>181431544.56336635</v>
      </c>
      <c r="K403" s="29">
        <f>I403*(J403+Variables!$C$10*Variables!$C$5)</f>
        <v>636415238.48466551</v>
      </c>
      <c r="L403" s="29">
        <f>(G403*Variables!$C$11+D403*Variables!$C$12)*Variables!$C$5</f>
        <v>268268230.19241673</v>
      </c>
    </row>
    <row r="404" spans="1:12" x14ac:dyDescent="0.35">
      <c r="A404" s="96">
        <v>23</v>
      </c>
      <c r="B404" s="87" t="s">
        <v>81</v>
      </c>
      <c r="C404" s="87">
        <v>2028</v>
      </c>
      <c r="D404" s="97">
        <f>Population!M24</f>
        <v>59590.973893831127</v>
      </c>
      <c r="E404" s="92" t="str">
        <f t="shared" si="18"/>
        <v>Small</v>
      </c>
      <c r="F404" s="119">
        <f>Area!O24</f>
        <v>113.72380678246626</v>
      </c>
      <c r="G404" s="27">
        <f>D404*Variables!$C$9</f>
        <v>0.53631876504448017</v>
      </c>
      <c r="H404" s="28">
        <f t="shared" si="17"/>
        <v>0.8</v>
      </c>
      <c r="I404" s="28">
        <f t="shared" si="19"/>
        <v>0</v>
      </c>
      <c r="J404" s="197">
        <f>VLOOKUP(A404,'Land costs'!$A$2:$F$96,5,FALSE)</f>
        <v>679160605.168293</v>
      </c>
      <c r="K404" s="29">
        <f>I404*(J404+Variables!$C$10*Variables!$C$5)</f>
        <v>0</v>
      </c>
      <c r="L404" s="29">
        <f>(G404*Variables!$C$11+D404*Variables!$C$12)*Variables!$C$5</f>
        <v>972879.26587070688</v>
      </c>
    </row>
    <row r="405" spans="1:12" x14ac:dyDescent="0.35">
      <c r="A405" s="96">
        <v>24</v>
      </c>
      <c r="B405" s="87" t="s">
        <v>82</v>
      </c>
      <c r="C405" s="87">
        <v>2028</v>
      </c>
      <c r="D405" s="97">
        <f>Population!M25</f>
        <v>2508044.8117903904</v>
      </c>
      <c r="E405" s="92" t="str">
        <f t="shared" si="18"/>
        <v>Large</v>
      </c>
      <c r="F405" s="119">
        <f>Area!O25</f>
        <v>116.48973695130168</v>
      </c>
      <c r="G405" s="27">
        <f>D405*Variables!$C$9</f>
        <v>22.572403306113515</v>
      </c>
      <c r="H405" s="28">
        <f t="shared" si="17"/>
        <v>22.049822512565708</v>
      </c>
      <c r="I405" s="28">
        <f t="shared" si="19"/>
        <v>0.52258079354780662</v>
      </c>
      <c r="J405" s="197">
        <f>VLOOKUP(A405,'Land costs'!$A$2:$F$96,5,FALSE)</f>
        <v>273857556.71751869</v>
      </c>
      <c r="K405" s="29">
        <f>I405*(J405+Variables!$C$10*Variables!$C$5)</f>
        <v>145437147.29391956</v>
      </c>
      <c r="L405" s="29">
        <f>(G405*Variables!$C$11+D405*Variables!$C$12)*Variables!$C$5</f>
        <v>40946214.431948774</v>
      </c>
    </row>
    <row r="406" spans="1:12" x14ac:dyDescent="0.35">
      <c r="A406" s="96">
        <v>25</v>
      </c>
      <c r="B406" s="87" t="s">
        <v>83</v>
      </c>
      <c r="C406" s="87">
        <v>2028</v>
      </c>
      <c r="D406" s="97">
        <f>Population!M26</f>
        <v>360034.19874636363</v>
      </c>
      <c r="E406" s="92" t="str">
        <f t="shared" si="18"/>
        <v>Medium</v>
      </c>
      <c r="F406" s="119">
        <f>Area!O26</f>
        <v>206.92255905823316</v>
      </c>
      <c r="G406" s="27">
        <f>D406*Variables!$C$9</f>
        <v>3.2403077887172729</v>
      </c>
      <c r="H406" s="28">
        <f t="shared" si="17"/>
        <v>3.1652904060928715</v>
      </c>
      <c r="I406" s="28">
        <f t="shared" si="19"/>
        <v>7.5017382624401385E-2</v>
      </c>
      <c r="J406" s="197">
        <f>VLOOKUP(A406,'Land costs'!$A$2:$F$96,5,FALSE)</f>
        <v>202576692.05248237</v>
      </c>
      <c r="K406" s="29">
        <f>I406*(J406+Variables!$C$10*Variables!$C$5)</f>
        <v>15530451.77320076</v>
      </c>
      <c r="L406" s="29">
        <f>(G406*Variables!$C$11+D406*Variables!$C$12)*Variables!$C$5</f>
        <v>5877900.3610305237</v>
      </c>
    </row>
    <row r="407" spans="1:12" x14ac:dyDescent="0.35">
      <c r="A407" s="96">
        <v>26</v>
      </c>
      <c r="B407" s="87" t="s">
        <v>84</v>
      </c>
      <c r="C407" s="87">
        <v>2028</v>
      </c>
      <c r="D407" s="97">
        <f>Population!M27</f>
        <v>149191.126534407</v>
      </c>
      <c r="E407" s="92" t="str">
        <f t="shared" si="18"/>
        <v>Medium</v>
      </c>
      <c r="F407" s="119">
        <f>Area!O27</f>
        <v>738.79017382272878</v>
      </c>
      <c r="G407" s="27">
        <f>D407*Variables!$C$9</f>
        <v>1.342720138809663</v>
      </c>
      <c r="H407" s="28">
        <f t="shared" si="17"/>
        <v>1.3116344034479468</v>
      </c>
      <c r="I407" s="28">
        <f t="shared" si="19"/>
        <v>3.1085735361716216E-2</v>
      </c>
      <c r="J407" s="197">
        <f>VLOOKUP(A407,'Land costs'!$A$2:$F$96,5,FALSE)</f>
        <v>207178319.55590102</v>
      </c>
      <c r="K407" s="29">
        <f>I407*(J407+Variables!$C$10*Variables!$C$5)</f>
        <v>6578560.2777947858</v>
      </c>
      <c r="L407" s="29">
        <f>(G407*Variables!$C$11+D407*Variables!$C$12)*Variables!$C$5</f>
        <v>2435686.8863363727</v>
      </c>
    </row>
    <row r="408" spans="1:12" x14ac:dyDescent="0.35">
      <c r="A408" s="96">
        <v>27</v>
      </c>
      <c r="B408" s="87" t="s">
        <v>85</v>
      </c>
      <c r="C408" s="87">
        <v>2028</v>
      </c>
      <c r="D408" s="97">
        <f>Population!M28</f>
        <v>1504677.6750997193</v>
      </c>
      <c r="E408" s="92" t="str">
        <f t="shared" si="18"/>
        <v>Large</v>
      </c>
      <c r="F408" s="119">
        <f>Area!O28</f>
        <v>137.94625327167438</v>
      </c>
      <c r="G408" s="27">
        <f>D408*Variables!$C$9</f>
        <v>13.542099075897474</v>
      </c>
      <c r="H408" s="28">
        <f t="shared" si="17"/>
        <v>27.873100000000001</v>
      </c>
      <c r="I408" s="28">
        <f t="shared" si="19"/>
        <v>0</v>
      </c>
      <c r="J408" s="197">
        <f>VLOOKUP(A408,'Land costs'!$A$2:$F$96,5,FALSE)</f>
        <v>194110385.46713075</v>
      </c>
      <c r="K408" s="29">
        <f>I408*(J408+Variables!$C$10*Variables!$C$5)</f>
        <v>0</v>
      </c>
      <c r="L408" s="29">
        <f>(G408*Variables!$C$11+D408*Variables!$C$12)*Variables!$C$5</f>
        <v>24565292.631919831</v>
      </c>
    </row>
    <row r="409" spans="1:12" x14ac:dyDescent="0.35">
      <c r="A409" s="96">
        <v>28</v>
      </c>
      <c r="B409" s="87" t="s">
        <v>86</v>
      </c>
      <c r="C409" s="87">
        <v>2028</v>
      </c>
      <c r="D409" s="97">
        <f>Population!M29</f>
        <v>1598484.652371079</v>
      </c>
      <c r="E409" s="92" t="str">
        <f t="shared" si="18"/>
        <v>Large</v>
      </c>
      <c r="F409" s="119">
        <f>Area!O29</f>
        <v>177.80012482040769</v>
      </c>
      <c r="G409" s="27">
        <f>D409*Variables!$C$9</f>
        <v>14.386361871339711</v>
      </c>
      <c r="H409" s="28">
        <f t="shared" si="17"/>
        <v>59.512458633395788</v>
      </c>
      <c r="I409" s="28">
        <f t="shared" si="19"/>
        <v>0</v>
      </c>
      <c r="J409" s="197">
        <f>VLOOKUP(A409,'Land costs'!$A$2:$F$96,5,FALSE)</f>
        <v>106495314.22538668</v>
      </c>
      <c r="K409" s="29">
        <f>I409*(J409+Variables!$C$10*Variables!$C$5)</f>
        <v>0</v>
      </c>
      <c r="L409" s="29">
        <f>(G409*Variables!$C$11+D409*Variables!$C$12)*Variables!$C$5</f>
        <v>26096780.661363803</v>
      </c>
    </row>
    <row r="410" spans="1:12" x14ac:dyDescent="0.35">
      <c r="A410" s="96">
        <v>29</v>
      </c>
      <c r="B410" s="87" t="s">
        <v>87</v>
      </c>
      <c r="C410" s="87">
        <v>2028</v>
      </c>
      <c r="D410" s="97">
        <f>Population!M30</f>
        <v>213288.24249292898</v>
      </c>
      <c r="E410" s="92" t="str">
        <f t="shared" si="18"/>
        <v>Medium</v>
      </c>
      <c r="F410" s="119">
        <f>Area!O30</f>
        <v>999.3593222664299</v>
      </c>
      <c r="G410" s="27">
        <f>D410*Variables!$C$9</f>
        <v>1.9195941824363609</v>
      </c>
      <c r="H410" s="28">
        <f t="shared" si="17"/>
        <v>1.8751530550321001</v>
      </c>
      <c r="I410" s="28">
        <f t="shared" si="19"/>
        <v>4.4441127404260872E-2</v>
      </c>
      <c r="J410" s="197">
        <f>VLOOKUP(A410,'Land costs'!$A$2:$F$96,5,FALSE)</f>
        <v>207178319.55590102</v>
      </c>
      <c r="K410" s="29">
        <f>I410*(J410+Variables!$C$10*Variables!$C$5)</f>
        <v>9404912.9621731117</v>
      </c>
      <c r="L410" s="29">
        <f>(G410*Variables!$C$11+D410*Variables!$C$12)*Variables!$C$5</f>
        <v>3482133.2026737509</v>
      </c>
    </row>
    <row r="411" spans="1:12" x14ac:dyDescent="0.35">
      <c r="A411" s="96">
        <v>30</v>
      </c>
      <c r="B411" s="87" t="s">
        <v>88</v>
      </c>
      <c r="C411" s="87">
        <v>2028</v>
      </c>
      <c r="D411" s="97">
        <f>Population!M31</f>
        <v>146330.48578547407</v>
      </c>
      <c r="E411" s="92" t="str">
        <f t="shared" si="18"/>
        <v>Medium</v>
      </c>
      <c r="F411" s="119">
        <f>Area!O31</f>
        <v>99.629380287297494</v>
      </c>
      <c r="G411" s="27">
        <f>D411*Variables!$C$9</f>
        <v>1.3169743720692666</v>
      </c>
      <c r="H411" s="28">
        <f t="shared" si="17"/>
        <v>1.2864846850339617</v>
      </c>
      <c r="I411" s="28">
        <f t="shared" si="19"/>
        <v>3.0489687035304858E-2</v>
      </c>
      <c r="J411" s="197">
        <f>VLOOKUP(A411,'Land costs'!$A$2:$F$96,5,FALSE)</f>
        <v>207178319.55590102</v>
      </c>
      <c r="K411" s="29">
        <f>I411*(J411+Variables!$C$10*Variables!$C$5)</f>
        <v>6452420.7543719327</v>
      </c>
      <c r="L411" s="29">
        <f>(G411*Variables!$C$11+D411*Variables!$C$12)*Variables!$C$5</f>
        <v>2388984.2082311274</v>
      </c>
    </row>
    <row r="412" spans="1:12" x14ac:dyDescent="0.35">
      <c r="A412" s="96">
        <v>31</v>
      </c>
      <c r="B412" s="87" t="s">
        <v>89</v>
      </c>
      <c r="C412" s="87">
        <v>2028</v>
      </c>
      <c r="D412" s="97">
        <f>Population!M32</f>
        <v>252525.63088107793</v>
      </c>
      <c r="E412" s="92" t="str">
        <f t="shared" si="18"/>
        <v>Medium</v>
      </c>
      <c r="F412" s="119">
        <f>Area!O32</f>
        <v>752.58501109327767</v>
      </c>
      <c r="G412" s="27">
        <f>D412*Variables!$C$9</f>
        <v>2.2727306779297014</v>
      </c>
      <c r="H412" s="28">
        <f t="shared" si="17"/>
        <v>2.2201139766823301</v>
      </c>
      <c r="I412" s="28">
        <f t="shared" si="19"/>
        <v>5.2616701247371278E-2</v>
      </c>
      <c r="J412" s="197">
        <f>VLOOKUP(A412,'Land costs'!$A$2:$F$96,5,FALSE)</f>
        <v>207178319.55590102</v>
      </c>
      <c r="K412" s="29">
        <f>I412*(J412+Variables!$C$10*Variables!$C$5)</f>
        <v>11135079.699637573</v>
      </c>
      <c r="L412" s="29">
        <f>(G412*Variables!$C$11+D412*Variables!$C$12)*Variables!$C$5</f>
        <v>4122720.8473354513</v>
      </c>
    </row>
    <row r="413" spans="1:12" x14ac:dyDescent="0.35">
      <c r="A413" s="96">
        <v>32</v>
      </c>
      <c r="B413" s="87" t="s">
        <v>90</v>
      </c>
      <c r="C413" s="87">
        <v>2028</v>
      </c>
      <c r="D413" s="97">
        <f>Population!M33</f>
        <v>1758035.7360581807</v>
      </c>
      <c r="E413" s="92" t="str">
        <f t="shared" si="18"/>
        <v>Large</v>
      </c>
      <c r="F413" s="119">
        <f>Area!O33</f>
        <v>44.450031205101943</v>
      </c>
      <c r="G413" s="27">
        <f>D413*Variables!$C$9</f>
        <v>15.822321624523626</v>
      </c>
      <c r="H413" s="28">
        <f t="shared" si="17"/>
        <v>15.456014090576954</v>
      </c>
      <c r="I413" s="28">
        <f t="shared" si="19"/>
        <v>0.36630753394667259</v>
      </c>
      <c r="J413" s="197">
        <f>VLOOKUP(A413,'Land costs'!$A$2:$F$96,5,FALSE)</f>
        <v>258664564.88983455</v>
      </c>
      <c r="K413" s="29">
        <f>I413*(J413+Variables!$C$10*Variables!$C$5)</f>
        <v>96380120.834438905</v>
      </c>
      <c r="L413" s="29">
        <f>(G413*Variables!$C$11+D413*Variables!$C$12)*Variables!$C$5</f>
        <v>28701603.691155769</v>
      </c>
    </row>
    <row r="414" spans="1:12" x14ac:dyDescent="0.35">
      <c r="A414" s="96">
        <v>33</v>
      </c>
      <c r="B414" s="87" t="s">
        <v>91</v>
      </c>
      <c r="C414" s="87">
        <v>2028</v>
      </c>
      <c r="D414" s="97">
        <f>Population!M34</f>
        <v>1107461.1031830763</v>
      </c>
      <c r="E414" s="92" t="str">
        <f t="shared" si="18"/>
        <v>Large</v>
      </c>
      <c r="F414" s="119">
        <f>Area!O34</f>
        <v>370.92784660809195</v>
      </c>
      <c r="G414" s="27">
        <f>D414*Variables!$C$9</f>
        <v>9.9671499286476859</v>
      </c>
      <c r="H414" s="28">
        <f t="shared" si="17"/>
        <v>9.7363973123451082</v>
      </c>
      <c r="I414" s="28">
        <f t="shared" si="19"/>
        <v>0.23075261630257771</v>
      </c>
      <c r="J414" s="197">
        <f>VLOOKUP(A414,'Land costs'!$A$2:$F$96,5,FALSE)</f>
        <v>147442586.65970939</v>
      </c>
      <c r="K414" s="29">
        <f>I414*(J414+Variables!$C$10*Variables!$C$5)</f>
        <v>35049154.067846619</v>
      </c>
      <c r="L414" s="29">
        <f>(G414*Variables!$C$11+D414*Variables!$C$12)*Variables!$C$5</f>
        <v>18080354.702117898</v>
      </c>
    </row>
    <row r="415" spans="1:12" x14ac:dyDescent="0.35">
      <c r="A415" s="96">
        <v>34</v>
      </c>
      <c r="B415" s="87" t="s">
        <v>92</v>
      </c>
      <c r="C415" s="87">
        <v>2028</v>
      </c>
      <c r="D415" s="97">
        <f>Population!M35</f>
        <v>640649.50502937916</v>
      </c>
      <c r="E415" s="92" t="str">
        <f t="shared" si="18"/>
        <v>Medium</v>
      </c>
      <c r="F415" s="119">
        <f>Area!O35</f>
        <v>112.83840178299789</v>
      </c>
      <c r="G415" s="27">
        <f>D415*Variables!$C$9</f>
        <v>5.7658455452644128</v>
      </c>
      <c r="H415" s="28">
        <f t="shared" si="17"/>
        <v>5.6323586453691625</v>
      </c>
      <c r="I415" s="28">
        <f t="shared" si="19"/>
        <v>0.13348689989525031</v>
      </c>
      <c r="J415" s="197">
        <f>VLOOKUP(A415,'Land costs'!$A$2:$F$96,5,FALSE)</f>
        <v>382950815.48123109</v>
      </c>
      <c r="K415" s="29">
        <f>I415*(J415+Variables!$C$10*Variables!$C$5)</f>
        <v>51712669.102461003</v>
      </c>
      <c r="L415" s="29">
        <f>(G415*Variables!$C$11+D415*Variables!$C$12)*Variables!$C$5</f>
        <v>10459211.847147472</v>
      </c>
    </row>
    <row r="416" spans="1:12" x14ac:dyDescent="0.35">
      <c r="A416" s="96">
        <v>35</v>
      </c>
      <c r="B416" s="87" t="s">
        <v>93</v>
      </c>
      <c r="C416" s="87">
        <v>2028</v>
      </c>
      <c r="D416" s="97">
        <f>Population!M36</f>
        <v>272932.82547940017</v>
      </c>
      <c r="E416" s="92" t="str">
        <f t="shared" si="18"/>
        <v>Medium</v>
      </c>
      <c r="F416" s="119">
        <f>Area!O36</f>
        <v>38.372886209608275</v>
      </c>
      <c r="G416" s="27">
        <f>D416*Variables!$C$9</f>
        <v>2.4563954293146018</v>
      </c>
      <c r="H416" s="28">
        <f t="shared" si="17"/>
        <v>2.3995266477626274</v>
      </c>
      <c r="I416" s="28">
        <f t="shared" si="19"/>
        <v>5.686878155197439E-2</v>
      </c>
      <c r="J416" s="197">
        <f>VLOOKUP(A416,'Land costs'!$A$2:$F$96,5,FALSE)</f>
        <v>83219953.906071469</v>
      </c>
      <c r="K416" s="29">
        <f>I416*(J416+Variables!$C$10*Variables!$C$5)</f>
        <v>4985570.6573803779</v>
      </c>
      <c r="L416" s="29">
        <f>(G416*Variables!$C$11+D416*Variables!$C$12)*Variables!$C$5</f>
        <v>4455887.6879155086</v>
      </c>
    </row>
    <row r="417" spans="1:12" x14ac:dyDescent="0.35">
      <c r="A417" s="96">
        <v>36</v>
      </c>
      <c r="B417" s="87" t="s">
        <v>94</v>
      </c>
      <c r="C417" s="87">
        <v>2028</v>
      </c>
      <c r="D417" s="97">
        <f>Population!M37</f>
        <v>1749913.9585232092</v>
      </c>
      <c r="E417" s="92" t="str">
        <f t="shared" si="18"/>
        <v>Large</v>
      </c>
      <c r="F417" s="119">
        <f>Area!O37</f>
        <v>71.864014706159907</v>
      </c>
      <c r="G417" s="27">
        <f>D417*Variables!$C$9</f>
        <v>15.749225626708883</v>
      </c>
      <c r="H417" s="28">
        <f t="shared" si="17"/>
        <v>15.384610361149637</v>
      </c>
      <c r="I417" s="28">
        <f t="shared" si="19"/>
        <v>0.36461526555924628</v>
      </c>
      <c r="J417" s="197">
        <f>VLOOKUP(A417,'Land costs'!$A$2:$F$96,5,FALSE)</f>
        <v>115153966.74863443</v>
      </c>
      <c r="K417" s="29">
        <f>I417*(J417+Variables!$C$10*Variables!$C$5)</f>
        <v>43608708.878821038</v>
      </c>
      <c r="L417" s="29">
        <f>(G417*Variables!$C$11+D417*Variables!$C$12)*Variables!$C$5</f>
        <v>28569007.956441555</v>
      </c>
    </row>
    <row r="418" spans="1:12" x14ac:dyDescent="0.35">
      <c r="A418" s="96">
        <v>37</v>
      </c>
      <c r="B418" s="87" t="s">
        <v>95</v>
      </c>
      <c r="C418" s="87">
        <v>2028</v>
      </c>
      <c r="D418" s="97">
        <f>Population!M38</f>
        <v>291956.60765931604</v>
      </c>
      <c r="E418" s="92" t="str">
        <f t="shared" si="18"/>
        <v>Medium</v>
      </c>
      <c r="F418" s="119">
        <f>Area!O38</f>
        <v>30.19878027146688</v>
      </c>
      <c r="G418" s="27">
        <f>D418*Variables!$C$9</f>
        <v>2.6276094689338443</v>
      </c>
      <c r="H418" s="28">
        <f t="shared" si="17"/>
        <v>2.5667768574131529</v>
      </c>
      <c r="I418" s="28">
        <f t="shared" si="19"/>
        <v>6.0832611520691415E-2</v>
      </c>
      <c r="J418" s="197">
        <f>VLOOKUP(A418,'Land costs'!$A$2:$F$96,5,FALSE)</f>
        <v>135804860.55953482</v>
      </c>
      <c r="K418" s="29">
        <f>I418*(J418+Variables!$C$10*Variables!$C$5)</f>
        <v>8531948.7840224206</v>
      </c>
      <c r="L418" s="29">
        <f>(G418*Variables!$C$11+D418*Variables!$C$12)*Variables!$C$5</f>
        <v>4766469.0063926131</v>
      </c>
    </row>
    <row r="419" spans="1:12" x14ac:dyDescent="0.35">
      <c r="A419" s="96">
        <v>38</v>
      </c>
      <c r="B419" s="87" t="s">
        <v>96</v>
      </c>
      <c r="C419" s="87">
        <v>2028</v>
      </c>
      <c r="D419" s="97">
        <f>Population!M39</f>
        <v>1283931.8121639709</v>
      </c>
      <c r="E419" s="92" t="str">
        <f t="shared" si="18"/>
        <v>Large</v>
      </c>
      <c r="F419" s="119">
        <f>Area!O39</f>
        <v>121.47629658071266</v>
      </c>
      <c r="G419" s="27">
        <f>D419*Variables!$C$9</f>
        <v>11.555386309475738</v>
      </c>
      <c r="H419" s="28">
        <f t="shared" si="17"/>
        <v>11.287863934234384</v>
      </c>
      <c r="I419" s="28">
        <f t="shared" si="19"/>
        <v>0.26752237524135403</v>
      </c>
      <c r="J419" s="197">
        <f>VLOOKUP(A419,'Land costs'!$A$2:$F$96,5,FALSE)</f>
        <v>223708463.42310071</v>
      </c>
      <c r="K419" s="29">
        <f>I419*(J419+Variables!$C$10*Variables!$C$5)</f>
        <v>61036963.432218023</v>
      </c>
      <c r="L419" s="29">
        <f>(G419*Variables!$C$11+D419*Variables!$C$12)*Variables!$C$5</f>
        <v>20961406.690073222</v>
      </c>
    </row>
    <row r="420" spans="1:12" x14ac:dyDescent="0.35">
      <c r="A420" s="96">
        <v>39</v>
      </c>
      <c r="B420" s="87" t="s">
        <v>97</v>
      </c>
      <c r="C420" s="87">
        <v>2028</v>
      </c>
      <c r="D420" s="97">
        <f>Population!M40</f>
        <v>105699.26098868315</v>
      </c>
      <c r="E420" s="92" t="str">
        <f t="shared" si="18"/>
        <v>Medium</v>
      </c>
      <c r="F420" s="119">
        <f>Area!O40</f>
        <v>28.949958530917499</v>
      </c>
      <c r="G420" s="27">
        <f>D420*Variables!$C$9</f>
        <v>0.95129334889814832</v>
      </c>
      <c r="H420" s="28">
        <f t="shared" si="17"/>
        <v>0.92926965800346617</v>
      </c>
      <c r="I420" s="28">
        <f t="shared" si="19"/>
        <v>2.2023690894682146E-2</v>
      </c>
      <c r="J420" s="197">
        <f>VLOOKUP(A420,'Land costs'!$A$2:$F$96,5,FALSE)</f>
        <v>399734297.50693494</v>
      </c>
      <c r="K420" s="29">
        <f>I420*(J420+Variables!$C$10*Variables!$C$5)</f>
        <v>8901586.3484966233</v>
      </c>
      <c r="L420" s="29">
        <f>(G420*Variables!$C$11+D420*Variables!$C$12)*Variables!$C$5</f>
        <v>1725640.8599221024</v>
      </c>
    </row>
    <row r="421" spans="1:12" x14ac:dyDescent="0.35">
      <c r="A421" s="96">
        <v>40</v>
      </c>
      <c r="B421" s="87" t="s">
        <v>98</v>
      </c>
      <c r="C421" s="87">
        <v>2028</v>
      </c>
      <c r="D421" s="97">
        <f>Population!M41</f>
        <v>188727.83235646304</v>
      </c>
      <c r="E421" s="92" t="str">
        <f t="shared" si="18"/>
        <v>Medium</v>
      </c>
      <c r="F421" s="119">
        <f>Area!O41</f>
        <v>40.416412694143645</v>
      </c>
      <c r="G421" s="27">
        <f>D421*Variables!$C$9</f>
        <v>1.6985504912081675</v>
      </c>
      <c r="H421" s="28">
        <f t="shared" si="17"/>
        <v>1.6592268156766312</v>
      </c>
      <c r="I421" s="28">
        <f t="shared" si="19"/>
        <v>3.9323675531536262E-2</v>
      </c>
      <c r="J421" s="197">
        <f>VLOOKUP(A421,'Land costs'!$A$2:$F$96,5,FALSE)</f>
        <v>101660475.1170758</v>
      </c>
      <c r="K421" s="29">
        <f>I421*(J421+Variables!$C$10*Variables!$C$5)</f>
        <v>4172575.8949737726</v>
      </c>
      <c r="L421" s="29">
        <f>(G421*Variables!$C$11+D421*Variables!$C$12)*Variables!$C$5</f>
        <v>3081161.1724864412</v>
      </c>
    </row>
    <row r="422" spans="1:12" x14ac:dyDescent="0.35">
      <c r="A422" s="96">
        <v>41</v>
      </c>
      <c r="B422" s="87" t="s">
        <v>99</v>
      </c>
      <c r="C422" s="87">
        <v>2028</v>
      </c>
      <c r="D422" s="97">
        <f>Population!M42</f>
        <v>90837.629195684305</v>
      </c>
      <c r="E422" s="92" t="str">
        <f t="shared" si="18"/>
        <v>Small</v>
      </c>
      <c r="F422" s="119">
        <f>Area!O42</f>
        <v>16.121153378001114</v>
      </c>
      <c r="G422" s="27">
        <f>D422*Variables!$C$9</f>
        <v>0.81753866276115872</v>
      </c>
      <c r="H422" s="28">
        <f t="shared" si="17"/>
        <v>0.79861156858567817</v>
      </c>
      <c r="I422" s="28">
        <f t="shared" si="19"/>
        <v>1.8927094175480552E-2</v>
      </c>
      <c r="J422" s="197">
        <f>VLOOKUP(A422,'Land costs'!$A$2:$F$96,5,FALSE)</f>
        <v>399734297.50693494</v>
      </c>
      <c r="K422" s="29">
        <f>I422*(J422+Variables!$C$10*Variables!$C$5)</f>
        <v>7649996.7210241407</v>
      </c>
      <c r="L422" s="29">
        <f>(G422*Variables!$C$11+D422*Variables!$C$12)*Variables!$C$5</f>
        <v>1483010.6009474255</v>
      </c>
    </row>
    <row r="423" spans="1:12" x14ac:dyDescent="0.35">
      <c r="A423" s="96">
        <v>42</v>
      </c>
      <c r="B423" s="87" t="s">
        <v>100</v>
      </c>
      <c r="C423" s="87">
        <v>2028</v>
      </c>
      <c r="D423" s="97">
        <f>Population!M43</f>
        <v>112489.7460564261</v>
      </c>
      <c r="E423" s="92" t="str">
        <f t="shared" si="18"/>
        <v>Medium</v>
      </c>
      <c r="F423" s="119">
        <f>Area!O43</f>
        <v>17.029387371127939</v>
      </c>
      <c r="G423" s="27">
        <f>D423*Variables!$C$9</f>
        <v>1.012407714507835</v>
      </c>
      <c r="H423" s="28">
        <f t="shared" si="17"/>
        <v>0.9889691457534775</v>
      </c>
      <c r="I423" s="28">
        <f t="shared" si="19"/>
        <v>2.3438568754357458E-2</v>
      </c>
      <c r="J423" s="197">
        <f>VLOOKUP(A423,'Land costs'!$A$2:$F$96,5,FALSE)</f>
        <v>189319723.52178472</v>
      </c>
      <c r="K423" s="29">
        <f>I423*(J423+Variables!$C$10*Variables!$C$5)</f>
        <v>4541638.4965689974</v>
      </c>
      <c r="L423" s="29">
        <f>(G423*Variables!$C$11+D423*Variables!$C$12)*Variables!$C$5</f>
        <v>1836501.9802552215</v>
      </c>
    </row>
    <row r="424" spans="1:12" x14ac:dyDescent="0.35">
      <c r="A424" s="96">
        <v>1</v>
      </c>
      <c r="B424" s="87" t="s">
        <v>59</v>
      </c>
      <c r="C424" s="87">
        <v>2029</v>
      </c>
      <c r="D424" s="97">
        <f>Population!N2</f>
        <v>609779.74368807941</v>
      </c>
      <c r="E424" s="92" t="str">
        <f t="shared" si="18"/>
        <v>Medium</v>
      </c>
      <c r="F424" s="119">
        <f>Area!P2</f>
        <v>118.1437494435108</v>
      </c>
      <c r="G424" s="27">
        <f>D424*Variables!$C$9</f>
        <v>5.4880176931927149</v>
      </c>
      <c r="H424" s="28">
        <f t="shared" si="17"/>
        <v>5.3609628731002381</v>
      </c>
      <c r="I424" s="28">
        <f t="shared" si="19"/>
        <v>0.12705482009247682</v>
      </c>
      <c r="J424" s="197">
        <f>VLOOKUP(A424,'Land costs'!$A$2:$F$96,5,FALSE)</f>
        <v>349411907.96390015</v>
      </c>
      <c r="K424" s="29">
        <f>I424*(J424+Variables!$C$10*Variables!$C$5)</f>
        <v>44959609.039028317</v>
      </c>
      <c r="L424" s="29">
        <f>(G424*Variables!$C$11+D424*Variables!$C$12)*Variables!$C$5</f>
        <v>9955233.6640616488</v>
      </c>
    </row>
    <row r="425" spans="1:12" x14ac:dyDescent="0.35">
      <c r="A425" s="96">
        <v>2</v>
      </c>
      <c r="B425" s="87" t="s">
        <v>60</v>
      </c>
      <c r="C425" s="87">
        <v>2029</v>
      </c>
      <c r="D425" s="97">
        <f>Population!N3</f>
        <v>447293.36025135126</v>
      </c>
      <c r="E425" s="92" t="str">
        <f t="shared" si="18"/>
        <v>Medium</v>
      </c>
      <c r="F425" s="119">
        <f>Area!P3</f>
        <v>710.4170196800585</v>
      </c>
      <c r="G425" s="27">
        <f>D425*Variables!$C$9</f>
        <v>4.0256402422621616</v>
      </c>
      <c r="H425" s="28">
        <f t="shared" si="17"/>
        <v>12.956920723790825</v>
      </c>
      <c r="I425" s="28">
        <f t="shared" si="19"/>
        <v>0</v>
      </c>
      <c r="J425" s="197">
        <f>VLOOKUP(A425,'Land costs'!$A$2:$F$96,5,FALSE)</f>
        <v>207178319.55590102</v>
      </c>
      <c r="K425" s="29">
        <f>I425*(J425+Variables!$C$10*Variables!$C$5)</f>
        <v>0</v>
      </c>
      <c r="L425" s="29">
        <f>(G425*Variables!$C$11+D425*Variables!$C$12)*Variables!$C$5</f>
        <v>7302489.0770450113</v>
      </c>
    </row>
    <row r="426" spans="1:12" x14ac:dyDescent="0.35">
      <c r="A426" s="96">
        <v>3</v>
      </c>
      <c r="B426" s="87" t="s">
        <v>61</v>
      </c>
      <c r="C426" s="87">
        <v>2029</v>
      </c>
      <c r="D426" s="97">
        <f>Population!N4</f>
        <v>12871826.22495136</v>
      </c>
      <c r="E426" s="92" t="str">
        <f t="shared" si="18"/>
        <v>Large</v>
      </c>
      <c r="F426" s="119">
        <f>Area!P4</f>
        <v>837.88790723753061</v>
      </c>
      <c r="G426" s="27">
        <f>D426*Variables!$C$9</f>
        <v>115.84643602456225</v>
      </c>
      <c r="H426" s="28">
        <f t="shared" si="17"/>
        <v>113.1644388244234</v>
      </c>
      <c r="I426" s="28">
        <f t="shared" si="19"/>
        <v>2.6819972001388521</v>
      </c>
      <c r="J426" s="197">
        <f>VLOOKUP(A426,'Land costs'!$A$2:$F$96,5,FALSE)</f>
        <v>623490608.57078338</v>
      </c>
      <c r="K426" s="29">
        <f>I426*(J426+Variables!$C$10*Variables!$C$5)</f>
        <v>1684129634.2636304</v>
      </c>
      <c r="L426" s="29">
        <f>(G426*Variables!$C$11+D426*Variables!$C$12)*Variables!$C$5</f>
        <v>210144792.57306367</v>
      </c>
    </row>
    <row r="427" spans="1:12" x14ac:dyDescent="0.35">
      <c r="A427" s="96">
        <v>4</v>
      </c>
      <c r="B427" s="87" t="s">
        <v>62</v>
      </c>
      <c r="C427" s="87">
        <v>2029</v>
      </c>
      <c r="D427" s="97">
        <f>Population!N5</f>
        <v>2741264.8651895751</v>
      </c>
      <c r="E427" s="92" t="str">
        <f t="shared" si="18"/>
        <v>Large</v>
      </c>
      <c r="F427" s="119">
        <f>Area!P5</f>
        <v>463.24785966008182</v>
      </c>
      <c r="G427" s="27">
        <f>D427*Variables!$C$9</f>
        <v>24.671383786706176</v>
      </c>
      <c r="H427" s="28">
        <f t="shared" si="17"/>
        <v>100.58253557595253</v>
      </c>
      <c r="I427" s="28">
        <f t="shared" si="19"/>
        <v>0</v>
      </c>
      <c r="J427" s="197">
        <f>VLOOKUP(A427,'Land costs'!$A$2:$F$96,5,FALSE)</f>
        <v>258664564.88983455</v>
      </c>
      <c r="K427" s="29">
        <f>I427*(J427+Variables!$C$10*Variables!$C$5)</f>
        <v>0</v>
      </c>
      <c r="L427" s="29">
        <f>(G427*Variables!$C$11+D427*Variables!$C$12)*Variables!$C$5</f>
        <v>44753753.384770185</v>
      </c>
    </row>
    <row r="428" spans="1:12" x14ac:dyDescent="0.35">
      <c r="A428" s="96">
        <v>5</v>
      </c>
      <c r="B428" s="87" t="s">
        <v>63</v>
      </c>
      <c r="C428" s="87">
        <v>2029</v>
      </c>
      <c r="D428" s="97">
        <f>Population!N6</f>
        <v>1285710.7813572201</v>
      </c>
      <c r="E428" s="92" t="str">
        <f t="shared" si="18"/>
        <v>Large</v>
      </c>
      <c r="F428" s="119">
        <f>Area!P6</f>
        <v>209.8606075641311</v>
      </c>
      <c r="G428" s="27">
        <f>D428*Variables!$C$9</f>
        <v>11.571397032214982</v>
      </c>
      <c r="H428" s="28">
        <f t="shared" si="17"/>
        <v>11.303503987706341</v>
      </c>
      <c r="I428" s="28">
        <f t="shared" si="19"/>
        <v>0.26789304450864115</v>
      </c>
      <c r="J428" s="197">
        <f>VLOOKUP(A428,'Land costs'!$A$2:$F$96,5,FALSE)</f>
        <v>258664564.88983455</v>
      </c>
      <c r="K428" s="29">
        <f>I428*(J428+Variables!$C$10*Variables!$C$5)</f>
        <v>70486030.473529369</v>
      </c>
      <c r="L428" s="29">
        <f>(G428*Variables!$C$11+D428*Variables!$C$12)*Variables!$C$5</f>
        <v>20990450.052341782</v>
      </c>
    </row>
    <row r="429" spans="1:12" x14ac:dyDescent="0.35">
      <c r="A429" s="96">
        <v>6</v>
      </c>
      <c r="B429" s="87" t="s">
        <v>64</v>
      </c>
      <c r="C429" s="87">
        <v>2029</v>
      </c>
      <c r="D429" s="97">
        <f>Population!N7</f>
        <v>1465876.0272242008</v>
      </c>
      <c r="E429" s="92" t="str">
        <f t="shared" si="18"/>
        <v>Large</v>
      </c>
      <c r="F429" s="119">
        <f>Area!P7</f>
        <v>180.77172530541489</v>
      </c>
      <c r="G429" s="27">
        <f>D429*Variables!$C$9</f>
        <v>13.192884245017808</v>
      </c>
      <c r="H429" s="28">
        <f t="shared" si="17"/>
        <v>12.887451641123187</v>
      </c>
      <c r="I429" s="28">
        <f t="shared" si="19"/>
        <v>0.30543260389462112</v>
      </c>
      <c r="J429" s="197">
        <f>VLOOKUP(A429,'Land costs'!$A$2:$F$96,5,FALSE)</f>
        <v>421303330.51817626</v>
      </c>
      <c r="K429" s="29">
        <f>I429*(J429+Variables!$C$10*Variables!$C$5)</f>
        <v>130038342.52738954</v>
      </c>
      <c r="L429" s="29">
        <f>(G429*Variables!$C$11+D429*Variables!$C$12)*Variables!$C$5</f>
        <v>23931818.865121476</v>
      </c>
    </row>
    <row r="430" spans="1:12" x14ac:dyDescent="0.35">
      <c r="A430" s="96">
        <v>7</v>
      </c>
      <c r="B430" s="87" t="s">
        <v>65</v>
      </c>
      <c r="C430" s="87">
        <v>2029</v>
      </c>
      <c r="D430" s="97">
        <f>Population!N8</f>
        <v>7083636.7835001564</v>
      </c>
      <c r="E430" s="92" t="str">
        <f t="shared" si="18"/>
        <v>Large</v>
      </c>
      <c r="F430" s="119">
        <f>Area!P8</f>
        <v>1224.9641389669282</v>
      </c>
      <c r="G430" s="27">
        <f>D430*Variables!$C$9</f>
        <v>63.752731051501407</v>
      </c>
      <c r="H430" s="28">
        <f t="shared" si="17"/>
        <v>62.27677156540139</v>
      </c>
      <c r="I430" s="28">
        <f t="shared" si="19"/>
        <v>1.4759594861000167</v>
      </c>
      <c r="J430" s="197">
        <f>VLOOKUP(A430,'Land costs'!$A$2:$F$96,5,FALSE)</f>
        <v>368904372.20152247</v>
      </c>
      <c r="K430" s="29">
        <f>I430*(J430+Variables!$C$10*Variables!$C$5)</f>
        <v>551052999.74271345</v>
      </c>
      <c r="L430" s="29">
        <f>(G430*Variables!$C$11+D430*Variables!$C$12)*Variables!$C$5</f>
        <v>115647100.61467515</v>
      </c>
    </row>
    <row r="431" spans="1:12" x14ac:dyDescent="0.35">
      <c r="A431" s="96">
        <v>8</v>
      </c>
      <c r="B431" s="87" t="s">
        <v>66</v>
      </c>
      <c r="C431" s="87">
        <v>2029</v>
      </c>
      <c r="D431" s="97">
        <f>Population!N9</f>
        <v>67504.991475074072</v>
      </c>
      <c r="E431" s="92" t="str">
        <f t="shared" si="18"/>
        <v>Small</v>
      </c>
      <c r="F431" s="119">
        <f>Area!P9</f>
        <v>172.55205510828549</v>
      </c>
      <c r="G431" s="27">
        <f>D431*Variables!$C$9</f>
        <v>0.60754492327566667</v>
      </c>
      <c r="H431" s="28">
        <f t="shared" ref="H431:H494" si="20">H389+I389</f>
        <v>0.59347946007196117</v>
      </c>
      <c r="I431" s="28">
        <f t="shared" si="19"/>
        <v>1.4065463203705497E-2</v>
      </c>
      <c r="J431" s="197">
        <f>VLOOKUP(A431,'Land costs'!$A$2:$F$96,5,FALSE)</f>
        <v>399734297.50693494</v>
      </c>
      <c r="K431" s="29">
        <f>I431*(J431+Variables!$C$10*Variables!$C$5)</f>
        <v>5685011.4650682146</v>
      </c>
      <c r="L431" s="29">
        <f>(G431*Variables!$C$11+D431*Variables!$C$12)*Variables!$C$5</f>
        <v>1102083.1219487253</v>
      </c>
    </row>
    <row r="432" spans="1:12" x14ac:dyDescent="0.35">
      <c r="A432" s="96">
        <v>9</v>
      </c>
      <c r="B432" s="87" t="s">
        <v>67</v>
      </c>
      <c r="C432" s="87">
        <v>2029</v>
      </c>
      <c r="D432" s="97">
        <f>Population!N10</f>
        <v>868284.13428457931</v>
      </c>
      <c r="E432" s="92" t="str">
        <f t="shared" si="18"/>
        <v>Medium</v>
      </c>
      <c r="F432" s="119">
        <f>Area!P10</f>
        <v>466.35690569806906</v>
      </c>
      <c r="G432" s="27">
        <f>D432*Variables!$C$9</f>
        <v>7.8145572085612143</v>
      </c>
      <c r="H432" s="28">
        <f t="shared" si="20"/>
        <v>7.6336399419373002</v>
      </c>
      <c r="I432" s="28">
        <f t="shared" si="19"/>
        <v>0.18091726662391405</v>
      </c>
      <c r="J432" s="197">
        <f>VLOOKUP(A432,'Land costs'!$A$2:$F$96,5,FALSE)</f>
        <v>292630299.54426229</v>
      </c>
      <c r="K432" s="29">
        <f>I432*(J432+Variables!$C$10*Variables!$C$5)</f>
        <v>53746596.909585312</v>
      </c>
      <c r="L432" s="29">
        <f>(G432*Variables!$C$11+D432*Variables!$C$12)*Variables!$C$5</f>
        <v>14175563.444137825</v>
      </c>
    </row>
    <row r="433" spans="1:12" x14ac:dyDescent="0.35">
      <c r="A433" s="96">
        <v>10</v>
      </c>
      <c r="B433" s="87" t="s">
        <v>68</v>
      </c>
      <c r="C433" s="87">
        <v>2029</v>
      </c>
      <c r="D433" s="97">
        <f>Population!N11</f>
        <v>805759.46906281519</v>
      </c>
      <c r="E433" s="92" t="str">
        <f t="shared" si="18"/>
        <v>Medium</v>
      </c>
      <c r="F433" s="119">
        <f>Area!P11</f>
        <v>138.16947157101774</v>
      </c>
      <c r="G433" s="27">
        <f>D433*Variables!$C$9</f>
        <v>7.2518352215653366</v>
      </c>
      <c r="H433" s="28">
        <f t="shared" si="20"/>
        <v>7.0839457082791206</v>
      </c>
      <c r="I433" s="28">
        <f t="shared" si="19"/>
        <v>0.16788951328621593</v>
      </c>
      <c r="J433" s="197">
        <f>VLOOKUP(A433,'Land costs'!$A$2:$F$96,5,FALSE)</f>
        <v>207178319.55590102</v>
      </c>
      <c r="K433" s="29">
        <f>I433*(J433+Variables!$C$10*Variables!$C$5)</f>
        <v>35529842.556763731</v>
      </c>
      <c r="L433" s="29">
        <f>(G433*Variables!$C$11+D433*Variables!$C$12)*Variables!$C$5</f>
        <v>13154788.880054744</v>
      </c>
    </row>
    <row r="434" spans="1:12" x14ac:dyDescent="0.35">
      <c r="A434" s="96">
        <v>11</v>
      </c>
      <c r="B434" s="87" t="s">
        <v>69</v>
      </c>
      <c r="C434" s="87">
        <v>2029</v>
      </c>
      <c r="D434" s="97">
        <f>Population!N12</f>
        <v>314288.00816226902</v>
      </c>
      <c r="E434" s="92" t="str">
        <f t="shared" si="18"/>
        <v>Medium</v>
      </c>
      <c r="F434" s="119">
        <f>Area!P12</f>
        <v>177.21562416526621</v>
      </c>
      <c r="G434" s="27">
        <f>D434*Variables!$C$9</f>
        <v>2.8285920734604213</v>
      </c>
      <c r="H434" s="28">
        <f t="shared" si="20"/>
        <v>2.7631064505816361</v>
      </c>
      <c r="I434" s="28">
        <f t="shared" si="19"/>
        <v>6.5485622878785232E-2</v>
      </c>
      <c r="J434" s="197">
        <f>VLOOKUP(A434,'Land costs'!$A$2:$F$96,5,FALSE)</f>
        <v>446522393.21506435</v>
      </c>
      <c r="K434" s="29">
        <f>I434*(J434+Variables!$C$10*Variables!$C$5)</f>
        <v>29532078.179231256</v>
      </c>
      <c r="L434" s="29">
        <f>(G434*Variables!$C$11+D434*Variables!$C$12)*Variables!$C$5</f>
        <v>5131050.3365431288</v>
      </c>
    </row>
    <row r="435" spans="1:12" x14ac:dyDescent="0.35">
      <c r="A435" s="96">
        <v>12</v>
      </c>
      <c r="B435" s="87" t="s">
        <v>70</v>
      </c>
      <c r="C435" s="87">
        <v>2029</v>
      </c>
      <c r="D435" s="97">
        <f>Population!N13</f>
        <v>152879.39964476039</v>
      </c>
      <c r="E435" s="92" t="str">
        <f t="shared" si="18"/>
        <v>Medium</v>
      </c>
      <c r="F435" s="119">
        <f>Area!P13</f>
        <v>29.5359373608777</v>
      </c>
      <c r="G435" s="27">
        <f>D435*Variables!$C$9</f>
        <v>1.3759145968028434</v>
      </c>
      <c r="H435" s="28">
        <f t="shared" si="20"/>
        <v>1.3440603661256649</v>
      </c>
      <c r="I435" s="28">
        <f t="shared" si="19"/>
        <v>3.1854230677178519E-2</v>
      </c>
      <c r="J435" s="197">
        <f>VLOOKUP(A435,'Land costs'!$A$2:$F$96,5,FALSE)</f>
        <v>207178319.55590102</v>
      </c>
      <c r="K435" s="29">
        <f>I435*(J435+Variables!$C$10*Variables!$C$5)</f>
        <v>6741194.1256720964</v>
      </c>
      <c r="L435" s="29">
        <f>(G435*Variables!$C$11+D435*Variables!$C$12)*Variables!$C$5</f>
        <v>2495901.4490707256</v>
      </c>
    </row>
    <row r="436" spans="1:12" x14ac:dyDescent="0.35">
      <c r="A436" s="96">
        <v>13</v>
      </c>
      <c r="B436" s="87" t="s">
        <v>71</v>
      </c>
      <c r="C436" s="87">
        <v>2029</v>
      </c>
      <c r="D436" s="97">
        <f>Population!N14</f>
        <v>10262170.330201637</v>
      </c>
      <c r="E436" s="92" t="str">
        <f t="shared" si="18"/>
        <v>Large</v>
      </c>
      <c r="F436" s="119">
        <f>Area!P14</f>
        <v>939.42363016068089</v>
      </c>
      <c r="G436" s="27">
        <f>D436*Variables!$C$9</f>
        <v>92.35953297181473</v>
      </c>
      <c r="H436" s="28">
        <f t="shared" si="20"/>
        <v>279.82566666666668</v>
      </c>
      <c r="I436" s="28">
        <f t="shared" si="19"/>
        <v>0</v>
      </c>
      <c r="J436" s="197">
        <f>VLOOKUP(A436,'Land costs'!$A$2:$F$96,5,FALSE)</f>
        <v>225281113.07128146</v>
      </c>
      <c r="K436" s="29">
        <f>I436*(J436+Variables!$C$10*Variables!$C$5)</f>
        <v>0</v>
      </c>
      <c r="L436" s="29">
        <f>(G436*Variables!$C$11+D436*Variables!$C$12)*Variables!$C$5</f>
        <v>167539680.67167717</v>
      </c>
    </row>
    <row r="437" spans="1:12" x14ac:dyDescent="0.35">
      <c r="A437" s="96">
        <v>14</v>
      </c>
      <c r="B437" s="87" t="s">
        <v>72</v>
      </c>
      <c r="C437" s="87">
        <v>2029</v>
      </c>
      <c r="D437" s="97">
        <f>Population!N15</f>
        <v>408918.78027750092</v>
      </c>
      <c r="E437" s="92" t="str">
        <f t="shared" si="18"/>
        <v>Medium</v>
      </c>
      <c r="F437" s="119">
        <f>Area!P15</f>
        <v>46.63569056980689</v>
      </c>
      <c r="G437" s="27">
        <f>D437*Variables!$C$9</f>
        <v>3.6802690224975083</v>
      </c>
      <c r="H437" s="28">
        <f t="shared" si="20"/>
        <v>3.5950659592629757</v>
      </c>
      <c r="I437" s="28">
        <f t="shared" si="19"/>
        <v>8.5203063234532639E-2</v>
      </c>
      <c r="J437" s="197">
        <f>VLOOKUP(A437,'Land costs'!$A$2:$F$96,5,FALSE)</f>
        <v>172078376.43406156</v>
      </c>
      <c r="K437" s="29">
        <f>I437*(J437+Variables!$C$10*Variables!$C$5)</f>
        <v>15040589.418604935</v>
      </c>
      <c r="L437" s="29">
        <f>(G437*Variables!$C$11+D437*Variables!$C$12)*Variables!$C$5</f>
        <v>6675987.5994962268</v>
      </c>
    </row>
    <row r="438" spans="1:12" x14ac:dyDescent="0.35">
      <c r="A438" s="96">
        <v>15</v>
      </c>
      <c r="B438" s="87" t="s">
        <v>73</v>
      </c>
      <c r="C438" s="87">
        <v>2029</v>
      </c>
      <c r="D438" s="97">
        <f>Population!N16</f>
        <v>90688.585494154671</v>
      </c>
      <c r="E438" s="92" t="str">
        <f t="shared" si="18"/>
        <v>Small</v>
      </c>
      <c r="F438" s="119">
        <f>Area!P16</f>
        <v>259.60534417192503</v>
      </c>
      <c r="G438" s="27">
        <f>D438*Variables!$C$9</f>
        <v>0.81619726944739202</v>
      </c>
      <c r="H438" s="28">
        <f t="shared" si="20"/>
        <v>43.35</v>
      </c>
      <c r="I438" s="28">
        <f t="shared" si="19"/>
        <v>0</v>
      </c>
      <c r="J438" s="197">
        <f>VLOOKUP(A438,'Land costs'!$A$2:$F$96,5,FALSE)</f>
        <v>399734297.50693494</v>
      </c>
      <c r="K438" s="29">
        <f>I438*(J438+Variables!$C$10*Variables!$C$5)</f>
        <v>0</v>
      </c>
      <c r="L438" s="29">
        <f>(G438*Variables!$C$11+D438*Variables!$C$12)*Variables!$C$5</f>
        <v>1480577.3209143598</v>
      </c>
    </row>
    <row r="439" spans="1:12" x14ac:dyDescent="0.35">
      <c r="A439" s="96">
        <v>16</v>
      </c>
      <c r="B439" s="87" t="s">
        <v>74</v>
      </c>
      <c r="C439" s="87">
        <v>2029</v>
      </c>
      <c r="D439" s="97">
        <f>Population!N17</f>
        <v>4643674.7966823103</v>
      </c>
      <c r="E439" s="92" t="str">
        <f t="shared" si="18"/>
        <v>Large</v>
      </c>
      <c r="F439" s="119">
        <f>Area!P17</f>
        <v>314.91769833936161</v>
      </c>
      <c r="G439" s="27">
        <f>D439*Variables!$C$9</f>
        <v>41.793073170140794</v>
      </c>
      <c r="H439" s="28">
        <f t="shared" si="20"/>
        <v>108.39099999999998</v>
      </c>
      <c r="I439" s="28">
        <f t="shared" si="19"/>
        <v>0</v>
      </c>
      <c r="J439" s="197">
        <f>VLOOKUP(A439,'Land costs'!$A$2:$F$96,5,FALSE)</f>
        <v>258664564.88983455</v>
      </c>
      <c r="K439" s="29">
        <f>I439*(J439+Variables!$C$10*Variables!$C$5)</f>
        <v>0</v>
      </c>
      <c r="L439" s="29">
        <f>(G439*Variables!$C$11+D439*Variables!$C$12)*Variables!$C$5</f>
        <v>75812402.98551771</v>
      </c>
    </row>
    <row r="440" spans="1:12" x14ac:dyDescent="0.35">
      <c r="A440" s="96">
        <v>17</v>
      </c>
      <c r="B440" s="87" t="s">
        <v>75</v>
      </c>
      <c r="C440" s="87">
        <v>2029</v>
      </c>
      <c r="D440" s="97">
        <f>Population!N18</f>
        <v>17088.906427794147</v>
      </c>
      <c r="E440" s="92" t="str">
        <f t="shared" si="18"/>
        <v>Small</v>
      </c>
      <c r="F440" s="119">
        <f>Area!P18</f>
        <v>3.0051860066696374</v>
      </c>
      <c r="G440" s="27">
        <f>D440*Variables!$C$9</f>
        <v>0.15380015785014733</v>
      </c>
      <c r="H440" s="28">
        <f t="shared" si="20"/>
        <v>0.15023948212381294</v>
      </c>
      <c r="I440" s="28">
        <f t="shared" si="19"/>
        <v>3.5606757263343947E-3</v>
      </c>
      <c r="J440" s="197">
        <f>VLOOKUP(A440,'Land costs'!$A$2:$F$96,5,FALSE)</f>
        <v>399734297.50693494</v>
      </c>
      <c r="K440" s="29">
        <f>I440*(J440+Variables!$C$10*Variables!$C$5)</f>
        <v>1439162.1544513595</v>
      </c>
      <c r="L440" s="29">
        <f>(G440*Variables!$C$11+D440*Variables!$C$12)*Variables!$C$5</f>
        <v>278992.63350899267</v>
      </c>
    </row>
    <row r="441" spans="1:12" x14ac:dyDescent="0.35">
      <c r="A441" s="96">
        <v>18</v>
      </c>
      <c r="B441" s="87" t="s">
        <v>76</v>
      </c>
      <c r="C441" s="87">
        <v>2029</v>
      </c>
      <c r="D441" s="97">
        <f>Population!N19</f>
        <v>150978.4303035062</v>
      </c>
      <c r="E441" s="92" t="str">
        <f t="shared" si="18"/>
        <v>Medium</v>
      </c>
      <c r="F441" s="119">
        <f>Area!P19</f>
        <v>31.090460379871267</v>
      </c>
      <c r="G441" s="27">
        <f>D441*Variables!$C$9</f>
        <v>1.358805872731556</v>
      </c>
      <c r="H441" s="28">
        <f t="shared" si="20"/>
        <v>1.3273477314951214</v>
      </c>
      <c r="I441" s="28">
        <f t="shared" si="19"/>
        <v>3.1458141236434534E-2</v>
      </c>
      <c r="J441" s="197">
        <f>VLOOKUP(A441,'Land costs'!$A$2:$F$96,5,FALSE)</f>
        <v>207178319.55590102</v>
      </c>
      <c r="K441" s="29">
        <f>I441*(J441+Variables!$C$10*Variables!$C$5)</f>
        <v>6657371.1685822215</v>
      </c>
      <c r="L441" s="29">
        <f>(G441*Variables!$C$11+D441*Variables!$C$12)*Variables!$C$5</f>
        <v>2464866.3184743198</v>
      </c>
    </row>
    <row r="442" spans="1:12" x14ac:dyDescent="0.35">
      <c r="A442" s="96">
        <v>19</v>
      </c>
      <c r="B442" s="87" t="s">
        <v>77</v>
      </c>
      <c r="C442" s="87">
        <v>2029</v>
      </c>
      <c r="D442" s="97">
        <f>Population!N20</f>
        <v>6854913.737771933</v>
      </c>
      <c r="E442" s="92" t="str">
        <f t="shared" si="18"/>
        <v>Large</v>
      </c>
      <c r="F442" s="119">
        <f>Area!P20</f>
        <v>1054.1710313717253</v>
      </c>
      <c r="G442" s="27">
        <f>D442*Variables!$C$9</f>
        <v>61.694223639947396</v>
      </c>
      <c r="H442" s="28">
        <f t="shared" si="20"/>
        <v>60.265921305018459</v>
      </c>
      <c r="I442" s="28">
        <f t="shared" si="19"/>
        <v>1.4283023349289365</v>
      </c>
      <c r="J442" s="197">
        <f>VLOOKUP(A442,'Land costs'!$A$2:$F$96,5,FALSE)</f>
        <v>69556263.81201373</v>
      </c>
      <c r="K442" s="29">
        <f>I442*(J442+Variables!$C$10*Variables!$C$5)</f>
        <v>105700486.34561181</v>
      </c>
      <c r="L442" s="29">
        <f>(G442*Variables!$C$11+D442*Variables!$C$12)*Variables!$C$5</f>
        <v>111912979.58466423</v>
      </c>
    </row>
    <row r="443" spans="1:12" x14ac:dyDescent="0.35">
      <c r="A443" s="96">
        <v>20</v>
      </c>
      <c r="B443" s="87" t="s">
        <v>78</v>
      </c>
      <c r="C443" s="87">
        <v>2029</v>
      </c>
      <c r="D443" s="97">
        <f>Population!N21</f>
        <v>4294490.9671963453</v>
      </c>
      <c r="E443" s="92" t="str">
        <f t="shared" si="18"/>
        <v>Large</v>
      </c>
      <c r="F443" s="119">
        <f>Area!P21</f>
        <v>523.87425740083074</v>
      </c>
      <c r="G443" s="27">
        <f>D443*Variables!$C$9</f>
        <v>38.650418704767112</v>
      </c>
      <c r="H443" s="28">
        <f t="shared" si="20"/>
        <v>38.65</v>
      </c>
      <c r="I443" s="28">
        <f t="shared" si="19"/>
        <v>4.1870476711380888E-4</v>
      </c>
      <c r="J443" s="197">
        <f>VLOOKUP(A443,'Land costs'!$A$2:$F$96,5,FALSE)</f>
        <v>423084709.93427253</v>
      </c>
      <c r="K443" s="29">
        <f>I443*(J443+Variables!$C$10*Variables!$C$5)</f>
        <v>179009.99064969059</v>
      </c>
      <c r="L443" s="29">
        <f>(G443*Variables!$C$11+D443*Variables!$C$12)*Variables!$C$5</f>
        <v>70111645.211538866</v>
      </c>
    </row>
    <row r="444" spans="1:12" x14ac:dyDescent="0.35">
      <c r="A444" s="96">
        <v>21</v>
      </c>
      <c r="B444" s="98" t="s">
        <v>79</v>
      </c>
      <c r="C444" s="87">
        <v>2029</v>
      </c>
      <c r="D444" s="97">
        <f>Population!N22</f>
        <v>18967577.871249985</v>
      </c>
      <c r="E444" s="92" t="str">
        <f t="shared" si="18"/>
        <v>Large</v>
      </c>
      <c r="F444" s="119">
        <f>Area!P22</f>
        <v>582.25252316393005</v>
      </c>
      <c r="G444" s="27">
        <f>D444*Variables!$C$9</f>
        <v>170.70820084124986</v>
      </c>
      <c r="H444" s="28">
        <f t="shared" si="20"/>
        <v>166.75608170484503</v>
      </c>
      <c r="I444" s="28">
        <f t="shared" si="19"/>
        <v>3.952119136404832</v>
      </c>
      <c r="J444" s="197">
        <f>VLOOKUP(A444,'Land costs'!$A$2:$F$96,5,FALSE)</f>
        <v>136261714.31466237</v>
      </c>
      <c r="K444" s="29">
        <f>I444*(J444+Variables!$C$10*Variables!$C$5)</f>
        <v>556101619.77905512</v>
      </c>
      <c r="L444" s="29">
        <f>(G444*Variables!$C$11+D444*Variables!$C$12)*Variables!$C$5</f>
        <v>309663729.73873192</v>
      </c>
    </row>
    <row r="445" spans="1:12" x14ac:dyDescent="0.35">
      <c r="A445" s="96">
        <v>22</v>
      </c>
      <c r="B445" s="87" t="s">
        <v>80</v>
      </c>
      <c r="C445" s="87">
        <v>2029</v>
      </c>
      <c r="D445" s="97">
        <f>Population!N23</f>
        <v>16821452.08450919</v>
      </c>
      <c r="E445" s="92" t="str">
        <f t="shared" si="18"/>
        <v>Large</v>
      </c>
      <c r="F445" s="119">
        <f>Area!P23</f>
        <v>1215.6370008529664</v>
      </c>
      <c r="G445" s="27">
        <f>D445*Variables!$C$9</f>
        <v>151.39306876058271</v>
      </c>
      <c r="H445" s="28">
        <f t="shared" si="20"/>
        <v>147.88812030925342</v>
      </c>
      <c r="I445" s="28">
        <f t="shared" si="19"/>
        <v>3.5049484513292839</v>
      </c>
      <c r="J445" s="197">
        <f>VLOOKUP(A445,'Land costs'!$A$2:$F$96,5,FALSE)</f>
        <v>181431544.56336635</v>
      </c>
      <c r="K445" s="29">
        <f>I445*(J445+Variables!$C$10*Variables!$C$5)</f>
        <v>651498279.63674569</v>
      </c>
      <c r="L445" s="29">
        <f>(G445*Variables!$C$11+D445*Variables!$C$12)*Variables!$C$5</f>
        <v>274626187.24797696</v>
      </c>
    </row>
    <row r="446" spans="1:12" x14ac:dyDescent="0.35">
      <c r="A446" s="96">
        <v>23</v>
      </c>
      <c r="B446" s="87" t="s">
        <v>81</v>
      </c>
      <c r="C446" s="87">
        <v>2029</v>
      </c>
      <c r="D446" s="97">
        <f>Population!N24</f>
        <v>61003.279975114929</v>
      </c>
      <c r="E446" s="92" t="str">
        <f t="shared" si="18"/>
        <v>Small</v>
      </c>
      <c r="F446" s="119">
        <f>Area!P24</f>
        <v>115.33854643252155</v>
      </c>
      <c r="G446" s="27">
        <f>D446*Variables!$C$9</f>
        <v>0.54902951977603442</v>
      </c>
      <c r="H446" s="28">
        <f t="shared" si="20"/>
        <v>0.8</v>
      </c>
      <c r="I446" s="28">
        <f t="shared" si="19"/>
        <v>0</v>
      </c>
      <c r="J446" s="197">
        <f>VLOOKUP(A446,'Land costs'!$A$2:$F$96,5,FALSE)</f>
        <v>679160605.168293</v>
      </c>
      <c r="K446" s="29">
        <f>I446*(J446+Variables!$C$10*Variables!$C$5)</f>
        <v>0</v>
      </c>
      <c r="L446" s="29">
        <f>(G446*Variables!$C$11+D446*Variables!$C$12)*Variables!$C$5</f>
        <v>995936.50447184278</v>
      </c>
    </row>
    <row r="447" spans="1:12" x14ac:dyDescent="0.35">
      <c r="A447" s="96">
        <v>24</v>
      </c>
      <c r="B447" s="87" t="s">
        <v>82</v>
      </c>
      <c r="C447" s="87">
        <v>2029</v>
      </c>
      <c r="D447" s="97">
        <f>Population!N25</f>
        <v>2567485.4738298226</v>
      </c>
      <c r="E447" s="92" t="str">
        <f t="shared" si="18"/>
        <v>Large</v>
      </c>
      <c r="F447" s="119">
        <f>Area!P25</f>
        <v>118.14374944351083</v>
      </c>
      <c r="G447" s="27">
        <f>D447*Variables!$C$9</f>
        <v>23.107369264468403</v>
      </c>
      <c r="H447" s="28">
        <f t="shared" si="20"/>
        <v>22.572403306113515</v>
      </c>
      <c r="I447" s="28">
        <f t="shared" si="19"/>
        <v>0.53496595835488847</v>
      </c>
      <c r="J447" s="197">
        <f>VLOOKUP(A447,'Land costs'!$A$2:$F$96,5,FALSE)</f>
        <v>273857556.71751869</v>
      </c>
      <c r="K447" s="29">
        <f>I447*(J447+Variables!$C$10*Variables!$C$5)</f>
        <v>148884007.68478513</v>
      </c>
      <c r="L447" s="29">
        <f>(G447*Variables!$C$11+D447*Variables!$C$12)*Variables!$C$5</f>
        <v>41916639.71398595</v>
      </c>
    </row>
    <row r="448" spans="1:12" x14ac:dyDescent="0.35">
      <c r="A448" s="96">
        <v>25</v>
      </c>
      <c r="B448" s="87" t="s">
        <v>83</v>
      </c>
      <c r="C448" s="87">
        <v>2029</v>
      </c>
      <c r="D448" s="97">
        <f>Population!N26</f>
        <v>368567.0092566525</v>
      </c>
      <c r="E448" s="92" t="str">
        <f t="shared" si="18"/>
        <v>Medium</v>
      </c>
      <c r="F448" s="119">
        <f>Area!P26</f>
        <v>209.86060756413102</v>
      </c>
      <c r="G448" s="27">
        <f>D448*Variables!$C$9</f>
        <v>3.3171030833098727</v>
      </c>
      <c r="H448" s="28">
        <f t="shared" si="20"/>
        <v>3.2403077887172729</v>
      </c>
      <c r="I448" s="28">
        <f t="shared" si="19"/>
        <v>7.6795294592599816E-2</v>
      </c>
      <c r="J448" s="197">
        <f>VLOOKUP(A448,'Land costs'!$A$2:$F$96,5,FALSE)</f>
        <v>202576692.05248237</v>
      </c>
      <c r="K448" s="29">
        <f>I448*(J448+Variables!$C$10*Variables!$C$5)</f>
        <v>15898523.480225643</v>
      </c>
      <c r="L448" s="29">
        <f>(G448*Variables!$C$11+D448*Variables!$C$12)*Variables!$C$5</f>
        <v>6017206.5995869469</v>
      </c>
    </row>
    <row r="449" spans="1:12" x14ac:dyDescent="0.35">
      <c r="A449" s="96">
        <v>26</v>
      </c>
      <c r="B449" s="87" t="s">
        <v>84</v>
      </c>
      <c r="C449" s="87">
        <v>2029</v>
      </c>
      <c r="D449" s="97">
        <f>Population!N27</f>
        <v>152726.95623327247</v>
      </c>
      <c r="E449" s="92" t="str">
        <f t="shared" si="18"/>
        <v>Medium</v>
      </c>
      <c r="F449" s="119">
        <f>Area!P27</f>
        <v>749.28009515489737</v>
      </c>
      <c r="G449" s="27">
        <f>D449*Variables!$C$9</f>
        <v>1.3745426060994523</v>
      </c>
      <c r="H449" s="28">
        <f t="shared" si="20"/>
        <v>1.342720138809663</v>
      </c>
      <c r="I449" s="28">
        <f t="shared" si="19"/>
        <v>3.1822467289789325E-2</v>
      </c>
      <c r="J449" s="197">
        <f>VLOOKUP(A449,'Land costs'!$A$2:$F$96,5,FALSE)</f>
        <v>207178319.55590102</v>
      </c>
      <c r="K449" s="29">
        <f>I449*(J449+Variables!$C$10*Variables!$C$5)</f>
        <v>6734472.1563786147</v>
      </c>
      <c r="L449" s="29">
        <f>(G449*Variables!$C$11+D449*Variables!$C$12)*Variables!$C$5</f>
        <v>2493412.6655425453</v>
      </c>
    </row>
    <row r="450" spans="1:12" x14ac:dyDescent="0.35">
      <c r="A450" s="96">
        <v>27</v>
      </c>
      <c r="B450" s="87" t="s">
        <v>85</v>
      </c>
      <c r="C450" s="87">
        <v>2029</v>
      </c>
      <c r="D450" s="97">
        <f>Population!N28</f>
        <v>1540338.5359995828</v>
      </c>
      <c r="E450" s="92" t="str">
        <f t="shared" si="18"/>
        <v>Large</v>
      </c>
      <c r="F450" s="119">
        <f>Area!P28</f>
        <v>139.90492218222553</v>
      </c>
      <c r="G450" s="27">
        <f>D450*Variables!$C$9</f>
        <v>13.863046823996246</v>
      </c>
      <c r="H450" s="28">
        <f t="shared" si="20"/>
        <v>27.873100000000001</v>
      </c>
      <c r="I450" s="28">
        <f t="shared" si="19"/>
        <v>0</v>
      </c>
      <c r="J450" s="197">
        <f>VLOOKUP(A450,'Land costs'!$A$2:$F$96,5,FALSE)</f>
        <v>194110385.46713075</v>
      </c>
      <c r="K450" s="29">
        <f>I450*(J450+Variables!$C$10*Variables!$C$5)</f>
        <v>0</v>
      </c>
      <c r="L450" s="29">
        <f>(G450*Variables!$C$11+D450*Variables!$C$12)*Variables!$C$5</f>
        <v>25147490.067296337</v>
      </c>
    </row>
    <row r="451" spans="1:12" x14ac:dyDescent="0.35">
      <c r="A451" s="96">
        <v>28</v>
      </c>
      <c r="B451" s="87" t="s">
        <v>86</v>
      </c>
      <c r="C451" s="87">
        <v>2029</v>
      </c>
      <c r="D451" s="97">
        <f>Population!N29</f>
        <v>1636368.7386322736</v>
      </c>
      <c r="E451" s="92" t="str">
        <f t="shared" si="18"/>
        <v>Large</v>
      </c>
      <c r="F451" s="119">
        <f>Area!P29</f>
        <v>180.32467020325325</v>
      </c>
      <c r="G451" s="27">
        <f>D451*Variables!$C$9</f>
        <v>14.727318647690463</v>
      </c>
      <c r="H451" s="28">
        <f t="shared" si="20"/>
        <v>59.512458633395788</v>
      </c>
      <c r="I451" s="28">
        <f t="shared" si="19"/>
        <v>0</v>
      </c>
      <c r="J451" s="197">
        <f>VLOOKUP(A451,'Land costs'!$A$2:$F$96,5,FALSE)</f>
        <v>106495314.22538668</v>
      </c>
      <c r="K451" s="29">
        <f>I451*(J451+Variables!$C$10*Variables!$C$5)</f>
        <v>0</v>
      </c>
      <c r="L451" s="29">
        <f>(G451*Variables!$C$11+D451*Variables!$C$12)*Variables!$C$5</f>
        <v>26715274.36303813</v>
      </c>
    </row>
    <row r="452" spans="1:12" x14ac:dyDescent="0.35">
      <c r="A452" s="96">
        <v>29</v>
      </c>
      <c r="B452" s="87" t="s">
        <v>87</v>
      </c>
      <c r="C452" s="87">
        <v>2029</v>
      </c>
      <c r="D452" s="97">
        <f>Population!N30</f>
        <v>218343.17384001141</v>
      </c>
      <c r="E452" s="92" t="str">
        <f t="shared" si="18"/>
        <v>Medium</v>
      </c>
      <c r="F452" s="119">
        <f>Area!P30</f>
        <v>1013.5490083838031</v>
      </c>
      <c r="G452" s="27">
        <f>D452*Variables!$C$9</f>
        <v>1.9650885645601028</v>
      </c>
      <c r="H452" s="28">
        <f t="shared" si="20"/>
        <v>1.9195941824363609</v>
      </c>
      <c r="I452" s="28">
        <f t="shared" si="19"/>
        <v>4.5494382123741905E-2</v>
      </c>
      <c r="J452" s="197">
        <f>VLOOKUP(A452,'Land costs'!$A$2:$F$96,5,FALSE)</f>
        <v>207178319.55590102</v>
      </c>
      <c r="K452" s="29">
        <f>I452*(J452+Variables!$C$10*Variables!$C$5)</f>
        <v>9627809.3993766252</v>
      </c>
      <c r="L452" s="29">
        <f>(G452*Variables!$C$11+D452*Variables!$C$12)*Variables!$C$5</f>
        <v>3564659.7595771197</v>
      </c>
    </row>
    <row r="453" spans="1:12" x14ac:dyDescent="0.35">
      <c r="A453" s="96">
        <v>30</v>
      </c>
      <c r="B453" s="87" t="s">
        <v>88</v>
      </c>
      <c r="C453" s="87">
        <v>2029</v>
      </c>
      <c r="D453" s="97">
        <f>Population!N31</f>
        <v>149798.51829858983</v>
      </c>
      <c r="E453" s="92" t="str">
        <f t="shared" ref="E453:E507" si="21">IF(D453&lt;100000,"Small",IF(D453&lt;1000000,"Medium","Large"))</f>
        <v>Medium</v>
      </c>
      <c r="F453" s="119">
        <f>Area!P31</f>
        <v>101.04399623458164</v>
      </c>
      <c r="G453" s="27">
        <f>D453*Variables!$C$9</f>
        <v>1.3481866646873084</v>
      </c>
      <c r="H453" s="28">
        <f t="shared" si="20"/>
        <v>1.3169743720692666</v>
      </c>
      <c r="I453" s="28">
        <f t="shared" ref="I453:I507" si="22">IF(G453-H453&gt;0,G453-H453,0)</f>
        <v>3.1212292618041815E-2</v>
      </c>
      <c r="J453" s="197">
        <f>VLOOKUP(A453,'Land costs'!$A$2:$F$96,5,FALSE)</f>
        <v>207178319.55590102</v>
      </c>
      <c r="K453" s="29">
        <f>I453*(J453+Variables!$C$10*Variables!$C$5)</f>
        <v>6605343.1262505967</v>
      </c>
      <c r="L453" s="29">
        <f>(G453*Variables!$C$11+D453*Variables!$C$12)*Variables!$C$5</f>
        <v>2445603.1339662056</v>
      </c>
    </row>
    <row r="454" spans="1:12" x14ac:dyDescent="0.35">
      <c r="A454" s="96">
        <v>31</v>
      </c>
      <c r="B454" s="87" t="s">
        <v>89</v>
      </c>
      <c r="C454" s="87">
        <v>2029</v>
      </c>
      <c r="D454" s="97">
        <f>Population!N32</f>
        <v>258510.48833295947</v>
      </c>
      <c r="E454" s="92" t="str">
        <f t="shared" si="21"/>
        <v>Medium</v>
      </c>
      <c r="F454" s="119">
        <f>Area!P32</f>
        <v>763.27080232583955</v>
      </c>
      <c r="G454" s="27">
        <f>D454*Variables!$C$9</f>
        <v>2.3265943949966355</v>
      </c>
      <c r="H454" s="28">
        <f t="shared" si="20"/>
        <v>2.2727306779297014</v>
      </c>
      <c r="I454" s="28">
        <f t="shared" si="22"/>
        <v>5.3863717066934047E-2</v>
      </c>
      <c r="J454" s="197">
        <f>VLOOKUP(A454,'Land costs'!$A$2:$F$96,5,FALSE)</f>
        <v>207178319.55590102</v>
      </c>
      <c r="K454" s="29">
        <f>I454*(J454+Variables!$C$10*Variables!$C$5)</f>
        <v>11398981.088518998</v>
      </c>
      <c r="L454" s="29">
        <f>(G454*Variables!$C$11+D454*Variables!$C$12)*Variables!$C$5</f>
        <v>4220429.3314173017</v>
      </c>
    </row>
    <row r="455" spans="1:12" x14ac:dyDescent="0.35">
      <c r="A455" s="96">
        <v>32</v>
      </c>
      <c r="B455" s="87" t="s">
        <v>90</v>
      </c>
      <c r="C455" s="87">
        <v>2029</v>
      </c>
      <c r="D455" s="97">
        <f>Population!N33</f>
        <v>1799701.1830027597</v>
      </c>
      <c r="E455" s="92" t="str">
        <f t="shared" si="21"/>
        <v>Large</v>
      </c>
      <c r="F455" s="119">
        <f>Area!P33</f>
        <v>45.081167550813326</v>
      </c>
      <c r="G455" s="27">
        <f>D455*Variables!$C$9</f>
        <v>16.197310647024839</v>
      </c>
      <c r="H455" s="28">
        <f t="shared" si="20"/>
        <v>15.822321624523626</v>
      </c>
      <c r="I455" s="28">
        <f t="shared" si="22"/>
        <v>0.37498902250121269</v>
      </c>
      <c r="J455" s="197">
        <f>VLOOKUP(A455,'Land costs'!$A$2:$F$96,5,FALSE)</f>
        <v>258664564.88983455</v>
      </c>
      <c r="K455" s="29">
        <f>I455*(J455+Variables!$C$10*Variables!$C$5)</f>
        <v>98664329.698216155</v>
      </c>
      <c r="L455" s="29">
        <f>(G455*Variables!$C$11+D455*Variables!$C$12)*Variables!$C$5</f>
        <v>29381831.69863617</v>
      </c>
    </row>
    <row r="456" spans="1:12" x14ac:dyDescent="0.35">
      <c r="A456" s="96">
        <v>33</v>
      </c>
      <c r="B456" s="87" t="s">
        <v>91</v>
      </c>
      <c r="C456" s="87">
        <v>2029</v>
      </c>
      <c r="D456" s="97">
        <f>Population!N34</f>
        <v>1133707.9313285153</v>
      </c>
      <c r="E456" s="92" t="str">
        <f t="shared" si="21"/>
        <v>Large</v>
      </c>
      <c r="F456" s="119">
        <f>Area!P34</f>
        <v>376.19457059644219</v>
      </c>
      <c r="G456" s="27">
        <f>D456*Variables!$C$9</f>
        <v>10.203371381956638</v>
      </c>
      <c r="H456" s="28">
        <f t="shared" si="20"/>
        <v>9.9671499286476859</v>
      </c>
      <c r="I456" s="28">
        <f t="shared" si="22"/>
        <v>0.23622145330895172</v>
      </c>
      <c r="J456" s="197">
        <f>VLOOKUP(A456,'Land costs'!$A$2:$F$96,5,FALSE)</f>
        <v>147442586.65970939</v>
      </c>
      <c r="K456" s="29">
        <f>I456*(J456+Variables!$C$10*Variables!$C$5)</f>
        <v>35879819.019255027</v>
      </c>
      <c r="L456" s="29">
        <f>(G456*Variables!$C$11+D456*Variables!$C$12)*Variables!$C$5</f>
        <v>18508859.108558092</v>
      </c>
    </row>
    <row r="457" spans="1:12" x14ac:dyDescent="0.35">
      <c r="A457" s="96">
        <v>34</v>
      </c>
      <c r="B457" s="87" t="s">
        <v>92</v>
      </c>
      <c r="C457" s="87">
        <v>2029</v>
      </c>
      <c r="D457" s="97">
        <f>Population!N35</f>
        <v>655832.89829857543</v>
      </c>
      <c r="E457" s="92" t="str">
        <f t="shared" si="21"/>
        <v>Medium</v>
      </c>
      <c r="F457" s="119">
        <f>Area!P35</f>
        <v>114.44056975963275</v>
      </c>
      <c r="G457" s="27">
        <f>D457*Variables!$C$9</f>
        <v>5.9024960846871792</v>
      </c>
      <c r="H457" s="28">
        <f t="shared" si="20"/>
        <v>5.7658455452644128</v>
      </c>
      <c r="I457" s="28">
        <f t="shared" si="22"/>
        <v>0.13665053942276639</v>
      </c>
      <c r="J457" s="197">
        <f>VLOOKUP(A457,'Land costs'!$A$2:$F$96,5,FALSE)</f>
        <v>382950815.48123109</v>
      </c>
      <c r="K457" s="29">
        <f>I457*(J457+Variables!$C$10*Variables!$C$5)</f>
        <v>52938259.360188805</v>
      </c>
      <c r="L457" s="29">
        <f>(G457*Variables!$C$11+D457*Variables!$C$12)*Variables!$C$5</f>
        <v>10707095.167924866</v>
      </c>
    </row>
    <row r="458" spans="1:12" x14ac:dyDescent="0.35">
      <c r="A458" s="96">
        <v>35</v>
      </c>
      <c r="B458" s="87" t="s">
        <v>93</v>
      </c>
      <c r="C458" s="87">
        <v>2029</v>
      </c>
      <c r="D458" s="97">
        <f>Population!N36</f>
        <v>279401.33344326197</v>
      </c>
      <c r="E458" s="92" t="str">
        <f t="shared" si="21"/>
        <v>Medium</v>
      </c>
      <c r="F458" s="119">
        <f>Area!P36</f>
        <v>38.917734492503321</v>
      </c>
      <c r="G458" s="27">
        <f>D458*Variables!$C$9</f>
        <v>2.514612000989358</v>
      </c>
      <c r="H458" s="28">
        <f t="shared" si="20"/>
        <v>2.4563954293146018</v>
      </c>
      <c r="I458" s="28">
        <f t="shared" si="22"/>
        <v>5.8216571674756246E-2</v>
      </c>
      <c r="J458" s="197">
        <f>VLOOKUP(A458,'Land costs'!$A$2:$F$96,5,FALSE)</f>
        <v>83219953.906071469</v>
      </c>
      <c r="K458" s="29">
        <f>I458*(J458+Variables!$C$10*Variables!$C$5)</f>
        <v>5103728.6819602977</v>
      </c>
      <c r="L458" s="29">
        <f>(G458*Variables!$C$11+D458*Variables!$C$12)*Variables!$C$5</f>
        <v>4561492.2261191066</v>
      </c>
    </row>
    <row r="459" spans="1:12" x14ac:dyDescent="0.35">
      <c r="A459" s="96">
        <v>36</v>
      </c>
      <c r="B459" s="87" t="s">
        <v>94</v>
      </c>
      <c r="C459" s="87">
        <v>2029</v>
      </c>
      <c r="D459" s="97">
        <f>Population!N37</f>
        <v>1791386.9193402093</v>
      </c>
      <c r="E459" s="92" t="str">
        <f t="shared" si="21"/>
        <v>Large</v>
      </c>
      <c r="F459" s="119">
        <f>Area!P37</f>
        <v>72.884396253711884</v>
      </c>
      <c r="G459" s="27">
        <f>D459*Variables!$C$9</f>
        <v>16.122482274061884</v>
      </c>
      <c r="H459" s="28">
        <f t="shared" si="20"/>
        <v>15.749225626708883</v>
      </c>
      <c r="I459" s="28">
        <f t="shared" si="22"/>
        <v>0.37325664735300101</v>
      </c>
      <c r="J459" s="197">
        <f>VLOOKUP(A459,'Land costs'!$A$2:$F$96,5,FALSE)</f>
        <v>115153966.74863443</v>
      </c>
      <c r="K459" s="29">
        <f>I459*(J459+Variables!$C$10*Variables!$C$5)</f>
        <v>44642235.279249169</v>
      </c>
      <c r="L459" s="29">
        <f>(G459*Variables!$C$11+D459*Variables!$C$12)*Variables!$C$5</f>
        <v>29246093.445009224</v>
      </c>
    </row>
    <row r="460" spans="1:12" x14ac:dyDescent="0.35">
      <c r="A460" s="96">
        <v>37</v>
      </c>
      <c r="B460" s="87" t="s">
        <v>95</v>
      </c>
      <c r="C460" s="87">
        <v>2029</v>
      </c>
      <c r="D460" s="97">
        <f>Population!N38</f>
        <v>298875.97926084185</v>
      </c>
      <c r="E460" s="92" t="str">
        <f t="shared" si="21"/>
        <v>Medium</v>
      </c>
      <c r="F460" s="119">
        <f>Area!P38</f>
        <v>30.62756619824227</v>
      </c>
      <c r="G460" s="27">
        <f>D460*Variables!$C$9</f>
        <v>2.6898838133475769</v>
      </c>
      <c r="H460" s="28">
        <f t="shared" si="20"/>
        <v>2.6276094689338443</v>
      </c>
      <c r="I460" s="28">
        <f t="shared" si="22"/>
        <v>6.2274344413732585E-2</v>
      </c>
      <c r="J460" s="197">
        <f>VLOOKUP(A460,'Land costs'!$A$2:$F$96,5,FALSE)</f>
        <v>135804860.55953482</v>
      </c>
      <c r="K460" s="29">
        <f>I460*(J460+Variables!$C$10*Variables!$C$5)</f>
        <v>8734155.9702038616</v>
      </c>
      <c r="L460" s="29">
        <f>(G460*Variables!$C$11+D460*Variables!$C$12)*Variables!$C$5</f>
        <v>4879434.3218441186</v>
      </c>
    </row>
    <row r="461" spans="1:12" x14ac:dyDescent="0.35">
      <c r="A461" s="96">
        <v>38</v>
      </c>
      <c r="B461" s="87" t="s">
        <v>96</v>
      </c>
      <c r="C461" s="87">
        <v>2029</v>
      </c>
      <c r="D461" s="97">
        <f>Population!N39</f>
        <v>1314360.996112257</v>
      </c>
      <c r="E461" s="92" t="str">
        <f t="shared" si="21"/>
        <v>Large</v>
      </c>
      <c r="F461" s="119">
        <f>Area!P39</f>
        <v>123.2011121508242</v>
      </c>
      <c r="G461" s="27">
        <f>D461*Variables!$C$9</f>
        <v>11.829248965010313</v>
      </c>
      <c r="H461" s="28">
        <f t="shared" si="20"/>
        <v>11.555386309475738</v>
      </c>
      <c r="I461" s="28">
        <f t="shared" si="22"/>
        <v>0.27386265553457534</v>
      </c>
      <c r="J461" s="197">
        <f>VLOOKUP(A461,'Land costs'!$A$2:$F$96,5,FALSE)</f>
        <v>223708463.42310071</v>
      </c>
      <c r="K461" s="29">
        <f>I461*(J461+Variables!$C$10*Variables!$C$5)</f>
        <v>62483539.465561867</v>
      </c>
      <c r="L461" s="29">
        <f>(G461*Variables!$C$11+D461*Variables!$C$12)*Variables!$C$5</f>
        <v>21458192.028627954</v>
      </c>
    </row>
    <row r="462" spans="1:12" x14ac:dyDescent="0.35">
      <c r="A462" s="96">
        <v>39</v>
      </c>
      <c r="B462" s="87" t="s">
        <v>97</v>
      </c>
      <c r="C462" s="87">
        <v>2029</v>
      </c>
      <c r="D462" s="97">
        <f>Population!N40</f>
        <v>108204.33347411494</v>
      </c>
      <c r="E462" s="92" t="str">
        <f t="shared" si="21"/>
        <v>Medium</v>
      </c>
      <c r="F462" s="119">
        <f>Area!P40</f>
        <v>29.36101270884128</v>
      </c>
      <c r="G462" s="27">
        <f>D462*Variables!$C$9</f>
        <v>0.97383900126703449</v>
      </c>
      <c r="H462" s="28">
        <f t="shared" si="20"/>
        <v>0.95129334889814832</v>
      </c>
      <c r="I462" s="28">
        <f t="shared" si="22"/>
        <v>2.2545652368886171E-2</v>
      </c>
      <c r="J462" s="197">
        <f>VLOOKUP(A462,'Land costs'!$A$2:$F$96,5,FALSE)</f>
        <v>399734297.50693494</v>
      </c>
      <c r="K462" s="29">
        <f>I462*(J462+Variables!$C$10*Variables!$C$5)</f>
        <v>9112553.9449560177</v>
      </c>
      <c r="L462" s="29">
        <f>(G462*Variables!$C$11+D462*Variables!$C$12)*Variables!$C$5</f>
        <v>1766538.5483022565</v>
      </c>
    </row>
    <row r="463" spans="1:12" x14ac:dyDescent="0.35">
      <c r="A463" s="96">
        <v>40</v>
      </c>
      <c r="B463" s="87" t="s">
        <v>98</v>
      </c>
      <c r="C463" s="87">
        <v>2029</v>
      </c>
      <c r="D463" s="97">
        <f>Population!N41</f>
        <v>193200.68198331125</v>
      </c>
      <c r="E463" s="92" t="str">
        <f t="shared" si="21"/>
        <v>Medium</v>
      </c>
      <c r="F463" s="119">
        <f>Area!P41</f>
        <v>40.990276566068601</v>
      </c>
      <c r="G463" s="27">
        <f>D463*Variables!$C$9</f>
        <v>1.7388061378498014</v>
      </c>
      <c r="H463" s="28">
        <f t="shared" si="20"/>
        <v>1.6985504912081675</v>
      </c>
      <c r="I463" s="28">
        <f t="shared" si="22"/>
        <v>4.0255646641633946E-2</v>
      </c>
      <c r="J463" s="197">
        <f>VLOOKUP(A463,'Land costs'!$A$2:$F$96,5,FALSE)</f>
        <v>101660475.1170758</v>
      </c>
      <c r="K463" s="29">
        <f>I463*(J463+Variables!$C$10*Variables!$C$5)</f>
        <v>4271465.9436846804</v>
      </c>
      <c r="L463" s="29">
        <f>(G463*Variables!$C$11+D463*Variables!$C$12)*Variables!$C$5</f>
        <v>3154184.6922743707</v>
      </c>
    </row>
    <row r="464" spans="1:12" x14ac:dyDescent="0.35">
      <c r="A464" s="96">
        <v>41</v>
      </c>
      <c r="B464" s="87" t="s">
        <v>99</v>
      </c>
      <c r="C464" s="87">
        <v>2029</v>
      </c>
      <c r="D464" s="97">
        <f>Population!N42</f>
        <v>92990.481007622031</v>
      </c>
      <c r="E464" s="92" t="str">
        <f t="shared" si="21"/>
        <v>Small</v>
      </c>
      <c r="F464" s="119">
        <f>Area!P42</f>
        <v>16.350054135903768</v>
      </c>
      <c r="G464" s="27">
        <f>D464*Variables!$C$9</f>
        <v>0.83691432906859831</v>
      </c>
      <c r="H464" s="28">
        <f t="shared" si="20"/>
        <v>0.81753866276115872</v>
      </c>
      <c r="I464" s="28">
        <f t="shared" si="22"/>
        <v>1.9375666307439587E-2</v>
      </c>
      <c r="J464" s="197">
        <f>VLOOKUP(A464,'Land costs'!$A$2:$F$96,5,FALSE)</f>
        <v>399734297.50693494</v>
      </c>
      <c r="K464" s="29">
        <f>I464*(J464+Variables!$C$10*Variables!$C$5)</f>
        <v>7831301.6433124719</v>
      </c>
      <c r="L464" s="29">
        <f>(G464*Variables!$C$11+D464*Variables!$C$12)*Variables!$C$5</f>
        <v>1518157.9521898797</v>
      </c>
    </row>
    <row r="465" spans="1:12" x14ac:dyDescent="0.35">
      <c r="A465" s="96">
        <v>42</v>
      </c>
      <c r="B465" s="87" t="s">
        <v>100</v>
      </c>
      <c r="C465" s="87">
        <v>2029</v>
      </c>
      <c r="D465" s="97">
        <f>Population!N43</f>
        <v>115155.75303796341</v>
      </c>
      <c r="E465" s="92" t="str">
        <f t="shared" si="21"/>
        <v>Medium</v>
      </c>
      <c r="F465" s="119">
        <f>Area!P43</f>
        <v>17.271183946377221</v>
      </c>
      <c r="G465" s="27">
        <f>D465*Variables!$C$9</f>
        <v>1.0364017773416707</v>
      </c>
      <c r="H465" s="28">
        <f t="shared" si="20"/>
        <v>1.012407714507835</v>
      </c>
      <c r="I465" s="28">
        <f t="shared" si="22"/>
        <v>2.3994062833835761E-2</v>
      </c>
      <c r="J465" s="197">
        <f>VLOOKUP(A465,'Land costs'!$A$2:$F$96,5,FALSE)</f>
        <v>189319723.52178472</v>
      </c>
      <c r="K465" s="29">
        <f>I465*(J465+Variables!$C$10*Variables!$C$5)</f>
        <v>4649275.3289376888</v>
      </c>
      <c r="L465" s="29">
        <f>(G465*Variables!$C$11+D465*Variables!$C$12)*Variables!$C$5</f>
        <v>1880027.0771872704</v>
      </c>
    </row>
    <row r="466" spans="1:12" x14ac:dyDescent="0.35">
      <c r="A466" s="96">
        <v>1</v>
      </c>
      <c r="B466" s="87" t="s">
        <v>59</v>
      </c>
      <c r="C466" s="87">
        <v>2030</v>
      </c>
      <c r="D466" s="97">
        <f>Population!O2</f>
        <v>624231.52361348702</v>
      </c>
      <c r="E466" s="92" t="str">
        <f t="shared" si="21"/>
        <v>Medium</v>
      </c>
      <c r="F466" s="119">
        <f>Area!Q2</f>
        <v>119.82124690011237</v>
      </c>
      <c r="G466" s="27">
        <f>D466*Variables!$C$9</f>
        <v>5.6180837125213836</v>
      </c>
      <c r="H466" s="28">
        <f t="shared" si="20"/>
        <v>5.4880176931927149</v>
      </c>
      <c r="I466" s="28">
        <f t="shared" si="22"/>
        <v>0.13006601932866868</v>
      </c>
      <c r="J466" s="197">
        <f>VLOOKUP(A466,'Land costs'!$A$2:$F$96,5,FALSE)</f>
        <v>349411907.96390015</v>
      </c>
      <c r="K466" s="29">
        <f>I466*(J466+Variables!$C$10*Variables!$C$5)</f>
        <v>46025151.773253351</v>
      </c>
      <c r="L466" s="29">
        <f>(G466*Variables!$C$11+D466*Variables!$C$12)*Variables!$C$5</f>
        <v>10191172.701899912</v>
      </c>
    </row>
    <row r="467" spans="1:12" x14ac:dyDescent="0.35">
      <c r="A467" s="96">
        <v>2</v>
      </c>
      <c r="B467" s="87" t="s">
        <v>60</v>
      </c>
      <c r="C467" s="87">
        <v>2030</v>
      </c>
      <c r="D467" s="97">
        <f>Population!O3</f>
        <v>457894.21288930834</v>
      </c>
      <c r="E467" s="92" t="str">
        <f t="shared" si="21"/>
        <v>Medium</v>
      </c>
      <c r="F467" s="119">
        <f>Area!Q3</f>
        <v>720.50407675462316</v>
      </c>
      <c r="G467" s="27">
        <f>D467*Variables!$C$9</f>
        <v>4.121047916003775</v>
      </c>
      <c r="H467" s="28">
        <f t="shared" si="20"/>
        <v>12.956920723790825</v>
      </c>
      <c r="I467" s="28">
        <f t="shared" si="22"/>
        <v>0</v>
      </c>
      <c r="J467" s="197">
        <f>VLOOKUP(A467,'Land costs'!$A$2:$F$96,5,FALSE)</f>
        <v>207178319.55590102</v>
      </c>
      <c r="K467" s="29">
        <f>I467*(J467+Variables!$C$10*Variables!$C$5)</f>
        <v>0</v>
      </c>
      <c r="L467" s="29">
        <f>(G467*Variables!$C$11+D467*Variables!$C$12)*Variables!$C$5</f>
        <v>7475558.0681709796</v>
      </c>
    </row>
    <row r="468" spans="1:12" x14ac:dyDescent="0.35">
      <c r="A468" s="96">
        <v>3</v>
      </c>
      <c r="B468" s="87" t="s">
        <v>61</v>
      </c>
      <c r="C468" s="87">
        <v>2030</v>
      </c>
      <c r="D468" s="97">
        <f>Population!O4</f>
        <v>13176888.506482709</v>
      </c>
      <c r="E468" s="92" t="str">
        <f t="shared" si="21"/>
        <v>Large</v>
      </c>
      <c r="F468" s="119">
        <f>Area!Q4</f>
        <v>849.78489577842856</v>
      </c>
      <c r="G468" s="27">
        <f>D468*Variables!$C$9</f>
        <v>118.59199655834439</v>
      </c>
      <c r="H468" s="28">
        <f t="shared" si="20"/>
        <v>115.84643602456225</v>
      </c>
      <c r="I468" s="28">
        <f t="shared" si="22"/>
        <v>2.7455605337821396</v>
      </c>
      <c r="J468" s="197">
        <f>VLOOKUP(A468,'Land costs'!$A$2:$F$96,5,FALSE)</f>
        <v>623490608.57078338</v>
      </c>
      <c r="K468" s="29">
        <f>I468*(J468+Variables!$C$10*Variables!$C$5)</f>
        <v>1724043506.5956764</v>
      </c>
      <c r="L468" s="29">
        <f>(G468*Variables!$C$11+D468*Variables!$C$12)*Variables!$C$5</f>
        <v>215125224.1570453</v>
      </c>
    </row>
    <row r="469" spans="1:12" x14ac:dyDescent="0.35">
      <c r="A469" s="96">
        <v>4</v>
      </c>
      <c r="B469" s="87" t="s">
        <v>62</v>
      </c>
      <c r="C469" s="87">
        <v>2030</v>
      </c>
      <c r="D469" s="97">
        <f>Population!O5</f>
        <v>2806232.8424945683</v>
      </c>
      <c r="E469" s="92" t="str">
        <f t="shared" si="21"/>
        <v>Large</v>
      </c>
      <c r="F469" s="119">
        <f>Area!Q5</f>
        <v>469.8254154767564</v>
      </c>
      <c r="G469" s="27">
        <f>D469*Variables!$C$9</f>
        <v>25.256095582451117</v>
      </c>
      <c r="H469" s="28">
        <f t="shared" si="20"/>
        <v>100.58253557595253</v>
      </c>
      <c r="I469" s="28">
        <f t="shared" si="22"/>
        <v>0</v>
      </c>
      <c r="J469" s="197">
        <f>VLOOKUP(A469,'Land costs'!$A$2:$F$96,5,FALSE)</f>
        <v>258664564.88983455</v>
      </c>
      <c r="K469" s="29">
        <f>I469*(J469+Variables!$C$10*Variables!$C$5)</f>
        <v>0</v>
      </c>
      <c r="L469" s="29">
        <f>(G469*Variables!$C$11+D469*Variables!$C$12)*Variables!$C$5</f>
        <v>45814417.33998923</v>
      </c>
    </row>
    <row r="470" spans="1:12" x14ac:dyDescent="0.35">
      <c r="A470" s="96">
        <v>5</v>
      </c>
      <c r="B470" s="87" t="s">
        <v>63</v>
      </c>
      <c r="C470" s="87">
        <v>2030</v>
      </c>
      <c r="D470" s="97">
        <f>Population!O6</f>
        <v>1316182.1268753866</v>
      </c>
      <c r="E470" s="92" t="str">
        <f t="shared" si="21"/>
        <v>Large</v>
      </c>
      <c r="F470" s="119">
        <f>Area!Q6</f>
        <v>212.84037278309444</v>
      </c>
      <c r="G470" s="27">
        <f>D470*Variables!$C$9</f>
        <v>11.845639141878479</v>
      </c>
      <c r="H470" s="28">
        <f t="shared" si="20"/>
        <v>11.571397032214982</v>
      </c>
      <c r="I470" s="28">
        <f t="shared" si="22"/>
        <v>0.27424210966349705</v>
      </c>
      <c r="J470" s="197">
        <f>VLOOKUP(A470,'Land costs'!$A$2:$F$96,5,FALSE)</f>
        <v>258664564.88983455</v>
      </c>
      <c r="K470" s="29">
        <f>I470*(J470+Variables!$C$10*Variables!$C$5)</f>
        <v>72156549.395752296</v>
      </c>
      <c r="L470" s="29">
        <f>(G470*Variables!$C$11+D470*Variables!$C$12)*Variables!$C$5</f>
        <v>21487923.718582287</v>
      </c>
    </row>
    <row r="471" spans="1:12" x14ac:dyDescent="0.35">
      <c r="A471" s="96">
        <v>6</v>
      </c>
      <c r="B471" s="87" t="s">
        <v>64</v>
      </c>
      <c r="C471" s="87">
        <v>2030</v>
      </c>
      <c r="D471" s="97">
        <f>Population!O7</f>
        <v>1500617.2890694146</v>
      </c>
      <c r="E471" s="92" t="str">
        <f t="shared" si="21"/>
        <v>Large</v>
      </c>
      <c r="F471" s="119">
        <f>Area!Q7</f>
        <v>183.33846379859523</v>
      </c>
      <c r="G471" s="27">
        <f>D471*Variables!$C$9</f>
        <v>13.505555601624732</v>
      </c>
      <c r="H471" s="28">
        <f t="shared" si="20"/>
        <v>13.192884245017808</v>
      </c>
      <c r="I471" s="28">
        <f t="shared" si="22"/>
        <v>0.31267135660692347</v>
      </c>
      <c r="J471" s="197">
        <f>VLOOKUP(A471,'Land costs'!$A$2:$F$96,5,FALSE)</f>
        <v>421303330.51817626</v>
      </c>
      <c r="K471" s="29">
        <f>I471*(J471+Variables!$C$10*Variables!$C$5)</f>
        <v>133120251.2452886</v>
      </c>
      <c r="L471" s="29">
        <f>(G471*Variables!$C$11+D471*Variables!$C$12)*Variables!$C$5</f>
        <v>24499002.972224854</v>
      </c>
    </row>
    <row r="472" spans="1:12" x14ac:dyDescent="0.35">
      <c r="A472" s="96">
        <v>7</v>
      </c>
      <c r="B472" s="87" t="s">
        <v>65</v>
      </c>
      <c r="C472" s="87">
        <v>2030</v>
      </c>
      <c r="D472" s="97">
        <f>Population!O8</f>
        <v>7251518.9752691109</v>
      </c>
      <c r="E472" s="92" t="str">
        <f t="shared" si="21"/>
        <v>Large</v>
      </c>
      <c r="F472" s="119">
        <f>Area!Q8</f>
        <v>1242.3571389116919</v>
      </c>
      <c r="G472" s="27">
        <f>D472*Variables!$C$9</f>
        <v>65.263670777421993</v>
      </c>
      <c r="H472" s="28">
        <f t="shared" si="20"/>
        <v>63.752731051501407</v>
      </c>
      <c r="I472" s="28">
        <f t="shared" si="22"/>
        <v>1.5109397259205863</v>
      </c>
      <c r="J472" s="197">
        <f>VLOOKUP(A472,'Land costs'!$A$2:$F$96,5,FALSE)</f>
        <v>368904372.20152247</v>
      </c>
      <c r="K472" s="29">
        <f>I472*(J472+Variables!$C$10*Variables!$C$5)</f>
        <v>564112955.83661544</v>
      </c>
      <c r="L472" s="29">
        <f>(G472*Variables!$C$11+D472*Variables!$C$12)*Variables!$C$5</f>
        <v>118387936.89924294</v>
      </c>
    </row>
    <row r="473" spans="1:12" x14ac:dyDescent="0.35">
      <c r="A473" s="96">
        <v>8</v>
      </c>
      <c r="B473" s="87" t="s">
        <v>66</v>
      </c>
      <c r="C473" s="87">
        <v>2030</v>
      </c>
      <c r="D473" s="97">
        <f>Population!O9</f>
        <v>69104.859773033342</v>
      </c>
      <c r="E473" s="92" t="str">
        <f t="shared" si="21"/>
        <v>Small</v>
      </c>
      <c r="F473" s="119">
        <f>Area!Q9</f>
        <v>175.00208428832201</v>
      </c>
      <c r="G473" s="27">
        <f>D473*Variables!$C$9</f>
        <v>0.62194373795730007</v>
      </c>
      <c r="H473" s="28">
        <f t="shared" si="20"/>
        <v>0.60754492327566667</v>
      </c>
      <c r="I473" s="28">
        <f t="shared" si="22"/>
        <v>1.4398814681633398E-2</v>
      </c>
      <c r="J473" s="197">
        <f>VLOOKUP(A473,'Land costs'!$A$2:$F$96,5,FALSE)</f>
        <v>399734297.50693494</v>
      </c>
      <c r="K473" s="29">
        <f>I473*(J473+Variables!$C$10*Variables!$C$5)</f>
        <v>5819746.2367903637</v>
      </c>
      <c r="L473" s="29">
        <f>(G473*Variables!$C$11+D473*Variables!$C$12)*Variables!$C$5</f>
        <v>1128202.4919389102</v>
      </c>
    </row>
    <row r="474" spans="1:12" x14ac:dyDescent="0.35">
      <c r="A474" s="96">
        <v>9</v>
      </c>
      <c r="B474" s="87" t="s">
        <v>67</v>
      </c>
      <c r="C474" s="87">
        <v>2030</v>
      </c>
      <c r="D474" s="97">
        <f>Population!O10</f>
        <v>888862.46826712403</v>
      </c>
      <c r="E474" s="92" t="str">
        <f t="shared" si="21"/>
        <v>Medium</v>
      </c>
      <c r="F474" s="119">
        <f>Area!Q10</f>
        <v>472.97860618465421</v>
      </c>
      <c r="G474" s="27">
        <f>D474*Variables!$C$9</f>
        <v>7.9997622144041163</v>
      </c>
      <c r="H474" s="28">
        <f t="shared" si="20"/>
        <v>7.8145572085612143</v>
      </c>
      <c r="I474" s="28">
        <f t="shared" si="22"/>
        <v>0.185205005842902</v>
      </c>
      <c r="J474" s="197">
        <f>VLOOKUP(A474,'Land costs'!$A$2:$F$96,5,FALSE)</f>
        <v>292630299.54426229</v>
      </c>
      <c r="K474" s="29">
        <f>I474*(J474+Variables!$C$10*Variables!$C$5)</f>
        <v>55020391.256342836</v>
      </c>
      <c r="L474" s="29">
        <f>(G474*Variables!$C$11+D474*Variables!$C$12)*Variables!$C$5</f>
        <v>14511524.297763892</v>
      </c>
    </row>
    <row r="475" spans="1:12" x14ac:dyDescent="0.35">
      <c r="A475" s="96">
        <v>10</v>
      </c>
      <c r="B475" s="87" t="s">
        <v>68</v>
      </c>
      <c r="C475" s="87">
        <v>2030</v>
      </c>
      <c r="D475" s="97">
        <f>Population!O11</f>
        <v>824855.96847960399</v>
      </c>
      <c r="E475" s="92" t="str">
        <f t="shared" si="21"/>
        <v>Medium</v>
      </c>
      <c r="F475" s="119">
        <f>Area!Q11</f>
        <v>140.13130990975429</v>
      </c>
      <c r="G475" s="27">
        <f>D475*Variables!$C$9</f>
        <v>7.4237037163164361</v>
      </c>
      <c r="H475" s="28">
        <f t="shared" si="20"/>
        <v>7.2518352215653366</v>
      </c>
      <c r="I475" s="28">
        <f t="shared" si="22"/>
        <v>0.17186849475109955</v>
      </c>
      <c r="J475" s="197">
        <f>VLOOKUP(A475,'Land costs'!$A$2:$F$96,5,FALSE)</f>
        <v>207178319.55590102</v>
      </c>
      <c r="K475" s="29">
        <f>I475*(J475+Variables!$C$10*Variables!$C$5)</f>
        <v>36371899.825359099</v>
      </c>
      <c r="L475" s="29">
        <f>(G475*Variables!$C$11+D475*Variables!$C$12)*Variables!$C$5</f>
        <v>13466557.376512043</v>
      </c>
    </row>
    <row r="476" spans="1:12" x14ac:dyDescent="0.35">
      <c r="A476" s="96">
        <v>11</v>
      </c>
      <c r="B476" s="87" t="s">
        <v>69</v>
      </c>
      <c r="C476" s="87">
        <v>2030</v>
      </c>
      <c r="D476" s="97">
        <f>Population!O12</f>
        <v>321736.63395571487</v>
      </c>
      <c r="E476" s="92" t="str">
        <f t="shared" si="21"/>
        <v>Medium</v>
      </c>
      <c r="F476" s="119">
        <f>Area!Q12</f>
        <v>179.73187035016855</v>
      </c>
      <c r="G476" s="27">
        <f>D476*Variables!$C$9</f>
        <v>2.8956297056014337</v>
      </c>
      <c r="H476" s="28">
        <f t="shared" si="20"/>
        <v>2.8285920734604213</v>
      </c>
      <c r="I476" s="28">
        <f t="shared" si="22"/>
        <v>6.7037632141012438E-2</v>
      </c>
      <c r="J476" s="197">
        <f>VLOOKUP(A476,'Land costs'!$A$2:$F$96,5,FALSE)</f>
        <v>446522393.21506435</v>
      </c>
      <c r="K476" s="29">
        <f>I476*(J476+Variables!$C$10*Variables!$C$5)</f>
        <v>30231988.432079032</v>
      </c>
      <c r="L476" s="29">
        <f>(G476*Variables!$C$11+D476*Variables!$C$12)*Variables!$C$5</f>
        <v>5252656.2295192024</v>
      </c>
    </row>
    <row r="477" spans="1:12" x14ac:dyDescent="0.35">
      <c r="A477" s="96">
        <v>12</v>
      </c>
      <c r="B477" s="87" t="s">
        <v>70</v>
      </c>
      <c r="C477" s="87">
        <v>2030</v>
      </c>
      <c r="D477" s="97">
        <f>Population!O13</f>
        <v>156502.64141634121</v>
      </c>
      <c r="E477" s="92" t="str">
        <f t="shared" si="21"/>
        <v>Medium</v>
      </c>
      <c r="F477" s="119">
        <f>Area!Q13</f>
        <v>29.955311725028096</v>
      </c>
      <c r="G477" s="27">
        <f>D477*Variables!$C$9</f>
        <v>1.408523772747071</v>
      </c>
      <c r="H477" s="28">
        <f t="shared" si="20"/>
        <v>1.3759145968028434</v>
      </c>
      <c r="I477" s="28">
        <f t="shared" si="22"/>
        <v>3.260917594422752E-2</v>
      </c>
      <c r="J477" s="197">
        <f>VLOOKUP(A477,'Land costs'!$A$2:$F$96,5,FALSE)</f>
        <v>207178319.55590102</v>
      </c>
      <c r="K477" s="29">
        <f>I477*(J477+Variables!$C$10*Variables!$C$5)</f>
        <v>6900960.4264504975</v>
      </c>
      <c r="L477" s="29">
        <f>(G477*Variables!$C$11+D477*Variables!$C$12)*Variables!$C$5</f>
        <v>2555054.313413702</v>
      </c>
    </row>
    <row r="478" spans="1:12" x14ac:dyDescent="0.35">
      <c r="A478" s="96">
        <v>13</v>
      </c>
      <c r="B478" s="87" t="s">
        <v>71</v>
      </c>
      <c r="C478" s="87">
        <v>2030</v>
      </c>
      <c r="D478" s="97">
        <f>Population!O14</f>
        <v>10505383.767027419</v>
      </c>
      <c r="E478" s="92" t="str">
        <f t="shared" si="21"/>
        <v>Large</v>
      </c>
      <c r="F478" s="119">
        <f>Area!Q14</f>
        <v>948.9127577380616</v>
      </c>
      <c r="G478" s="27">
        <f>D478*Variables!$C$9</f>
        <v>94.548453903246781</v>
      </c>
      <c r="H478" s="28">
        <f t="shared" si="20"/>
        <v>279.82566666666668</v>
      </c>
      <c r="I478" s="28">
        <f t="shared" si="22"/>
        <v>0</v>
      </c>
      <c r="J478" s="197">
        <f>VLOOKUP(A478,'Land costs'!$A$2:$F$96,5,FALSE)</f>
        <v>225281113.07128146</v>
      </c>
      <c r="K478" s="29">
        <f>I478*(J478+Variables!$C$10*Variables!$C$5)</f>
        <v>0</v>
      </c>
      <c r="L478" s="29">
        <f>(G478*Variables!$C$11+D478*Variables!$C$12)*Variables!$C$5</f>
        <v>171510371.103596</v>
      </c>
    </row>
    <row r="479" spans="1:12" x14ac:dyDescent="0.35">
      <c r="A479" s="96">
        <v>14</v>
      </c>
      <c r="B479" s="87" t="s">
        <v>72</v>
      </c>
      <c r="C479" s="87">
        <v>2030</v>
      </c>
      <c r="D479" s="97">
        <f>Population!O15</f>
        <v>418610.15537007776</v>
      </c>
      <c r="E479" s="92" t="str">
        <f t="shared" si="21"/>
        <v>Medium</v>
      </c>
      <c r="F479" s="119">
        <f>Area!Q15</f>
        <v>47.297860618465407</v>
      </c>
      <c r="G479" s="27">
        <f>D479*Variables!$C$9</f>
        <v>3.7674913983307001</v>
      </c>
      <c r="H479" s="28">
        <f t="shared" si="20"/>
        <v>3.6802690224975083</v>
      </c>
      <c r="I479" s="28">
        <f t="shared" si="22"/>
        <v>8.7222375833191812E-2</v>
      </c>
      <c r="J479" s="197">
        <f>VLOOKUP(A479,'Land costs'!$A$2:$F$96,5,FALSE)</f>
        <v>172078376.43406156</v>
      </c>
      <c r="K479" s="29">
        <f>I479*(J479+Variables!$C$10*Variables!$C$5)</f>
        <v>15397051.387826005</v>
      </c>
      <c r="L479" s="29">
        <f>(G479*Variables!$C$11+D479*Variables!$C$12)*Variables!$C$5</f>
        <v>6834208.5056042895</v>
      </c>
    </row>
    <row r="480" spans="1:12" x14ac:dyDescent="0.35">
      <c r="A480" s="96">
        <v>15</v>
      </c>
      <c r="B480" s="87" t="s">
        <v>73</v>
      </c>
      <c r="C480" s="87">
        <v>2030</v>
      </c>
      <c r="D480" s="97">
        <f>Population!O16</f>
        <v>92837.904970366144</v>
      </c>
      <c r="E480" s="92" t="str">
        <f t="shared" si="21"/>
        <v>Small</v>
      </c>
      <c r="F480" s="119">
        <f>Area!Q16</f>
        <v>263.29142410945741</v>
      </c>
      <c r="G480" s="27">
        <f>D480*Variables!$C$9</f>
        <v>0.83554114473329533</v>
      </c>
      <c r="H480" s="28">
        <f t="shared" si="20"/>
        <v>43.35</v>
      </c>
      <c r="I480" s="28">
        <f t="shared" si="22"/>
        <v>0</v>
      </c>
      <c r="J480" s="197">
        <f>VLOOKUP(A480,'Land costs'!$A$2:$F$96,5,FALSE)</f>
        <v>399734297.50693494</v>
      </c>
      <c r="K480" s="29">
        <f>I480*(J480+Variables!$C$10*Variables!$C$5)</f>
        <v>0</v>
      </c>
      <c r="L480" s="29">
        <f>(G480*Variables!$C$11+D480*Variables!$C$12)*Variables!$C$5</f>
        <v>1515667.0034200302</v>
      </c>
    </row>
    <row r="481" spans="1:12" x14ac:dyDescent="0.35">
      <c r="A481" s="96">
        <v>16</v>
      </c>
      <c r="B481" s="87" t="s">
        <v>74</v>
      </c>
      <c r="C481" s="87">
        <v>2030</v>
      </c>
      <c r="D481" s="97">
        <f>Population!O17</f>
        <v>4753729.8893636819</v>
      </c>
      <c r="E481" s="92" t="str">
        <f t="shared" si="21"/>
        <v>Large</v>
      </c>
      <c r="F481" s="119">
        <f>Area!Q17</f>
        <v>304.26830757426245</v>
      </c>
      <c r="G481" s="27">
        <f>D481*Variables!$C$9</f>
        <v>42.78356900427314</v>
      </c>
      <c r="H481" s="28">
        <f t="shared" si="20"/>
        <v>108.39099999999998</v>
      </c>
      <c r="I481" s="28">
        <f t="shared" si="22"/>
        <v>0</v>
      </c>
      <c r="J481" s="197">
        <f>VLOOKUP(A481,'Land costs'!$A$2:$F$96,5,FALSE)</f>
        <v>258664564.88983455</v>
      </c>
      <c r="K481" s="29">
        <f>I481*(J481+Variables!$C$10*Variables!$C$5)</f>
        <v>0</v>
      </c>
      <c r="L481" s="29">
        <f>(G481*Variables!$C$11+D481*Variables!$C$12)*Variables!$C$5</f>
        <v>77609156.936274499</v>
      </c>
    </row>
    <row r="482" spans="1:12" x14ac:dyDescent="0.35">
      <c r="A482" s="96">
        <v>17</v>
      </c>
      <c r="B482" s="87" t="s">
        <v>75</v>
      </c>
      <c r="C482" s="87">
        <v>2030</v>
      </c>
      <c r="D482" s="97">
        <f>Population!O18</f>
        <v>17493.913510132872</v>
      </c>
      <c r="E482" s="92" t="str">
        <f t="shared" si="21"/>
        <v>Small</v>
      </c>
      <c r="F482" s="119">
        <f>Area!Q18</f>
        <v>3.0478559905371578</v>
      </c>
      <c r="G482" s="27">
        <f>D482*Variables!$C$9</f>
        <v>0.15744522159119584</v>
      </c>
      <c r="H482" s="28">
        <f t="shared" si="20"/>
        <v>0.15380015785014733</v>
      </c>
      <c r="I482" s="28">
        <f t="shared" si="22"/>
        <v>3.6450637410485043E-3</v>
      </c>
      <c r="J482" s="197">
        <f>VLOOKUP(A482,'Land costs'!$A$2:$F$96,5,FALSE)</f>
        <v>399734297.50693494</v>
      </c>
      <c r="K482" s="29">
        <f>I482*(J482+Variables!$C$10*Variables!$C$5)</f>
        <v>1473270.2975118505</v>
      </c>
      <c r="L482" s="29">
        <f>(G482*Variables!$C$11+D482*Variables!$C$12)*Variables!$C$5</f>
        <v>285604.75892315578</v>
      </c>
    </row>
    <row r="483" spans="1:12" x14ac:dyDescent="0.35">
      <c r="A483" s="96">
        <v>18</v>
      </c>
      <c r="B483" s="87" t="s">
        <v>76</v>
      </c>
      <c r="C483" s="87">
        <v>2030</v>
      </c>
      <c r="D483" s="97">
        <f>Population!O19</f>
        <v>154556.61910169933</v>
      </c>
      <c r="E483" s="92" t="str">
        <f t="shared" si="21"/>
        <v>Medium</v>
      </c>
      <c r="F483" s="119">
        <f>Area!Q19</f>
        <v>31.531907078976943</v>
      </c>
      <c r="G483" s="27">
        <f>D483*Variables!$C$9</f>
        <v>1.391009571915294</v>
      </c>
      <c r="H483" s="28">
        <f t="shared" si="20"/>
        <v>1.358805872731556</v>
      </c>
      <c r="I483" s="28">
        <f t="shared" si="22"/>
        <v>3.2203699183737999E-2</v>
      </c>
      <c r="J483" s="197">
        <f>VLOOKUP(A483,'Land costs'!$A$2:$F$96,5,FALSE)</f>
        <v>207178319.55590102</v>
      </c>
      <c r="K483" s="29">
        <f>I483*(J483+Variables!$C$10*Variables!$C$5)</f>
        <v>6815150.8652776135</v>
      </c>
      <c r="L483" s="29">
        <f>(G483*Variables!$C$11+D483*Variables!$C$12)*Variables!$C$5</f>
        <v>2523283.6502221613</v>
      </c>
    </row>
    <row r="484" spans="1:12" x14ac:dyDescent="0.35">
      <c r="A484" s="96">
        <v>19</v>
      </c>
      <c r="B484" s="87" t="s">
        <v>77</v>
      </c>
      <c r="C484" s="87">
        <v>2030</v>
      </c>
      <c r="D484" s="97">
        <f>Population!O20</f>
        <v>7017375.1933571296</v>
      </c>
      <c r="E484" s="92" t="str">
        <f t="shared" si="21"/>
        <v>Large</v>
      </c>
      <c r="F484" s="119">
        <f>Area!Q20</f>
        <v>1044.7681183069628</v>
      </c>
      <c r="G484" s="27">
        <f>D484*Variables!$C$9</f>
        <v>63.156376740214171</v>
      </c>
      <c r="H484" s="28">
        <f t="shared" si="20"/>
        <v>61.694223639947396</v>
      </c>
      <c r="I484" s="28">
        <f t="shared" si="22"/>
        <v>1.4621531002667751</v>
      </c>
      <c r="J484" s="197">
        <f>VLOOKUP(A484,'Land costs'!$A$2:$F$96,5,FALSE)</f>
        <v>69556263.81201373</v>
      </c>
      <c r="K484" s="29">
        <f>I484*(J484+Variables!$C$10*Variables!$C$5)</f>
        <v>108205587.87200449</v>
      </c>
      <c r="L484" s="29">
        <f>(G484*Variables!$C$11+D484*Variables!$C$12)*Variables!$C$5</f>
        <v>114565317.20082079</v>
      </c>
    </row>
    <row r="485" spans="1:12" x14ac:dyDescent="0.35">
      <c r="A485" s="96">
        <v>20</v>
      </c>
      <c r="B485" s="87" t="s">
        <v>78</v>
      </c>
      <c r="C485" s="87">
        <v>2030</v>
      </c>
      <c r="D485" s="97">
        <f>Population!O21</f>
        <v>4396270.4031188991</v>
      </c>
      <c r="E485" s="92" t="str">
        <f t="shared" si="21"/>
        <v>Large</v>
      </c>
      <c r="F485" s="119">
        <f>Area!Q21</f>
        <v>531.31263428076147</v>
      </c>
      <c r="G485" s="27">
        <f>D485*Variables!$C$9</f>
        <v>39.566433628070094</v>
      </c>
      <c r="H485" s="28">
        <f t="shared" si="20"/>
        <v>38.650418704767112</v>
      </c>
      <c r="I485" s="28">
        <f t="shared" si="22"/>
        <v>0.91601492330298129</v>
      </c>
      <c r="J485" s="197">
        <f>VLOOKUP(A485,'Land costs'!$A$2:$F$96,5,FALSE)</f>
        <v>423084709.93427253</v>
      </c>
      <c r="K485" s="29">
        <f>I485*(J485+Variables!$C$10*Variables!$C$5)</f>
        <v>391626357.60216492</v>
      </c>
      <c r="L485" s="29">
        <f>(G485*Variables!$C$11+D485*Variables!$C$12)*Variables!$C$5</f>
        <v>71773291.203052357</v>
      </c>
    </row>
    <row r="486" spans="1:12" x14ac:dyDescent="0.35">
      <c r="A486" s="96">
        <v>21</v>
      </c>
      <c r="B486" s="98" t="s">
        <v>79</v>
      </c>
      <c r="C486" s="87">
        <v>2030</v>
      </c>
      <c r="D486" s="97">
        <f>Population!O22</f>
        <v>19417109.466798615</v>
      </c>
      <c r="E486" s="92" t="str">
        <f t="shared" si="21"/>
        <v>Large</v>
      </c>
      <c r="F486" s="119">
        <f>Area!Q22</f>
        <v>560.39703865633305</v>
      </c>
      <c r="G486" s="27">
        <f>D486*Variables!$C$9</f>
        <v>174.75398520118753</v>
      </c>
      <c r="H486" s="28">
        <f t="shared" si="20"/>
        <v>170.70820084124986</v>
      </c>
      <c r="I486" s="28">
        <f t="shared" si="22"/>
        <v>4.0457843599376702</v>
      </c>
      <c r="J486" s="197">
        <f>VLOOKUP(A486,'Land costs'!$A$2:$F$96,5,FALSE)</f>
        <v>136261714.31466237</v>
      </c>
      <c r="K486" s="29">
        <f>I486*(J486+Variables!$C$10*Variables!$C$5)</f>
        <v>569281228.16782486</v>
      </c>
      <c r="L486" s="29">
        <f>(G486*Variables!$C$11+D486*Variables!$C$12)*Variables!$C$5</f>
        <v>317002760.13353997</v>
      </c>
    </row>
    <row r="487" spans="1:12" x14ac:dyDescent="0.35">
      <c r="A487" s="96">
        <v>22</v>
      </c>
      <c r="B487" s="87" t="s">
        <v>80</v>
      </c>
      <c r="C487" s="87">
        <v>2030</v>
      </c>
      <c r="D487" s="97">
        <f>Population!O23</f>
        <v>17220120.498912062</v>
      </c>
      <c r="E487" s="92" t="str">
        <f t="shared" si="21"/>
        <v>Large</v>
      </c>
      <c r="F487" s="119">
        <f>Area!Q23</f>
        <v>1232.8975667879984</v>
      </c>
      <c r="G487" s="27">
        <f>D487*Variables!$C$9</f>
        <v>154.98108449020856</v>
      </c>
      <c r="H487" s="28">
        <f t="shared" si="20"/>
        <v>151.39306876058271</v>
      </c>
      <c r="I487" s="28">
        <f t="shared" si="22"/>
        <v>3.5880157296258517</v>
      </c>
      <c r="J487" s="197">
        <f>VLOOKUP(A487,'Land costs'!$A$2:$F$96,5,FALSE)</f>
        <v>181431544.56336635</v>
      </c>
      <c r="K487" s="29">
        <f>I487*(J487+Variables!$C$10*Variables!$C$5)</f>
        <v>666938788.86414838</v>
      </c>
      <c r="L487" s="29">
        <f>(G487*Variables!$C$11+D487*Variables!$C$12)*Variables!$C$5</f>
        <v>281134827.88575405</v>
      </c>
    </row>
    <row r="488" spans="1:12" x14ac:dyDescent="0.35">
      <c r="A488" s="96">
        <v>23</v>
      </c>
      <c r="B488" s="87" t="s">
        <v>81</v>
      </c>
      <c r="C488" s="87">
        <v>2030</v>
      </c>
      <c r="D488" s="97">
        <f>Population!O24</f>
        <v>62449.057710525165</v>
      </c>
      <c r="E488" s="92" t="str">
        <f t="shared" si="21"/>
        <v>Small</v>
      </c>
      <c r="F488" s="119">
        <f>Area!Q24</f>
        <v>116.97621342040725</v>
      </c>
      <c r="G488" s="27">
        <f>D488*Variables!$C$9</f>
        <v>0.56204151939472646</v>
      </c>
      <c r="H488" s="28">
        <f t="shared" si="20"/>
        <v>0.8</v>
      </c>
      <c r="I488" s="28">
        <f t="shared" si="22"/>
        <v>0</v>
      </c>
      <c r="J488" s="197">
        <f>VLOOKUP(A488,'Land costs'!$A$2:$F$96,5,FALSE)</f>
        <v>679160605.168293</v>
      </c>
      <c r="K488" s="29">
        <f>I488*(J488+Variables!$C$10*Variables!$C$5)</f>
        <v>0</v>
      </c>
      <c r="L488" s="29">
        <f>(G488*Variables!$C$11+D488*Variables!$C$12)*Variables!$C$5</f>
        <v>1019540.1996278255</v>
      </c>
    </row>
    <row r="489" spans="1:12" x14ac:dyDescent="0.35">
      <c r="A489" s="96">
        <v>24</v>
      </c>
      <c r="B489" s="87" t="s">
        <v>82</v>
      </c>
      <c r="C489" s="87">
        <v>2030</v>
      </c>
      <c r="D489" s="97">
        <f>Population!O25</f>
        <v>2628334.87955959</v>
      </c>
      <c r="E489" s="92" t="str">
        <f t="shared" si="21"/>
        <v>Large</v>
      </c>
      <c r="F489" s="119">
        <f>Area!Q25</f>
        <v>119.8212469001124</v>
      </c>
      <c r="G489" s="27">
        <f>D489*Variables!$C$9</f>
        <v>23.65501391603631</v>
      </c>
      <c r="H489" s="28">
        <f t="shared" si="20"/>
        <v>23.107369264468403</v>
      </c>
      <c r="I489" s="28">
        <f t="shared" si="22"/>
        <v>0.5476446515679072</v>
      </c>
      <c r="J489" s="197">
        <f>VLOOKUP(A489,'Land costs'!$A$2:$F$96,5,FALSE)</f>
        <v>273857556.71751869</v>
      </c>
      <c r="K489" s="29">
        <f>I489*(J489+Variables!$C$10*Variables!$C$5)</f>
        <v>152412558.66691673</v>
      </c>
      <c r="L489" s="29">
        <f>(G489*Variables!$C$11+D489*Variables!$C$12)*Variables!$C$5</f>
        <v>42910064.075207435</v>
      </c>
    </row>
    <row r="490" spans="1:12" x14ac:dyDescent="0.35">
      <c r="A490" s="96">
        <v>25</v>
      </c>
      <c r="B490" s="87" t="s">
        <v>83</v>
      </c>
      <c r="C490" s="87">
        <v>2030</v>
      </c>
      <c r="D490" s="97">
        <f>Population!O26</f>
        <v>377302.04737603519</v>
      </c>
      <c r="E490" s="92" t="str">
        <f t="shared" si="21"/>
        <v>Medium</v>
      </c>
      <c r="F490" s="119">
        <f>Area!Q26</f>
        <v>212.84037278309432</v>
      </c>
      <c r="G490" s="27">
        <f>D490*Variables!$C$9</f>
        <v>3.3957184263843168</v>
      </c>
      <c r="H490" s="28">
        <f t="shared" si="20"/>
        <v>3.3171030833098727</v>
      </c>
      <c r="I490" s="28">
        <f t="shared" si="22"/>
        <v>7.8615343074444066E-2</v>
      </c>
      <c r="J490" s="197">
        <f>VLOOKUP(A490,'Land costs'!$A$2:$F$96,5,FALSE)</f>
        <v>202576692.05248237</v>
      </c>
      <c r="K490" s="29">
        <f>I490*(J490+Variables!$C$10*Variables!$C$5)</f>
        <v>16275318.486706914</v>
      </c>
      <c r="L490" s="29">
        <f>(G490*Variables!$C$11+D490*Variables!$C$12)*Variables!$C$5</f>
        <v>6159814.3959971573</v>
      </c>
    </row>
    <row r="491" spans="1:12" x14ac:dyDescent="0.35">
      <c r="A491" s="96">
        <v>26</v>
      </c>
      <c r="B491" s="87" t="s">
        <v>84</v>
      </c>
      <c r="C491" s="87">
        <v>2030</v>
      </c>
      <c r="D491" s="97">
        <f>Population!O27</f>
        <v>156346.58509600104</v>
      </c>
      <c r="E491" s="92" t="str">
        <f t="shared" si="21"/>
        <v>Medium</v>
      </c>
      <c r="F491" s="119">
        <f>Area!Q27</f>
        <v>759.91896060334409</v>
      </c>
      <c r="G491" s="27">
        <f>D491*Variables!$C$9</f>
        <v>1.4071192658640095</v>
      </c>
      <c r="H491" s="28">
        <f t="shared" si="20"/>
        <v>1.3745426060994523</v>
      </c>
      <c r="I491" s="28">
        <f t="shared" si="22"/>
        <v>3.2576659764557148E-2</v>
      </c>
      <c r="J491" s="197">
        <f>VLOOKUP(A491,'Land costs'!$A$2:$F$96,5,FALSE)</f>
        <v>207178319.55590102</v>
      </c>
      <c r="K491" s="29">
        <f>I491*(J491+Variables!$C$10*Variables!$C$5)</f>
        <v>6894079.1464847485</v>
      </c>
      <c r="L491" s="29">
        <f>(G491*Variables!$C$11+D491*Variables!$C$12)*Variables!$C$5</f>
        <v>2552506.5457159043</v>
      </c>
    </row>
    <row r="492" spans="1:12" x14ac:dyDescent="0.35">
      <c r="A492" s="96">
        <v>27</v>
      </c>
      <c r="B492" s="87" t="s">
        <v>85</v>
      </c>
      <c r="C492" s="87">
        <v>2030</v>
      </c>
      <c r="D492" s="97">
        <f>Population!O28</f>
        <v>1576844.5593027731</v>
      </c>
      <c r="E492" s="92" t="str">
        <f t="shared" si="21"/>
        <v>Large</v>
      </c>
      <c r="F492" s="119">
        <f>Area!Q28</f>
        <v>141.89140180753097</v>
      </c>
      <c r="G492" s="27">
        <f>D492*Variables!$C$9</f>
        <v>14.191601033724957</v>
      </c>
      <c r="H492" s="28">
        <f t="shared" si="20"/>
        <v>27.873100000000001</v>
      </c>
      <c r="I492" s="28">
        <f t="shared" si="22"/>
        <v>0</v>
      </c>
      <c r="J492" s="197">
        <f>VLOOKUP(A492,'Land costs'!$A$2:$F$96,5,FALSE)</f>
        <v>194110385.46713075</v>
      </c>
      <c r="K492" s="29">
        <f>I492*(J492+Variables!$C$10*Variables!$C$5)</f>
        <v>0</v>
      </c>
      <c r="L492" s="29">
        <f>(G492*Variables!$C$11+D492*Variables!$C$12)*Variables!$C$5</f>
        <v>25743485.581891261</v>
      </c>
    </row>
    <row r="493" spans="1:12" x14ac:dyDescent="0.35">
      <c r="A493" s="96">
        <v>28</v>
      </c>
      <c r="B493" s="87" t="s">
        <v>86</v>
      </c>
      <c r="C493" s="87">
        <v>2030</v>
      </c>
      <c r="D493" s="97">
        <f>Population!O29</f>
        <v>1675150.6777378588</v>
      </c>
      <c r="E493" s="92" t="str">
        <f t="shared" si="21"/>
        <v>Large</v>
      </c>
      <c r="F493" s="119">
        <f>Area!Q29</f>
        <v>182.88506105806621</v>
      </c>
      <c r="G493" s="27">
        <f>D493*Variables!$C$9</f>
        <v>15.07635609964073</v>
      </c>
      <c r="H493" s="28">
        <f t="shared" si="20"/>
        <v>59.512458633395788</v>
      </c>
      <c r="I493" s="28">
        <f t="shared" si="22"/>
        <v>0</v>
      </c>
      <c r="J493" s="197">
        <f>VLOOKUP(A493,'Land costs'!$A$2:$F$96,5,FALSE)</f>
        <v>106495314.22538668</v>
      </c>
      <c r="K493" s="29">
        <f>I493*(J493+Variables!$C$10*Variables!$C$5)</f>
        <v>0</v>
      </c>
      <c r="L493" s="29">
        <f>(G493*Variables!$C$11+D493*Variables!$C$12)*Variables!$C$5</f>
        <v>27348426.365442138</v>
      </c>
    </row>
    <row r="494" spans="1:12" x14ac:dyDescent="0.35">
      <c r="A494" s="96">
        <v>29</v>
      </c>
      <c r="B494" s="87" t="s">
        <v>87</v>
      </c>
      <c r="C494" s="87">
        <v>2030</v>
      </c>
      <c r="D494" s="97">
        <f>Population!O30</f>
        <v>223517.9070600197</v>
      </c>
      <c r="E494" s="92" t="str">
        <f t="shared" si="21"/>
        <v>Medium</v>
      </c>
      <c r="F494" s="119">
        <f>Area!Q30</f>
        <v>1027.9401707746481</v>
      </c>
      <c r="G494" s="27">
        <f>D494*Variables!$C$9</f>
        <v>2.0116611635401775</v>
      </c>
      <c r="H494" s="28">
        <f t="shared" si="20"/>
        <v>1.9650885645601028</v>
      </c>
      <c r="I494" s="28">
        <f t="shared" si="22"/>
        <v>4.6572598980074709E-2</v>
      </c>
      <c r="J494" s="197">
        <f>VLOOKUP(A494,'Land costs'!$A$2:$F$96,5,FALSE)</f>
        <v>207178319.55590102</v>
      </c>
      <c r="K494" s="29">
        <f>I494*(J494+Variables!$C$10*Variables!$C$5)</f>
        <v>9855988.4821418766</v>
      </c>
      <c r="L494" s="29">
        <f>(G494*Variables!$C$11+D494*Variables!$C$12)*Variables!$C$5</f>
        <v>3649142.1958790976</v>
      </c>
    </row>
    <row r="495" spans="1:12" x14ac:dyDescent="0.35">
      <c r="A495" s="96">
        <v>30</v>
      </c>
      <c r="B495" s="87" t="s">
        <v>88</v>
      </c>
      <c r="C495" s="87">
        <v>2030</v>
      </c>
      <c r="D495" s="97">
        <f>Population!O31</f>
        <v>153348.74318226642</v>
      </c>
      <c r="E495" s="92" t="str">
        <f t="shared" si="21"/>
        <v>Medium</v>
      </c>
      <c r="F495" s="119">
        <f>Area!Q31</f>
        <v>102.4786980066751</v>
      </c>
      <c r="G495" s="27">
        <f>D495*Variables!$C$9</f>
        <v>1.3801386886403979</v>
      </c>
      <c r="H495" s="28">
        <f t="shared" ref="H495:H507" si="23">H453+I453</f>
        <v>1.3481866646873084</v>
      </c>
      <c r="I495" s="28">
        <f t="shared" si="22"/>
        <v>3.1952023953089492E-2</v>
      </c>
      <c r="J495" s="197">
        <f>VLOOKUP(A495,'Land costs'!$A$2:$F$96,5,FALSE)</f>
        <v>207178319.55590102</v>
      </c>
      <c r="K495" s="29">
        <f>I495*(J495+Variables!$C$10*Variables!$C$5)</f>
        <v>6761889.7583427541</v>
      </c>
      <c r="L495" s="29">
        <f>(G495*Variables!$C$11+D495*Variables!$C$12)*Variables!$C$5</f>
        <v>2503563.9282412045</v>
      </c>
    </row>
    <row r="496" spans="1:12" x14ac:dyDescent="0.35">
      <c r="A496" s="96">
        <v>31</v>
      </c>
      <c r="B496" s="87" t="s">
        <v>89</v>
      </c>
      <c r="C496" s="87">
        <v>2030</v>
      </c>
      <c r="D496" s="97">
        <f>Population!O32</f>
        <v>264637.18690645066</v>
      </c>
      <c r="E496" s="92" t="str">
        <f t="shared" si="21"/>
        <v>Medium</v>
      </c>
      <c r="F496" s="119">
        <f>Area!Q32</f>
        <v>774.10831878888393</v>
      </c>
      <c r="G496" s="27">
        <f>D496*Variables!$C$9</f>
        <v>2.3817346821580561</v>
      </c>
      <c r="H496" s="28">
        <f t="shared" si="23"/>
        <v>2.3265943949966355</v>
      </c>
      <c r="I496" s="28">
        <f t="shared" si="22"/>
        <v>5.5140287161420609E-2</v>
      </c>
      <c r="J496" s="197">
        <f>VLOOKUP(A496,'Land costs'!$A$2:$F$96,5,FALSE)</f>
        <v>207178319.55590102</v>
      </c>
      <c r="K496" s="29">
        <f>I496*(J496+Variables!$C$10*Variables!$C$5)</f>
        <v>11669136.940316945</v>
      </c>
      <c r="L496" s="29">
        <f>(G496*Variables!$C$11+D496*Variables!$C$12)*Variables!$C$5</f>
        <v>4320453.5065718926</v>
      </c>
    </row>
    <row r="497" spans="1:12" x14ac:dyDescent="0.35">
      <c r="A497" s="96">
        <v>32</v>
      </c>
      <c r="B497" s="87" t="s">
        <v>90</v>
      </c>
      <c r="C497" s="87">
        <v>2030</v>
      </c>
      <c r="D497" s="97">
        <f>Population!O33</f>
        <v>1842354.1010399254</v>
      </c>
      <c r="E497" s="92" t="str">
        <f t="shared" si="21"/>
        <v>Large</v>
      </c>
      <c r="F497" s="119">
        <f>Area!Q33</f>
        <v>45.721265264516553</v>
      </c>
      <c r="G497" s="27">
        <f>D497*Variables!$C$9</f>
        <v>16.581186909359328</v>
      </c>
      <c r="H497" s="28">
        <f t="shared" si="23"/>
        <v>16.197310647024839</v>
      </c>
      <c r="I497" s="28">
        <f t="shared" si="22"/>
        <v>0.38387626233448913</v>
      </c>
      <c r="J497" s="197">
        <f>VLOOKUP(A497,'Land costs'!$A$2:$F$96,5,FALSE)</f>
        <v>258664564.88983455</v>
      </c>
      <c r="K497" s="29">
        <f>I497*(J497+Variables!$C$10*Variables!$C$5)</f>
        <v>101002674.31206326</v>
      </c>
      <c r="L497" s="29">
        <f>(G497*Variables!$C$11+D497*Variables!$C$12)*Variables!$C$5</f>
        <v>30078181.109893847</v>
      </c>
    </row>
    <row r="498" spans="1:12" x14ac:dyDescent="0.35">
      <c r="A498" s="96">
        <v>33</v>
      </c>
      <c r="B498" s="87" t="s">
        <v>91</v>
      </c>
      <c r="C498" s="87">
        <v>2030</v>
      </c>
      <c r="D498" s="97">
        <f>Population!O34</f>
        <v>1160576.8093010013</v>
      </c>
      <c r="E498" s="92" t="str">
        <f t="shared" si="21"/>
        <v>Large</v>
      </c>
      <c r="F498" s="119">
        <f>Area!Q34</f>
        <v>381.53607565562089</v>
      </c>
      <c r="G498" s="27">
        <f>D498*Variables!$C$9</f>
        <v>10.445191283709011</v>
      </c>
      <c r="H498" s="28">
        <f t="shared" si="23"/>
        <v>10.203371381956638</v>
      </c>
      <c r="I498" s="28">
        <f t="shared" si="22"/>
        <v>0.24181990175237367</v>
      </c>
      <c r="J498" s="197">
        <f>VLOOKUP(A498,'Land costs'!$A$2:$F$96,5,FALSE)</f>
        <v>147442586.65970939</v>
      </c>
      <c r="K498" s="29">
        <f>I498*(J498+Variables!$C$10*Variables!$C$5)</f>
        <v>36730170.730011344</v>
      </c>
      <c r="L498" s="29">
        <f>(G498*Variables!$C$11+D498*Variables!$C$12)*Variables!$C$5</f>
        <v>18947519.069430921</v>
      </c>
    </row>
    <row r="499" spans="1:12" x14ac:dyDescent="0.35">
      <c r="A499" s="96">
        <v>34</v>
      </c>
      <c r="B499" s="87" t="s">
        <v>92</v>
      </c>
      <c r="C499" s="87">
        <v>2030</v>
      </c>
      <c r="D499" s="97">
        <f>Population!O35</f>
        <v>671376.13798825187</v>
      </c>
      <c r="E499" s="92" t="str">
        <f t="shared" si="21"/>
        <v>Medium</v>
      </c>
      <c r="F499" s="119">
        <f>Area!Q35</f>
        <v>116.06548657163565</v>
      </c>
      <c r="G499" s="27">
        <f>D499*Variables!$C$9</f>
        <v>6.0423852418942667</v>
      </c>
      <c r="H499" s="28">
        <f t="shared" si="23"/>
        <v>5.9024960846871792</v>
      </c>
      <c r="I499" s="28">
        <f t="shared" si="22"/>
        <v>0.1398891572070875</v>
      </c>
      <c r="J499" s="197">
        <f>VLOOKUP(A499,'Land costs'!$A$2:$F$96,5,FALSE)</f>
        <v>382950815.48123109</v>
      </c>
      <c r="K499" s="29">
        <f>I499*(J499+Variables!$C$10*Variables!$C$5)</f>
        <v>54192896.107025877</v>
      </c>
      <c r="L499" s="29">
        <f>(G499*Variables!$C$11+D499*Variables!$C$12)*Variables!$C$5</f>
        <v>10960853.32340469</v>
      </c>
    </row>
    <row r="500" spans="1:12" x14ac:dyDescent="0.35">
      <c r="A500" s="96">
        <v>35</v>
      </c>
      <c r="B500" s="87" t="s">
        <v>93</v>
      </c>
      <c r="C500" s="87">
        <v>2030</v>
      </c>
      <c r="D500" s="97">
        <f>Population!O36</f>
        <v>286023.14504586736</v>
      </c>
      <c r="E500" s="92" t="str">
        <f t="shared" si="21"/>
        <v>Medium</v>
      </c>
      <c r="F500" s="119">
        <f>Area!Q36</f>
        <v>39.470318957914117</v>
      </c>
      <c r="G500" s="27">
        <f>D500*Variables!$C$9</f>
        <v>2.5742083054128062</v>
      </c>
      <c r="H500" s="28">
        <f t="shared" si="23"/>
        <v>2.514612000989358</v>
      </c>
      <c r="I500" s="28">
        <f t="shared" si="22"/>
        <v>5.959630442344821E-2</v>
      </c>
      <c r="J500" s="197">
        <f>VLOOKUP(A500,'Land costs'!$A$2:$F$96,5,FALSE)</f>
        <v>83219953.906071469</v>
      </c>
      <c r="K500" s="29">
        <f>I500*(J500+Variables!$C$10*Variables!$C$5)</f>
        <v>5224687.051722778</v>
      </c>
      <c r="L500" s="29">
        <f>(G500*Variables!$C$11+D500*Variables!$C$12)*Variables!$C$5</f>
        <v>4669599.5918781301</v>
      </c>
    </row>
    <row r="501" spans="1:12" x14ac:dyDescent="0.35">
      <c r="A501" s="96">
        <v>36</v>
      </c>
      <c r="B501" s="87" t="s">
        <v>94</v>
      </c>
      <c r="C501" s="87">
        <v>2030</v>
      </c>
      <c r="D501" s="97">
        <f>Population!O37</f>
        <v>1833842.7893285726</v>
      </c>
      <c r="E501" s="92" t="str">
        <f t="shared" si="21"/>
        <v>Large</v>
      </c>
      <c r="F501" s="119">
        <f>Area!Q37</f>
        <v>73.919265977395426</v>
      </c>
      <c r="G501" s="27">
        <f>D501*Variables!$C$9</f>
        <v>16.504585103957155</v>
      </c>
      <c r="H501" s="28">
        <f t="shared" si="23"/>
        <v>16.122482274061884</v>
      </c>
      <c r="I501" s="28">
        <f t="shared" si="22"/>
        <v>0.38210282989527045</v>
      </c>
      <c r="J501" s="197">
        <f>VLOOKUP(A501,'Land costs'!$A$2:$F$96,5,FALSE)</f>
        <v>115153966.74863443</v>
      </c>
      <c r="K501" s="29">
        <f>I501*(J501+Variables!$C$10*Variables!$C$5)</f>
        <v>45700256.255367771</v>
      </c>
      <c r="L501" s="29">
        <f>(G501*Variables!$C$11+D501*Variables!$C$12)*Variables!$C$5</f>
        <v>29939225.859655946</v>
      </c>
    </row>
    <row r="502" spans="1:12" x14ac:dyDescent="0.35">
      <c r="A502" s="96">
        <v>37</v>
      </c>
      <c r="B502" s="87" t="s">
        <v>95</v>
      </c>
      <c r="C502" s="87">
        <v>2030</v>
      </c>
      <c r="D502" s="97">
        <f>Population!O38</f>
        <v>305959.33996932383</v>
      </c>
      <c r="E502" s="92" t="str">
        <f t="shared" si="21"/>
        <v>Medium</v>
      </c>
      <c r="F502" s="119">
        <f>Area!Q38</f>
        <v>31.062440363328871</v>
      </c>
      <c r="G502" s="27">
        <f>D502*Variables!$C$9</f>
        <v>2.7536340597239146</v>
      </c>
      <c r="H502" s="28">
        <f t="shared" si="23"/>
        <v>2.6898838133475769</v>
      </c>
      <c r="I502" s="28">
        <f t="shared" si="22"/>
        <v>6.3750246376337749E-2</v>
      </c>
      <c r="J502" s="197">
        <f>VLOOKUP(A502,'Land costs'!$A$2:$F$96,5,FALSE)</f>
        <v>135804860.55953482</v>
      </c>
      <c r="K502" s="29">
        <f>I502*(J502+Variables!$C$10*Variables!$C$5)</f>
        <v>8941155.4666976519</v>
      </c>
      <c r="L502" s="29">
        <f>(G502*Variables!$C$11+D502*Variables!$C$12)*Variables!$C$5</f>
        <v>4995076.9152718242</v>
      </c>
    </row>
    <row r="503" spans="1:12" x14ac:dyDescent="0.35">
      <c r="A503" s="96">
        <v>38</v>
      </c>
      <c r="B503" s="87" t="s">
        <v>96</v>
      </c>
      <c r="C503" s="87">
        <v>2030</v>
      </c>
      <c r="D503" s="97">
        <f>Population!O39</f>
        <v>1345511.3517201177</v>
      </c>
      <c r="E503" s="92" t="str">
        <f t="shared" si="21"/>
        <v>Large</v>
      </c>
      <c r="F503" s="119">
        <f>Area!Q39</f>
        <v>124.95041800286431</v>
      </c>
      <c r="G503" s="27">
        <f>D503*Variables!$C$9</f>
        <v>12.109602165481061</v>
      </c>
      <c r="H503" s="28">
        <f t="shared" si="23"/>
        <v>11.829248965010313</v>
      </c>
      <c r="I503" s="28">
        <f t="shared" si="22"/>
        <v>0.28035320047074741</v>
      </c>
      <c r="J503" s="197">
        <f>VLOOKUP(A503,'Land costs'!$A$2:$F$96,5,FALSE)</f>
        <v>223708463.42310071</v>
      </c>
      <c r="K503" s="29">
        <f>I503*(J503+Variables!$C$10*Variables!$C$5)</f>
        <v>63964399.350896284</v>
      </c>
      <c r="L503" s="29">
        <f>(G503*Variables!$C$11+D503*Variables!$C$12)*Variables!$C$5</f>
        <v>21966751.179706443</v>
      </c>
    </row>
    <row r="504" spans="1:12" x14ac:dyDescent="0.35">
      <c r="A504" s="96">
        <v>39</v>
      </c>
      <c r="B504" s="87" t="s">
        <v>97</v>
      </c>
      <c r="C504" s="87">
        <v>2030</v>
      </c>
      <c r="D504" s="97">
        <f>Population!O40</f>
        <v>110768.77617745149</v>
      </c>
      <c r="E504" s="92" t="str">
        <f t="shared" si="21"/>
        <v>Medium</v>
      </c>
      <c r="F504" s="119">
        <f>Area!Q40</f>
        <v>29.777903355822797</v>
      </c>
      <c r="G504" s="27">
        <f>D504*Variables!$C$9</f>
        <v>0.99691898559706349</v>
      </c>
      <c r="H504" s="28">
        <f t="shared" si="23"/>
        <v>0.97383900126703449</v>
      </c>
      <c r="I504" s="28">
        <f t="shared" si="22"/>
        <v>2.3079984330029002E-2</v>
      </c>
      <c r="J504" s="197">
        <f>VLOOKUP(A504,'Land costs'!$A$2:$F$96,5,FALSE)</f>
        <v>399734297.50693494</v>
      </c>
      <c r="K504" s="29">
        <f>I504*(J504+Variables!$C$10*Variables!$C$5)</f>
        <v>9328521.4734515678</v>
      </c>
      <c r="L504" s="29">
        <f>(G504*Variables!$C$11+D504*Variables!$C$12)*Variables!$C$5</f>
        <v>1808405.5118970205</v>
      </c>
    </row>
    <row r="505" spans="1:12" x14ac:dyDescent="0.35">
      <c r="A505" s="96">
        <v>40</v>
      </c>
      <c r="B505" s="87" t="s">
        <v>98</v>
      </c>
      <c r="C505" s="87">
        <v>2030</v>
      </c>
      <c r="D505" s="97">
        <f>Population!O41</f>
        <v>197779.53814631575</v>
      </c>
      <c r="E505" s="92" t="str">
        <f t="shared" si="21"/>
        <v>Medium</v>
      </c>
      <c r="F505" s="119">
        <f>Area!Q41</f>
        <v>41.572288606560441</v>
      </c>
      <c r="G505" s="27">
        <f>D505*Variables!$C$9</f>
        <v>1.7800158433168418</v>
      </c>
      <c r="H505" s="28">
        <f t="shared" si="23"/>
        <v>1.7388061378498014</v>
      </c>
      <c r="I505" s="28">
        <f t="shared" si="22"/>
        <v>4.1209705467040392E-2</v>
      </c>
      <c r="J505" s="197">
        <f>VLOOKUP(A505,'Land costs'!$A$2:$F$96,5,FALSE)</f>
        <v>101660475.1170758</v>
      </c>
      <c r="K505" s="29">
        <f>I505*(J505+Variables!$C$10*Variables!$C$5)</f>
        <v>4372699.6865499774</v>
      </c>
      <c r="L505" s="29">
        <f>(G505*Variables!$C$11+D505*Variables!$C$12)*Variables!$C$5</f>
        <v>3228938.8694812735</v>
      </c>
    </row>
    <row r="506" spans="1:12" x14ac:dyDescent="0.35">
      <c r="A506" s="96">
        <v>41</v>
      </c>
      <c r="B506" s="87" t="s">
        <v>99</v>
      </c>
      <c r="C506" s="87">
        <v>2030</v>
      </c>
      <c r="D506" s="97">
        <f>Population!O42</f>
        <v>95194.355407502691</v>
      </c>
      <c r="E506" s="92" t="str">
        <f t="shared" si="21"/>
        <v>Small</v>
      </c>
      <c r="F506" s="119">
        <f>Area!Q42</f>
        <v>16.582205005987593</v>
      </c>
      <c r="G506" s="27">
        <f>D506*Variables!$C$9</f>
        <v>0.85674919866752419</v>
      </c>
      <c r="H506" s="28">
        <f t="shared" si="23"/>
        <v>0.83691432906859831</v>
      </c>
      <c r="I506" s="28">
        <f t="shared" si="22"/>
        <v>1.9834869598925886E-2</v>
      </c>
      <c r="J506" s="197">
        <f>VLOOKUP(A506,'Land costs'!$A$2:$F$96,5,FALSE)</f>
        <v>399734297.50693494</v>
      </c>
      <c r="K506" s="29">
        <f>I506*(J506+Variables!$C$10*Variables!$C$5)</f>
        <v>8016903.4922589697</v>
      </c>
      <c r="L506" s="29">
        <f>(G506*Variables!$C$11+D506*Variables!$C$12)*Variables!$C$5</f>
        <v>1554138.29565678</v>
      </c>
    </row>
    <row r="507" spans="1:12" x14ac:dyDescent="0.35">
      <c r="A507" s="96">
        <v>42</v>
      </c>
      <c r="B507" s="87" t="s">
        <v>100</v>
      </c>
      <c r="C507" s="87">
        <v>2030</v>
      </c>
      <c r="D507" s="97">
        <f>Population!O43</f>
        <v>117884.94438496316</v>
      </c>
      <c r="E507" s="92" t="str">
        <f t="shared" si="21"/>
        <v>Medium</v>
      </c>
      <c r="F507" s="119">
        <f>Area!Q43</f>
        <v>17.51641373871929</v>
      </c>
      <c r="G507" s="27">
        <f>D507*Variables!$C$9</f>
        <v>1.0609644994646685</v>
      </c>
      <c r="H507" s="28">
        <f t="shared" si="23"/>
        <v>1.0364017773416707</v>
      </c>
      <c r="I507" s="28">
        <f t="shared" si="22"/>
        <v>2.4562722122997815E-2</v>
      </c>
      <c r="J507" s="197">
        <f>VLOOKUP(A507,'Land costs'!$A$2:$F$96,5,FALSE)</f>
        <v>189319723.52178472</v>
      </c>
      <c r="K507" s="29">
        <f>I507*(J507+Variables!$C$10*Variables!$C$5)</f>
        <v>4759463.1542335404</v>
      </c>
      <c r="L507" s="29">
        <f>(G507*Variables!$C$11+D507*Variables!$C$12)*Variables!$C$5</f>
        <v>1924583.7189166094</v>
      </c>
    </row>
    <row r="508" spans="1:12" ht="16" x14ac:dyDescent="0.5">
      <c r="D508" s="94"/>
      <c r="E508" s="94"/>
      <c r="K508" s="116">
        <f>SUM(K4:K507)</f>
        <v>127658470990.12506</v>
      </c>
      <c r="L508" s="116">
        <f>SUM(L4:L507)</f>
        <v>18743538593.287079</v>
      </c>
    </row>
    <row r="509" spans="1:12" x14ac:dyDescent="0.35">
      <c r="D509" s="94"/>
      <c r="E509" s="94"/>
    </row>
    <row r="510" spans="1:12" x14ac:dyDescent="0.35">
      <c r="D510" s="94"/>
      <c r="E510" s="94"/>
    </row>
    <row r="511" spans="1:12" x14ac:dyDescent="0.35">
      <c r="D511" s="94"/>
      <c r="E511" s="94"/>
    </row>
    <row r="512" spans="1:12" x14ac:dyDescent="0.35">
      <c r="D512" s="94"/>
      <c r="E512" s="94"/>
    </row>
    <row r="513" spans="4:5" x14ac:dyDescent="0.35">
      <c r="D513" s="94"/>
      <c r="E513" s="94"/>
    </row>
    <row r="514" spans="4:5" x14ac:dyDescent="0.35">
      <c r="D514" s="94"/>
      <c r="E514" s="94"/>
    </row>
    <row r="515" spans="4:5" x14ac:dyDescent="0.35">
      <c r="D515" s="94"/>
      <c r="E515" s="94"/>
    </row>
    <row r="516" spans="4:5" x14ac:dyDescent="0.35">
      <c r="D516" s="94"/>
      <c r="E516" s="94"/>
    </row>
    <row r="517" spans="4:5" x14ac:dyDescent="0.35">
      <c r="D517" s="94"/>
      <c r="E517" s="94"/>
    </row>
    <row r="518" spans="4:5" x14ac:dyDescent="0.35">
      <c r="D518" s="94"/>
      <c r="E518" s="94"/>
    </row>
    <row r="519" spans="4:5" x14ac:dyDescent="0.35">
      <c r="D519" s="94"/>
      <c r="E519" s="94"/>
    </row>
    <row r="520" spans="4:5" x14ac:dyDescent="0.35">
      <c r="D520" s="94"/>
      <c r="E520" s="94"/>
    </row>
    <row r="521" spans="4:5" x14ac:dyDescent="0.35">
      <c r="D521" s="94"/>
      <c r="E521" s="94"/>
    </row>
    <row r="522" spans="4:5" x14ac:dyDescent="0.35">
      <c r="D522" s="94"/>
      <c r="E522" s="94"/>
    </row>
    <row r="523" spans="4:5" x14ac:dyDescent="0.35">
      <c r="D523" s="94"/>
      <c r="E523" s="94"/>
    </row>
    <row r="524" spans="4:5" x14ac:dyDescent="0.35">
      <c r="D524" s="94"/>
      <c r="E524" s="94"/>
    </row>
    <row r="525" spans="4:5" x14ac:dyDescent="0.35">
      <c r="D525" s="94"/>
      <c r="E525" s="94"/>
    </row>
    <row r="526" spans="4:5" x14ac:dyDescent="0.35">
      <c r="D526" s="94"/>
      <c r="E526" s="94"/>
    </row>
    <row r="527" spans="4:5" x14ac:dyDescent="0.35">
      <c r="D527" s="94"/>
      <c r="E527" s="94"/>
    </row>
    <row r="528" spans="4:5" x14ac:dyDescent="0.35">
      <c r="D528" s="94"/>
      <c r="E528" s="94"/>
    </row>
    <row r="529" spans="4:5" x14ac:dyDescent="0.35">
      <c r="D529" s="94"/>
      <c r="E529" s="94"/>
    </row>
    <row r="530" spans="4:5" x14ac:dyDescent="0.35">
      <c r="D530" s="94"/>
      <c r="E530" s="94"/>
    </row>
    <row r="531" spans="4:5" x14ac:dyDescent="0.35">
      <c r="D531" s="94"/>
      <c r="E531" s="94"/>
    </row>
    <row r="532" spans="4:5" x14ac:dyDescent="0.35">
      <c r="D532" s="94"/>
      <c r="E532" s="94"/>
    </row>
    <row r="533" spans="4:5" x14ac:dyDescent="0.35">
      <c r="D533" s="94"/>
      <c r="E533" s="94"/>
    </row>
    <row r="534" spans="4:5" x14ac:dyDescent="0.35">
      <c r="D534" s="94"/>
      <c r="E534" s="94"/>
    </row>
    <row r="535" spans="4:5" x14ac:dyDescent="0.35">
      <c r="D535" s="94"/>
      <c r="E535" s="94"/>
    </row>
    <row r="536" spans="4:5" x14ac:dyDescent="0.35">
      <c r="D536" s="94"/>
      <c r="E536" s="94"/>
    </row>
    <row r="537" spans="4:5" x14ac:dyDescent="0.35">
      <c r="D537" s="94"/>
      <c r="E537" s="94"/>
    </row>
    <row r="538" spans="4:5" x14ac:dyDescent="0.35">
      <c r="D538" s="94"/>
      <c r="E538" s="94"/>
    </row>
    <row r="539" spans="4:5" x14ac:dyDescent="0.35">
      <c r="D539" s="94"/>
      <c r="E539" s="94"/>
    </row>
    <row r="540" spans="4:5" x14ac:dyDescent="0.35">
      <c r="D540" s="94"/>
      <c r="E540" s="94"/>
    </row>
    <row r="541" spans="4:5" x14ac:dyDescent="0.35">
      <c r="D541" s="94"/>
      <c r="E541" s="94"/>
    </row>
    <row r="542" spans="4:5" x14ac:dyDescent="0.35">
      <c r="D542" s="94"/>
      <c r="E542" s="94"/>
    </row>
    <row r="543" spans="4:5" x14ac:dyDescent="0.35">
      <c r="D543" s="94"/>
      <c r="E543" s="94"/>
    </row>
    <row r="544" spans="4:5" x14ac:dyDescent="0.35">
      <c r="D544" s="94"/>
      <c r="E544" s="94"/>
    </row>
    <row r="545" spans="4:5" x14ac:dyDescent="0.35">
      <c r="D545" s="94"/>
      <c r="E545" s="94"/>
    </row>
    <row r="546" spans="4:5" x14ac:dyDescent="0.35">
      <c r="D546" s="94"/>
      <c r="E546" s="94"/>
    </row>
    <row r="547" spans="4:5" x14ac:dyDescent="0.35">
      <c r="D547" s="94"/>
      <c r="E547" s="94"/>
    </row>
    <row r="548" spans="4:5" x14ac:dyDescent="0.35">
      <c r="D548" s="94"/>
      <c r="E548" s="94"/>
    </row>
    <row r="549" spans="4:5" x14ac:dyDescent="0.35">
      <c r="D549" s="94"/>
      <c r="E549" s="94"/>
    </row>
    <row r="550" spans="4:5" x14ac:dyDescent="0.35">
      <c r="D550" s="94"/>
      <c r="E550" s="94"/>
    </row>
    <row r="551" spans="4:5" x14ac:dyDescent="0.35">
      <c r="D551" s="94"/>
      <c r="E551" s="94"/>
    </row>
    <row r="552" spans="4:5" x14ac:dyDescent="0.35">
      <c r="D552" s="94"/>
      <c r="E552" s="94"/>
    </row>
    <row r="553" spans="4:5" x14ac:dyDescent="0.35">
      <c r="D553" s="94"/>
      <c r="E553" s="94"/>
    </row>
    <row r="554" spans="4:5" x14ac:dyDescent="0.35">
      <c r="D554" s="94"/>
      <c r="E554" s="94"/>
    </row>
    <row r="555" spans="4:5" x14ac:dyDescent="0.35">
      <c r="D555" s="94"/>
      <c r="E555" s="94"/>
    </row>
    <row r="556" spans="4:5" x14ac:dyDescent="0.35">
      <c r="D556" s="94"/>
      <c r="E556" s="94"/>
    </row>
    <row r="557" spans="4:5" x14ac:dyDescent="0.35">
      <c r="D557" s="94"/>
      <c r="E557" s="94"/>
    </row>
    <row r="558" spans="4:5" x14ac:dyDescent="0.35">
      <c r="D558" s="94"/>
      <c r="E558" s="94"/>
    </row>
    <row r="559" spans="4:5" x14ac:dyDescent="0.35">
      <c r="D559" s="94"/>
      <c r="E559" s="94"/>
    </row>
    <row r="560" spans="4:5" x14ac:dyDescent="0.35">
      <c r="D560" s="94"/>
      <c r="E560" s="94"/>
    </row>
    <row r="561" spans="4:5" x14ac:dyDescent="0.35">
      <c r="D561" s="94"/>
      <c r="E561" s="94"/>
    </row>
    <row r="562" spans="4:5" x14ac:dyDescent="0.35">
      <c r="D562" s="94"/>
      <c r="E562" s="94"/>
    </row>
    <row r="563" spans="4:5" x14ac:dyDescent="0.35">
      <c r="D563" s="94"/>
      <c r="E563" s="94"/>
    </row>
    <row r="564" spans="4:5" x14ac:dyDescent="0.35">
      <c r="D564" s="94"/>
      <c r="E564" s="94"/>
    </row>
    <row r="565" spans="4:5" x14ac:dyDescent="0.35">
      <c r="D565" s="94"/>
      <c r="E565" s="94"/>
    </row>
    <row r="566" spans="4:5" x14ac:dyDescent="0.35">
      <c r="D566" s="94"/>
      <c r="E566" s="94"/>
    </row>
    <row r="567" spans="4:5" x14ac:dyDescent="0.35">
      <c r="D567" s="94"/>
      <c r="E567" s="94"/>
    </row>
    <row r="568" spans="4:5" x14ac:dyDescent="0.35">
      <c r="D568" s="92"/>
    </row>
  </sheetData>
  <mergeCells count="2">
    <mergeCell ref="G1:L1"/>
    <mergeCell ref="G2:K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29482AF7-40A4-43C8-AA32-433E09389BFC}">
            <xm:f>'Land costs'!$L$4</xm:f>
            <x14:dxf>
              <font>
                <color rgb="FFFF0000"/>
              </font>
            </x14:dxf>
          </x14:cfRule>
          <x14:cfRule type="cellIs" priority="2" operator="equal" id="{C353045B-2381-4C04-AAB1-F3B8285494CE}">
            <xm:f>'Land costs'!$L$5</xm:f>
            <x14:dxf>
              <font>
                <color rgb="FFFF0000"/>
              </font>
            </x14:dxf>
          </x14:cfRule>
          <x14:cfRule type="cellIs" priority="1" operator="equal" id="{8A301D30-80A1-4697-B20F-021A15AB94E1}">
            <xm:f>'Land costs'!$L$6</xm:f>
            <x14:dxf>
              <font>
                <color rgb="FFFF0000"/>
              </font>
            </x14:dxf>
          </x14:cfRule>
          <xm:sqref>G1:L1048576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N14"/>
  <sheetViews>
    <sheetView zoomScale="90" zoomScaleNormal="90" workbookViewId="0">
      <selection activeCell="A12" sqref="A12"/>
    </sheetView>
  </sheetViews>
  <sheetFormatPr defaultRowHeight="14.5" x14ac:dyDescent="0.35"/>
  <cols>
    <col min="1" max="1" width="82.54296875" bestFit="1" customWidth="1"/>
    <col min="2" max="2" width="16.26953125" bestFit="1" customWidth="1"/>
    <col min="3" max="3" width="18.453125" style="9" bestFit="1" customWidth="1"/>
    <col min="4" max="4" width="9.54296875" style="9" bestFit="1" customWidth="1"/>
    <col min="5" max="5" width="15.26953125" style="1" customWidth="1"/>
    <col min="6" max="6" width="206" bestFit="1" customWidth="1"/>
  </cols>
  <sheetData>
    <row r="1" spans="1:14" s="32" customFormat="1" ht="29" x14ac:dyDescent="0.35">
      <c r="A1" s="30" t="s">
        <v>2</v>
      </c>
      <c r="B1" s="30" t="s">
        <v>3</v>
      </c>
      <c r="C1" s="30" t="s">
        <v>114</v>
      </c>
      <c r="D1" s="104" t="s">
        <v>0</v>
      </c>
      <c r="E1" s="30" t="s">
        <v>4</v>
      </c>
      <c r="F1" s="31" t="s">
        <v>5</v>
      </c>
      <c r="G1" s="23"/>
      <c r="H1" s="23"/>
      <c r="I1" s="23"/>
      <c r="J1" s="23"/>
    </row>
    <row r="2" spans="1:14" x14ac:dyDescent="0.35">
      <c r="A2" s="11" t="s">
        <v>58</v>
      </c>
      <c r="B2" s="14" t="s">
        <v>7</v>
      </c>
      <c r="C2" s="15">
        <v>1.02</v>
      </c>
      <c r="D2" s="103"/>
      <c r="E2" s="12" t="s">
        <v>8</v>
      </c>
      <c r="F2" s="12"/>
      <c r="G2" s="12"/>
      <c r="H2" s="12"/>
      <c r="I2" s="12"/>
      <c r="J2" s="12"/>
    </row>
    <row r="3" spans="1:14" x14ac:dyDescent="0.35">
      <c r="A3" s="11" t="s">
        <v>57</v>
      </c>
      <c r="B3" s="14" t="s">
        <v>7</v>
      </c>
      <c r="C3" s="15">
        <v>1.39</v>
      </c>
      <c r="D3" s="103"/>
      <c r="E3" s="12" t="s">
        <v>8</v>
      </c>
      <c r="F3" s="12"/>
      <c r="G3" s="12"/>
      <c r="H3" s="12"/>
      <c r="I3" s="12"/>
      <c r="J3" s="12"/>
    </row>
    <row r="4" spans="1:14" x14ac:dyDescent="0.35">
      <c r="A4" s="16" t="s">
        <v>122</v>
      </c>
      <c r="B4" s="17" t="s">
        <v>7</v>
      </c>
      <c r="C4" s="117">
        <v>0.45200000000000001</v>
      </c>
      <c r="D4" s="103"/>
      <c r="E4" s="12" t="s">
        <v>8</v>
      </c>
      <c r="F4" s="16"/>
      <c r="G4" s="16"/>
      <c r="H4" s="16"/>
      <c r="I4" s="16"/>
      <c r="J4" s="16"/>
    </row>
    <row r="5" spans="1:14" x14ac:dyDescent="0.35">
      <c r="A5" s="11" t="s">
        <v>121</v>
      </c>
      <c r="B5" s="14" t="s">
        <v>7</v>
      </c>
      <c r="C5" s="150">
        <v>0.25900000000000001</v>
      </c>
      <c r="D5" s="103"/>
      <c r="E5" s="149" t="s">
        <v>9</v>
      </c>
      <c r="F5" s="12"/>
      <c r="G5" s="12"/>
      <c r="H5" s="12"/>
      <c r="I5" s="12"/>
      <c r="J5" s="12"/>
    </row>
    <row r="6" spans="1:14" x14ac:dyDescent="0.35">
      <c r="A6" s="11" t="s">
        <v>123</v>
      </c>
      <c r="B6" s="14" t="s">
        <v>7</v>
      </c>
      <c r="C6" s="14">
        <v>2955.7040000000002</v>
      </c>
      <c r="D6" s="103"/>
      <c r="E6" s="13" t="s">
        <v>10</v>
      </c>
      <c r="F6" s="11"/>
      <c r="G6" s="12"/>
      <c r="H6" s="12"/>
      <c r="I6" s="12"/>
      <c r="J6" s="12"/>
    </row>
    <row r="7" spans="1:14" s="86" customFormat="1" x14ac:dyDescent="0.35">
      <c r="A7" s="86" t="s">
        <v>115</v>
      </c>
      <c r="B7" s="86" t="s">
        <v>7</v>
      </c>
      <c r="C7" s="107">
        <v>2.3699999999999999E-2</v>
      </c>
      <c r="D7" s="108"/>
      <c r="E7" s="86" t="s">
        <v>116</v>
      </c>
      <c r="G7" s="109"/>
      <c r="H7" s="109"/>
      <c r="I7" s="110"/>
      <c r="J7" s="110"/>
      <c r="K7" s="109"/>
      <c r="L7" s="109"/>
      <c r="M7" s="111"/>
      <c r="N7" s="109"/>
    </row>
    <row r="8" spans="1:14" x14ac:dyDescent="0.35">
      <c r="A8" s="11"/>
      <c r="B8" s="14"/>
      <c r="C8" s="14"/>
      <c r="D8" s="103"/>
      <c r="E8" s="11"/>
      <c r="F8" s="11"/>
      <c r="G8" s="12"/>
      <c r="H8" s="12"/>
      <c r="I8" s="12"/>
      <c r="J8" s="12"/>
    </row>
    <row r="9" spans="1:14" x14ac:dyDescent="0.35">
      <c r="A9" s="11" t="s">
        <v>24</v>
      </c>
      <c r="B9" s="14" t="s">
        <v>6</v>
      </c>
      <c r="C9" s="18">
        <f>9/(10^6)</f>
        <v>9.0000000000000002E-6</v>
      </c>
      <c r="D9" s="105"/>
      <c r="E9" s="11" t="s">
        <v>25</v>
      </c>
      <c r="F9" s="11"/>
      <c r="G9" s="12"/>
      <c r="H9" s="12"/>
      <c r="I9" s="12"/>
      <c r="J9" s="12"/>
    </row>
    <row r="10" spans="1:14" x14ac:dyDescent="0.35">
      <c r="A10" s="11" t="s">
        <v>26</v>
      </c>
      <c r="B10" s="11" t="s">
        <v>27</v>
      </c>
      <c r="C10" s="19">
        <f>'Capital costs &amp; Budget'!D3</f>
        <v>17173808.829561684</v>
      </c>
      <c r="D10" s="106">
        <v>2003</v>
      </c>
      <c r="E10" s="12" t="s">
        <v>124</v>
      </c>
      <c r="F10" s="12"/>
      <c r="G10" s="10"/>
      <c r="H10" s="10"/>
      <c r="I10" s="10"/>
      <c r="J10" s="10"/>
    </row>
    <row r="11" spans="1:14" x14ac:dyDescent="0.35">
      <c r="A11" s="16" t="s">
        <v>28</v>
      </c>
      <c r="B11" s="16" t="s">
        <v>14</v>
      </c>
      <c r="C11" s="20">
        <f>'Capital costs &amp; Budget'!D6</f>
        <v>6182571.1786422059</v>
      </c>
      <c r="D11" s="106">
        <v>2003</v>
      </c>
      <c r="E11" s="12" t="s">
        <v>124</v>
      </c>
      <c r="F11" s="12"/>
      <c r="G11" s="12"/>
      <c r="H11" s="12"/>
      <c r="I11" s="12"/>
      <c r="J11" s="12"/>
    </row>
    <row r="12" spans="1:14" x14ac:dyDescent="0.35">
      <c r="A12" s="10" t="s">
        <v>29</v>
      </c>
      <c r="B12" s="21" t="s">
        <v>30</v>
      </c>
      <c r="C12" s="20">
        <f>'Capital costs &amp; Budget'!E18</f>
        <v>7.3914157414704373</v>
      </c>
      <c r="D12" s="106">
        <v>2018</v>
      </c>
      <c r="E12" s="22" t="s">
        <v>31</v>
      </c>
      <c r="F12" s="11"/>
      <c r="G12" s="12"/>
      <c r="H12" s="12"/>
      <c r="I12" s="12"/>
      <c r="J12" s="12"/>
    </row>
    <row r="14" spans="1:14" s="10" customFormat="1" ht="14.25" customHeight="1" x14ac:dyDescent="0.35">
      <c r="A14" s="113" t="s">
        <v>130</v>
      </c>
      <c r="B14" s="10" t="s">
        <v>133</v>
      </c>
      <c r="C14" s="120">
        <v>-1.4E-2</v>
      </c>
      <c r="D14" s="113" t="s">
        <v>131</v>
      </c>
      <c r="E14" s="121" t="s">
        <v>132</v>
      </c>
    </row>
  </sheetData>
  <hyperlinks>
    <hyperlink ref="E6" r:id="rId1" xr:uid="{00000000-0004-0000-0200-000005000000}"/>
    <hyperlink ref="E12" r:id="rId2" xr:uid="{00000000-0004-0000-0200-000006000000}"/>
    <hyperlink ref="E13" r:id="rId3" display="https://www.idu.gov.co/Archivos_Portal/2019/Transparencia/Presupuesto/Ejecuciones%20Presupuestales/01_Enero/PRESUPUESTO_IDU_VIGENCIA_2019.pdf" xr:uid="{00000000-0004-0000-0200-000007000000}"/>
    <hyperlink ref="E14" r:id="rId4" xr:uid="{E7E9E25E-A9E9-417B-95FF-E5886E3FF958}"/>
    <hyperlink ref="E5" r:id="rId5" xr:uid="{F4F59DB4-E50A-4E4B-8AB0-B4012099A8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7A82-0B39-43E2-B18F-65D2B40A6708}">
  <dimension ref="A1:Q113"/>
  <sheetViews>
    <sheetView workbookViewId="0">
      <pane xSplit="1" topLeftCell="B1" activePane="topRight" state="frozen"/>
      <selection pane="topRight" activeCell="K8" sqref="K8"/>
    </sheetView>
  </sheetViews>
  <sheetFormatPr defaultColWidth="9.6328125" defaultRowHeight="14.5" x14ac:dyDescent="0.35"/>
  <cols>
    <col min="1" max="1" width="3.7265625" style="151" bestFit="1" customWidth="1"/>
    <col min="2" max="2" width="18.7265625" style="152" bestFit="1" customWidth="1"/>
    <col min="3" max="3" width="11" style="153" bestFit="1" customWidth="1"/>
    <col min="4" max="4" width="11" style="153" customWidth="1"/>
    <col min="5" max="5" width="18.81640625" style="189" bestFit="1" customWidth="1"/>
    <col min="6" max="6" width="17.7265625" style="188" customWidth="1"/>
    <col min="7" max="7" width="19.81640625" style="114" customWidth="1"/>
    <col min="8" max="8" width="17.1796875" style="114" bestFit="1" customWidth="1"/>
    <col min="9" max="9" width="8.26953125" style="11" customWidth="1"/>
    <col min="10" max="10" width="2.6328125" style="11" bestFit="1" customWidth="1"/>
    <col min="11" max="11" width="18.08984375" style="11" bestFit="1" customWidth="1"/>
    <col min="12" max="12" width="15.6328125" style="11" bestFit="1" customWidth="1"/>
    <col min="13" max="13" width="9.6328125" style="11"/>
    <col min="14" max="14" width="13.6328125" style="11" bestFit="1" customWidth="1"/>
    <col min="15" max="16384" width="9.6328125" style="11"/>
  </cols>
  <sheetData>
    <row r="1" spans="1:12" s="160" customFormat="1" ht="44" thickBot="1" x14ac:dyDescent="0.4">
      <c r="A1" s="157" t="s">
        <v>101</v>
      </c>
      <c r="B1" s="158" t="s">
        <v>1</v>
      </c>
      <c r="C1" s="159" t="s">
        <v>118</v>
      </c>
      <c r="D1" s="159" t="s">
        <v>108</v>
      </c>
      <c r="E1" s="187" t="s">
        <v>120</v>
      </c>
      <c r="F1" s="187" t="s">
        <v>152</v>
      </c>
      <c r="G1" s="112" t="s">
        <v>139</v>
      </c>
      <c r="H1" s="112" t="s">
        <v>140</v>
      </c>
      <c r="I1" s="160" t="s">
        <v>4</v>
      </c>
      <c r="K1" s="153"/>
      <c r="L1" s="161"/>
    </row>
    <row r="2" spans="1:12" ht="15" thickBot="1" x14ac:dyDescent="0.4">
      <c r="A2" s="151">
        <v>1</v>
      </c>
      <c r="B2" s="152" t="s">
        <v>59</v>
      </c>
      <c r="C2" s="162">
        <f>Population!D2</f>
        <v>482442.94573535857</v>
      </c>
      <c r="D2" s="162" t="str">
        <f>IF(C2&lt;100000,"Small",IF(C2&lt;1000000,"Medium","Large"))</f>
        <v>Medium</v>
      </c>
      <c r="E2" s="188">
        <f>AVERAGE(F2:F3)</f>
        <v>349411907.96390015</v>
      </c>
      <c r="F2" s="188">
        <f>G2/$L$13</f>
        <v>349411907.96390015</v>
      </c>
      <c r="G2" s="114">
        <f>H2*$L$12</f>
        <v>24916458333.333332</v>
      </c>
      <c r="H2" s="114">
        <f>(40*10^5)/1728</f>
        <v>2314.8148148148148</v>
      </c>
      <c r="I2" s="115" t="s">
        <v>141</v>
      </c>
      <c r="J2" s="11" t="s">
        <v>119</v>
      </c>
      <c r="K2" s="202" t="s">
        <v>249</v>
      </c>
      <c r="L2" s="203"/>
    </row>
    <row r="3" spans="1:12" ht="15" thickBot="1" x14ac:dyDescent="0.4">
      <c r="C3" s="162"/>
      <c r="D3" s="162"/>
      <c r="E3" s="188"/>
      <c r="F3" s="188">
        <f>G3/$L$13</f>
        <v>349411907.96390015</v>
      </c>
      <c r="G3" s="114">
        <f>H3*$L$12</f>
        <v>24916458333.333332</v>
      </c>
      <c r="H3" s="114">
        <f>(40*10^5)/1728</f>
        <v>2314.8148148148148</v>
      </c>
      <c r="I3" s="115" t="s">
        <v>142</v>
      </c>
      <c r="J3" s="11" t="s">
        <v>119</v>
      </c>
      <c r="K3" s="192" t="s">
        <v>108</v>
      </c>
      <c r="L3" s="193" t="s">
        <v>253</v>
      </c>
    </row>
    <row r="4" spans="1:12" x14ac:dyDescent="0.35">
      <c r="A4" s="151">
        <v>2</v>
      </c>
      <c r="B4" s="152" t="s">
        <v>60</v>
      </c>
      <c r="C4" s="162">
        <f>Population!D3</f>
        <v>353887.65953811951</v>
      </c>
      <c r="D4" s="162" t="str">
        <f>IF(C4&lt;100000,"Small",IF(C4&lt;1000000,"Medium","Large"))</f>
        <v>Medium</v>
      </c>
      <c r="E4" s="190">
        <f>$L$5</f>
        <v>207178319.55590102</v>
      </c>
      <c r="F4" s="190"/>
      <c r="G4" s="165"/>
      <c r="H4" s="165"/>
      <c r="I4" s="16"/>
      <c r="J4" s="11" t="s">
        <v>119</v>
      </c>
      <c r="K4" s="154" t="s">
        <v>250</v>
      </c>
      <c r="L4" s="194">
        <f>AVERAGE(E5,E11,E13,E24,E33,E36,E42,E46,E54,E63,E66,E83,E89)</f>
        <v>258664564.88983455</v>
      </c>
    </row>
    <row r="5" spans="1:12" x14ac:dyDescent="0.35">
      <c r="A5" s="151">
        <v>3</v>
      </c>
      <c r="B5" s="152" t="s">
        <v>61</v>
      </c>
      <c r="C5" s="162">
        <f>Population!D4</f>
        <v>10183876.760812402</v>
      </c>
      <c r="D5" s="162" t="str">
        <f>IF(C5&lt;100000,"Small",IF(C5&lt;1000000,"Medium","Large"))</f>
        <v>Large</v>
      </c>
      <c r="E5" s="188">
        <f>AVERAGE(F5:F8)</f>
        <v>623490608.57078338</v>
      </c>
      <c r="F5" s="188">
        <f t="shared" ref="F5:F14" si="0">G5/$L$13</f>
        <v>214678676.25302026</v>
      </c>
      <c r="G5" s="114">
        <f t="shared" ref="G5:G14" si="1">H5*$L$12</f>
        <v>15308672000</v>
      </c>
      <c r="H5" s="114">
        <f>(19.2*10^5)/1350</f>
        <v>1422.2222222222222</v>
      </c>
      <c r="I5" s="149" t="s">
        <v>143</v>
      </c>
      <c r="J5" s="11" t="s">
        <v>119</v>
      </c>
      <c r="K5" s="154" t="s">
        <v>251</v>
      </c>
      <c r="L5" s="194">
        <f>AVERAGE(E2,E16,E21,E27,F32,E59,F62,F70:F71,E74,E79,E81,E87,E93)</f>
        <v>207178319.55590102</v>
      </c>
    </row>
    <row r="6" spans="1:12" ht="15" thickBot="1" x14ac:dyDescent="0.4">
      <c r="C6" s="162"/>
      <c r="D6" s="162"/>
      <c r="E6" s="188"/>
      <c r="F6" s="188">
        <f t="shared" si="0"/>
        <v>347175671.75293118</v>
      </c>
      <c r="G6" s="114">
        <f t="shared" si="1"/>
        <v>24756993000</v>
      </c>
      <c r="H6" s="114">
        <f>(27.6*10^5)/1200</f>
        <v>2300</v>
      </c>
      <c r="I6" s="149" t="s">
        <v>144</v>
      </c>
      <c r="J6" s="11" t="s">
        <v>119</v>
      </c>
      <c r="K6" s="156" t="s">
        <v>252</v>
      </c>
      <c r="L6" s="195">
        <f>AVERAGE(E51,E96,F92)</f>
        <v>399734297.50693494</v>
      </c>
    </row>
    <row r="7" spans="1:12" x14ac:dyDescent="0.35">
      <c r="C7" s="162"/>
      <c r="D7" s="162"/>
      <c r="E7" s="188"/>
      <c r="F7" s="188">
        <f t="shared" si="0"/>
        <v>347175671.75293118</v>
      </c>
      <c r="G7" s="114">
        <f t="shared" si="1"/>
        <v>24756993000</v>
      </c>
      <c r="H7" s="114">
        <f>(61.64*10^5)/2680</f>
        <v>2300</v>
      </c>
      <c r="I7" s="149" t="s">
        <v>144</v>
      </c>
      <c r="J7" s="11" t="s">
        <v>119</v>
      </c>
      <c r="K7" s="155"/>
    </row>
    <row r="8" spans="1:12" x14ac:dyDescent="0.35">
      <c r="C8" s="162"/>
      <c r="D8" s="162"/>
      <c r="E8" s="188"/>
      <c r="F8" s="188">
        <f t="shared" si="0"/>
        <v>1584932414.5242512</v>
      </c>
      <c r="G8" s="114">
        <f t="shared" si="1"/>
        <v>113021055000</v>
      </c>
      <c r="H8" s="114">
        <f>(6.3*10^7)/6000</f>
        <v>10500</v>
      </c>
      <c r="I8" s="149" t="s">
        <v>145</v>
      </c>
      <c r="J8" s="11" t="s">
        <v>119</v>
      </c>
      <c r="K8" s="155"/>
    </row>
    <row r="9" spans="1:12" x14ac:dyDescent="0.35">
      <c r="A9" s="151">
        <v>4</v>
      </c>
      <c r="B9" s="152" t="s">
        <v>62</v>
      </c>
      <c r="C9" s="162">
        <f>Population!D5</f>
        <v>2168822.2842630199</v>
      </c>
      <c r="D9" s="162" t="str">
        <f>IF(C9&lt;100000,"Small",IF(C9&lt;1000000,"Medium","Large"))</f>
        <v>Large</v>
      </c>
      <c r="E9" s="190">
        <f>$L$4</f>
        <v>258664564.88983455</v>
      </c>
      <c r="F9" s="188">
        <f t="shared" si="0"/>
        <v>392399763.10444355</v>
      </c>
      <c r="G9" s="114">
        <f t="shared" si="1"/>
        <v>27981909387.048939</v>
      </c>
      <c r="H9" s="114">
        <f>(52.59*10^5)/2023</f>
        <v>2599.6045477014336</v>
      </c>
      <c r="I9" s="149" t="s">
        <v>146</v>
      </c>
      <c r="J9" s="11" t="s">
        <v>119</v>
      </c>
      <c r="K9" s="191"/>
    </row>
    <row r="10" spans="1:12" x14ac:dyDescent="0.35">
      <c r="A10" s="151">
        <v>5</v>
      </c>
      <c r="B10" s="152" t="s">
        <v>63</v>
      </c>
      <c r="C10" s="162">
        <f>Population!D6</f>
        <v>1017223.1910658216</v>
      </c>
      <c r="D10" s="162" t="str">
        <f t="shared" ref="D10:D73" si="2">IF(C10&lt;100000,"Small",IF(C10&lt;1000000,"Medium","Large"))</f>
        <v>Large</v>
      </c>
      <c r="E10" s="190">
        <f>$L$4</f>
        <v>258664564.88983455</v>
      </c>
      <c r="F10" s="188">
        <f t="shared" si="0"/>
        <v>150945944.24040487</v>
      </c>
      <c r="G10" s="114">
        <f t="shared" si="1"/>
        <v>10763910000</v>
      </c>
      <c r="H10" s="114">
        <f>(15*10^5)/1500</f>
        <v>1000</v>
      </c>
      <c r="I10" s="149" t="s">
        <v>147</v>
      </c>
      <c r="J10" s="11" t="s">
        <v>119</v>
      </c>
      <c r="K10" s="155"/>
    </row>
    <row r="11" spans="1:12" x14ac:dyDescent="0.35">
      <c r="A11" s="151">
        <v>6</v>
      </c>
      <c r="B11" s="152" t="s">
        <v>64</v>
      </c>
      <c r="C11" s="162">
        <f>Population!D7</f>
        <v>1159765.5644964206</v>
      </c>
      <c r="D11" s="162" t="str">
        <f t="shared" si="2"/>
        <v>Large</v>
      </c>
      <c r="E11" s="188">
        <f>AVERAGE(F11:F12)</f>
        <v>421303330.51817626</v>
      </c>
      <c r="F11" s="188">
        <f t="shared" si="0"/>
        <v>273824842.1594646</v>
      </c>
      <c r="G11" s="114">
        <f t="shared" si="1"/>
        <v>19526367346.938774</v>
      </c>
      <c r="H11" s="114">
        <f>(24*10^5)/1323</f>
        <v>1814.0589569160998</v>
      </c>
      <c r="I11" s="149" t="s">
        <v>148</v>
      </c>
      <c r="J11" s="11" t="s">
        <v>119</v>
      </c>
      <c r="K11" s="16"/>
      <c r="L11" s="16"/>
    </row>
    <row r="12" spans="1:12" x14ac:dyDescent="0.35">
      <c r="C12" s="162"/>
      <c r="D12" s="162"/>
      <c r="E12" s="188"/>
      <c r="F12" s="188">
        <f t="shared" si="0"/>
        <v>568781818.87688792</v>
      </c>
      <c r="G12" s="114">
        <f t="shared" si="1"/>
        <v>40559660869.565216</v>
      </c>
      <c r="H12" s="114">
        <f>(39*10^5)/1035</f>
        <v>3768.1159420289855</v>
      </c>
      <c r="I12" s="149" t="s">
        <v>149</v>
      </c>
      <c r="J12" s="11" t="s">
        <v>119</v>
      </c>
      <c r="K12" s="168" t="s">
        <v>137</v>
      </c>
      <c r="L12" s="169">
        <v>10763910</v>
      </c>
    </row>
    <row r="13" spans="1:12" x14ac:dyDescent="0.35">
      <c r="A13" s="151">
        <v>7</v>
      </c>
      <c r="B13" s="152" t="s">
        <v>65</v>
      </c>
      <c r="C13" s="162">
        <f>Population!D8</f>
        <v>5604401.6412904728</v>
      </c>
      <c r="D13" s="162" t="str">
        <f t="shared" si="2"/>
        <v>Large</v>
      </c>
      <c r="E13" s="188">
        <f>AVERAGE(F13:F14)</f>
        <v>368904372.20152247</v>
      </c>
      <c r="F13" s="188">
        <f t="shared" si="0"/>
        <v>587012005.37935221</v>
      </c>
      <c r="G13" s="114">
        <f t="shared" si="1"/>
        <v>41859650000</v>
      </c>
      <c r="H13" s="114">
        <f>(56*10^5)/1440</f>
        <v>3888.8888888888887</v>
      </c>
      <c r="I13" s="149" t="s">
        <v>150</v>
      </c>
      <c r="J13" s="11" t="s">
        <v>119</v>
      </c>
      <c r="K13" s="170" t="s">
        <v>138</v>
      </c>
      <c r="L13" s="168">
        <v>71.309700000000007</v>
      </c>
    </row>
    <row r="14" spans="1:12" x14ac:dyDescent="0.35">
      <c r="C14" s="162"/>
      <c r="D14" s="162"/>
      <c r="E14" s="188"/>
      <c r="F14" s="188">
        <f t="shared" si="0"/>
        <v>150796739.02369279</v>
      </c>
      <c r="G14" s="114">
        <f t="shared" si="1"/>
        <v>10753270220.757826</v>
      </c>
      <c r="H14" s="114">
        <f>(30.32*10^5)/3035</f>
        <v>999.01153212520592</v>
      </c>
      <c r="I14" s="149" t="s">
        <v>151</v>
      </c>
      <c r="J14" s="11" t="s">
        <v>119</v>
      </c>
      <c r="K14" s="155"/>
      <c r="L14" s="164"/>
    </row>
    <row r="15" spans="1:12" x14ac:dyDescent="0.35">
      <c r="A15" s="151">
        <v>8</v>
      </c>
      <c r="B15" s="152" t="s">
        <v>66</v>
      </c>
      <c r="C15" s="162">
        <f>Population!D9</f>
        <v>53408.312224510621</v>
      </c>
      <c r="D15" s="162" t="str">
        <f t="shared" si="2"/>
        <v>Small</v>
      </c>
      <c r="E15" s="190">
        <f>$L$6</f>
        <v>399734297.50693494</v>
      </c>
      <c r="I15" s="163"/>
      <c r="J15" s="11" t="s">
        <v>119</v>
      </c>
    </row>
    <row r="16" spans="1:12" x14ac:dyDescent="0.35">
      <c r="A16" s="151">
        <v>9</v>
      </c>
      <c r="B16" s="152" t="s">
        <v>67</v>
      </c>
      <c r="C16" s="162">
        <f>Population!D10</f>
        <v>686965.35071162798</v>
      </c>
      <c r="D16" s="162" t="str">
        <f t="shared" si="2"/>
        <v>Medium</v>
      </c>
      <c r="E16" s="188">
        <f>AVERAGE(F16:F19)</f>
        <v>292630299.54426229</v>
      </c>
      <c r="F16" s="188">
        <f t="shared" ref="F16:F47" si="3">G16/$L$13</f>
        <v>417087477.50638187</v>
      </c>
      <c r="G16" s="114">
        <f t="shared" ref="G16:G47" si="4">H16*$L$12</f>
        <v>29742382894.736843</v>
      </c>
      <c r="H16" s="114">
        <f>(26.25*10^5)/950</f>
        <v>2763.1578947368421</v>
      </c>
      <c r="I16" s="149" t="s">
        <v>153</v>
      </c>
      <c r="J16" s="11" t="s">
        <v>119</v>
      </c>
    </row>
    <row r="17" spans="1:17" x14ac:dyDescent="0.35">
      <c r="C17" s="162"/>
      <c r="D17" s="162"/>
      <c r="E17" s="188"/>
      <c r="F17" s="188">
        <f t="shared" si="3"/>
        <v>334139431.11398709</v>
      </c>
      <c r="G17" s="114">
        <f t="shared" si="4"/>
        <v>23827382590.909088</v>
      </c>
      <c r="H17" s="114">
        <f>(29.22*10^5)/1320</f>
        <v>2213.6363636363635</v>
      </c>
      <c r="I17" s="149" t="s">
        <v>154</v>
      </c>
      <c r="J17" s="11" t="s">
        <v>119</v>
      </c>
      <c r="M17" s="10"/>
      <c r="N17" s="166"/>
      <c r="O17" s="10"/>
      <c r="P17" s="167"/>
      <c r="Q17" s="10"/>
    </row>
    <row r="18" spans="1:17" x14ac:dyDescent="0.35">
      <c r="C18" s="162"/>
      <c r="D18" s="162"/>
      <c r="E18" s="188"/>
      <c r="F18" s="188">
        <f t="shared" si="3"/>
        <v>176103601.61380568</v>
      </c>
      <c r="G18" s="114">
        <f t="shared" si="4"/>
        <v>12557895000</v>
      </c>
      <c r="H18" s="114">
        <f>(10.5*10^5)/900</f>
        <v>1166.6666666666667</v>
      </c>
      <c r="I18" s="149" t="s">
        <v>155</v>
      </c>
      <c r="J18" s="11" t="s">
        <v>119</v>
      </c>
      <c r="M18" s="10"/>
      <c r="N18" s="166"/>
      <c r="O18" s="10"/>
      <c r="P18" s="167"/>
      <c r="Q18" s="10"/>
    </row>
    <row r="19" spans="1:17" x14ac:dyDescent="0.35">
      <c r="C19" s="162"/>
      <c r="D19" s="162"/>
      <c r="E19" s="188"/>
      <c r="F19" s="188">
        <f t="shared" si="3"/>
        <v>243190687.94287452</v>
      </c>
      <c r="G19" s="114">
        <f t="shared" si="4"/>
        <v>17341855000</v>
      </c>
      <c r="H19" s="114">
        <f>(14.5*10^5)/900</f>
        <v>1611.1111111111111</v>
      </c>
      <c r="I19" s="149" t="s">
        <v>156</v>
      </c>
      <c r="J19" s="11" t="s">
        <v>119</v>
      </c>
      <c r="M19" s="10"/>
      <c r="N19" s="166"/>
      <c r="O19" s="10"/>
      <c r="P19" s="167"/>
      <c r="Q19" s="10"/>
    </row>
    <row r="20" spans="1:17" x14ac:dyDescent="0.35">
      <c r="A20" s="151">
        <v>10</v>
      </c>
      <c r="B20" s="152" t="s">
        <v>68</v>
      </c>
      <c r="C20" s="162">
        <f>Population!D11</f>
        <v>637497.35184327734</v>
      </c>
      <c r="D20" s="162" t="str">
        <f t="shared" si="2"/>
        <v>Medium</v>
      </c>
      <c r="E20" s="190">
        <f>$L$5</f>
        <v>207178319.55590102</v>
      </c>
      <c r="F20" s="188">
        <f t="shared" si="3"/>
        <v>0</v>
      </c>
      <c r="G20" s="114">
        <f t="shared" si="4"/>
        <v>0</v>
      </c>
      <c r="I20" s="163"/>
      <c r="J20" s="11" t="s">
        <v>119</v>
      </c>
      <c r="L20" s="155"/>
    </row>
    <row r="21" spans="1:17" x14ac:dyDescent="0.35">
      <c r="A21" s="151">
        <v>11</v>
      </c>
      <c r="B21" s="152" t="s">
        <v>69</v>
      </c>
      <c r="C21" s="162">
        <f>Population!D12</f>
        <v>248657.05041305005</v>
      </c>
      <c r="D21" s="162" t="str">
        <f t="shared" si="2"/>
        <v>Medium</v>
      </c>
      <c r="E21" s="188">
        <f>AVERAGE(F21:F22)</f>
        <v>446522393.21506435</v>
      </c>
      <c r="F21" s="188">
        <f t="shared" si="3"/>
        <v>704414406.45522273</v>
      </c>
      <c r="G21" s="114">
        <f t="shared" si="4"/>
        <v>50231580000</v>
      </c>
      <c r="H21" s="114">
        <f>8400000/(200*9)</f>
        <v>4666.666666666667</v>
      </c>
      <c r="I21" s="149" t="s">
        <v>157</v>
      </c>
      <c r="J21" s="11" t="s">
        <v>119</v>
      </c>
      <c r="L21" s="155"/>
    </row>
    <row r="22" spans="1:17" x14ac:dyDescent="0.35">
      <c r="C22" s="162"/>
      <c r="D22" s="162"/>
      <c r="E22" s="188"/>
      <c r="F22" s="188">
        <f t="shared" si="3"/>
        <v>188630379.97490594</v>
      </c>
      <c r="G22" s="114">
        <f t="shared" si="4"/>
        <v>13451175806.896551</v>
      </c>
      <c r="H22" s="114">
        <f>(18.12*10^5)/1450</f>
        <v>1249.655172413793</v>
      </c>
      <c r="I22" s="149" t="s">
        <v>158</v>
      </c>
      <c r="J22" s="11" t="s">
        <v>119</v>
      </c>
      <c r="L22" s="155"/>
    </row>
    <row r="23" spans="1:17" x14ac:dyDescent="0.35">
      <c r="A23" s="151">
        <v>12</v>
      </c>
      <c r="B23" s="152" t="s">
        <v>70</v>
      </c>
      <c r="C23" s="162">
        <f>Population!D13</f>
        <v>120954.47359530447</v>
      </c>
      <c r="D23" s="162" t="str">
        <f t="shared" si="2"/>
        <v>Medium</v>
      </c>
      <c r="E23" s="190">
        <f>$L$5</f>
        <v>207178319.55590102</v>
      </c>
      <c r="F23" s="188">
        <f t="shared" si="3"/>
        <v>0</v>
      </c>
      <c r="G23" s="114">
        <f t="shared" si="4"/>
        <v>0</v>
      </c>
      <c r="I23" s="163"/>
      <c r="J23" s="11" t="s">
        <v>119</v>
      </c>
      <c r="K23" s="155"/>
      <c r="L23" s="155"/>
    </row>
    <row r="24" spans="1:17" x14ac:dyDescent="0.35">
      <c r="A24" s="151">
        <v>13</v>
      </c>
      <c r="B24" s="152" t="s">
        <v>71</v>
      </c>
      <c r="C24" s="162">
        <f>Population!D14</f>
        <v>8119180.3023765497</v>
      </c>
      <c r="D24" s="162" t="str">
        <f t="shared" si="2"/>
        <v>Large</v>
      </c>
      <c r="E24" s="188">
        <f>AVERAGE(F24:F26)</f>
        <v>225281113.07128146</v>
      </c>
      <c r="F24" s="188">
        <f t="shared" si="3"/>
        <v>38561607.844351605</v>
      </c>
      <c r="G24" s="114">
        <f t="shared" si="4"/>
        <v>2749816686.8983598</v>
      </c>
      <c r="H24" s="114">
        <f>(87.8*10^5)/34368.52</f>
        <v>255.46633954560747</v>
      </c>
      <c r="I24" s="149" t="s">
        <v>159</v>
      </c>
      <c r="J24" s="11" t="s">
        <v>119</v>
      </c>
      <c r="K24" s="155"/>
      <c r="L24" s="155"/>
    </row>
    <row r="25" spans="1:17" x14ac:dyDescent="0.35">
      <c r="C25" s="162"/>
      <c r="D25" s="162"/>
      <c r="E25" s="188"/>
      <c r="F25" s="188">
        <f t="shared" si="3"/>
        <v>385647949.11229217</v>
      </c>
      <c r="G25" s="114">
        <f t="shared" si="4"/>
        <v>27500439556.812824</v>
      </c>
      <c r="H25" s="114">
        <f>(48.77*10^5)/1908.9</f>
        <v>2554.8745350725549</v>
      </c>
      <c r="I25" s="149" t="s">
        <v>159</v>
      </c>
      <c r="J25" s="11" t="s">
        <v>119</v>
      </c>
      <c r="K25" s="155"/>
      <c r="L25" s="155"/>
    </row>
    <row r="26" spans="1:17" x14ac:dyDescent="0.35">
      <c r="C26" s="162"/>
      <c r="D26" s="162"/>
      <c r="E26" s="188"/>
      <c r="F26" s="188">
        <f t="shared" si="3"/>
        <v>251633782.25720069</v>
      </c>
      <c r="G26" s="114">
        <f t="shared" si="4"/>
        <v>17943929522.626305</v>
      </c>
      <c r="H26" s="114">
        <f>(90.17*10^5)/5408.97</f>
        <v>1667.0456667350716</v>
      </c>
      <c r="I26" s="149" t="s">
        <v>160</v>
      </c>
      <c r="J26" s="11" t="s">
        <v>119</v>
      </c>
      <c r="K26" s="155"/>
      <c r="L26" s="155"/>
    </row>
    <row r="27" spans="1:17" x14ac:dyDescent="0.35">
      <c r="A27" s="151">
        <v>14</v>
      </c>
      <c r="B27" s="152" t="s">
        <v>72</v>
      </c>
      <c r="C27" s="162">
        <f>Population!D15</f>
        <v>323526.6224659998</v>
      </c>
      <c r="D27" s="162" t="str">
        <f t="shared" si="2"/>
        <v>Medium</v>
      </c>
      <c r="E27" s="188">
        <f>AVERAGE(F27:F28)</f>
        <v>172078376.43406156</v>
      </c>
      <c r="F27" s="188">
        <f t="shared" si="3"/>
        <v>42264864.387313366</v>
      </c>
      <c r="G27" s="114">
        <f t="shared" si="4"/>
        <v>3013894800</v>
      </c>
      <c r="H27" s="114">
        <f>(28*10^5)/10000</f>
        <v>280</v>
      </c>
      <c r="I27" s="149" t="s">
        <v>161</v>
      </c>
      <c r="J27" s="11" t="s">
        <v>119</v>
      </c>
    </row>
    <row r="28" spans="1:17" x14ac:dyDescent="0.35">
      <c r="C28" s="162"/>
      <c r="D28" s="162"/>
      <c r="E28" s="188"/>
      <c r="F28" s="188">
        <f t="shared" si="3"/>
        <v>301891888.48080975</v>
      </c>
      <c r="G28" s="114">
        <f t="shared" si="4"/>
        <v>21527820000</v>
      </c>
      <c r="H28" s="114">
        <f>(60*10^5)/3000</f>
        <v>2000</v>
      </c>
      <c r="I28" s="149" t="s">
        <v>162</v>
      </c>
      <c r="J28" s="11" t="s">
        <v>119</v>
      </c>
    </row>
    <row r="29" spans="1:17" x14ac:dyDescent="0.35">
      <c r="A29" s="151">
        <v>15</v>
      </c>
      <c r="B29" s="152" t="s">
        <v>73</v>
      </c>
      <c r="C29" s="162">
        <f>Population!D16</f>
        <v>71750.609598395211</v>
      </c>
      <c r="D29" s="162" t="str">
        <f t="shared" si="2"/>
        <v>Small</v>
      </c>
      <c r="E29" s="190">
        <f>$L$6</f>
        <v>399734297.50693494</v>
      </c>
      <c r="F29" s="188">
        <f t="shared" si="3"/>
        <v>0</v>
      </c>
      <c r="G29" s="114">
        <f t="shared" si="4"/>
        <v>0</v>
      </c>
      <c r="I29" s="149"/>
      <c r="J29" s="11" t="s">
        <v>119</v>
      </c>
    </row>
    <row r="30" spans="1:17" x14ac:dyDescent="0.35">
      <c r="A30" s="151">
        <v>16</v>
      </c>
      <c r="B30" s="152" t="s">
        <v>74</v>
      </c>
      <c r="C30" s="162">
        <f>Population!D17</f>
        <v>3673962.8876462663</v>
      </c>
      <c r="D30" s="162" t="str">
        <f t="shared" si="2"/>
        <v>Large</v>
      </c>
      <c r="E30" s="190">
        <f>$L$4</f>
        <v>258664564.88983455</v>
      </c>
      <c r="F30" s="188">
        <f t="shared" si="3"/>
        <v>59632965.625838958</v>
      </c>
      <c r="G30" s="114">
        <f t="shared" si="4"/>
        <v>4252408888.8888888</v>
      </c>
      <c r="H30" s="114">
        <f>480000/(135*9)</f>
        <v>395.06172839506172</v>
      </c>
      <c r="I30" s="149" t="s">
        <v>163</v>
      </c>
      <c r="J30" s="11" t="s">
        <v>119</v>
      </c>
    </row>
    <row r="31" spans="1:17" x14ac:dyDescent="0.35">
      <c r="A31" s="151">
        <v>17</v>
      </c>
      <c r="B31" s="152" t="s">
        <v>75</v>
      </c>
      <c r="C31" s="162">
        <f>Population!D18</f>
        <v>13520.328350949914</v>
      </c>
      <c r="D31" s="162" t="str">
        <f t="shared" si="2"/>
        <v>Small</v>
      </c>
      <c r="E31" s="190">
        <f>$L$6</f>
        <v>399734297.50693494</v>
      </c>
      <c r="F31" s="188">
        <f t="shared" si="3"/>
        <v>0</v>
      </c>
      <c r="G31" s="114">
        <f t="shared" si="4"/>
        <v>0</v>
      </c>
      <c r="I31" s="163"/>
      <c r="J31" s="11" t="s">
        <v>119</v>
      </c>
    </row>
    <row r="32" spans="1:17" x14ac:dyDescent="0.35">
      <c r="A32" s="151">
        <v>18</v>
      </c>
      <c r="B32" s="152" t="s">
        <v>76</v>
      </c>
      <c r="C32" s="162">
        <f>Population!D19</f>
        <v>119450.47275198292</v>
      </c>
      <c r="D32" s="162" t="str">
        <f t="shared" si="2"/>
        <v>Medium</v>
      </c>
      <c r="E32" s="190">
        <f>$L$5</f>
        <v>207178319.55590102</v>
      </c>
      <c r="F32" s="188">
        <f t="shared" si="3"/>
        <v>15723535.858375506</v>
      </c>
      <c r="G32" s="114">
        <f t="shared" si="4"/>
        <v>1121240625</v>
      </c>
      <c r="H32" s="114">
        <f>(10.5*10^5)/10080</f>
        <v>104.16666666666667</v>
      </c>
      <c r="I32" s="149" t="s">
        <v>164</v>
      </c>
      <c r="J32" s="11" t="s">
        <v>119</v>
      </c>
    </row>
    <row r="33" spans="1:10" x14ac:dyDescent="0.35">
      <c r="A33" s="151">
        <v>19</v>
      </c>
      <c r="B33" s="152" t="s">
        <v>77</v>
      </c>
      <c r="C33" s="162">
        <f>Population!D20</f>
        <v>5423441.5141611397</v>
      </c>
      <c r="D33" s="162" t="str">
        <f t="shared" si="2"/>
        <v>Large</v>
      </c>
      <c r="E33" s="188">
        <f>AVERAGE(F33:F35)</f>
        <v>69556263.81201373</v>
      </c>
      <c r="F33" s="188">
        <f t="shared" si="3"/>
        <v>35640014.612317815</v>
      </c>
      <c r="G33" s="114">
        <f t="shared" si="4"/>
        <v>2541478750</v>
      </c>
      <c r="H33" s="114">
        <f>1.7*10^5/720</f>
        <v>236.11111111111111</v>
      </c>
      <c r="I33" s="149" t="s">
        <v>165</v>
      </c>
      <c r="J33" s="11" t="s">
        <v>119</v>
      </c>
    </row>
    <row r="34" spans="1:10" x14ac:dyDescent="0.35">
      <c r="C34" s="162"/>
      <c r="D34" s="162"/>
      <c r="E34" s="188"/>
      <c r="F34" s="188">
        <f t="shared" si="3"/>
        <v>99652276.151304334</v>
      </c>
      <c r="G34" s="114">
        <f t="shared" si="4"/>
        <v>7106173916.666667</v>
      </c>
      <c r="H34" s="114">
        <f>14.26*10^5/2160</f>
        <v>660.18518518518522</v>
      </c>
      <c r="I34" s="149" t="s">
        <v>166</v>
      </c>
      <c r="J34" s="11" t="s">
        <v>119</v>
      </c>
    </row>
    <row r="35" spans="1:10" x14ac:dyDescent="0.35">
      <c r="C35" s="162"/>
      <c r="D35" s="162"/>
      <c r="E35" s="188"/>
      <c r="F35" s="188">
        <f t="shared" si="3"/>
        <v>73376500.672419026</v>
      </c>
      <c r="G35" s="114">
        <f t="shared" si="4"/>
        <v>5232456250</v>
      </c>
      <c r="H35" s="114">
        <f>10.5*10^5/2160</f>
        <v>486.11111111111109</v>
      </c>
      <c r="I35" s="149" t="s">
        <v>167</v>
      </c>
      <c r="J35" s="11" t="s">
        <v>119</v>
      </c>
    </row>
    <row r="36" spans="1:10" x14ac:dyDescent="0.35">
      <c r="A36" s="151">
        <v>20</v>
      </c>
      <c r="B36" s="152" t="s">
        <v>78</v>
      </c>
      <c r="C36" s="162">
        <f>Population!D21</f>
        <v>3397697.1096434216</v>
      </c>
      <c r="D36" s="162" t="str">
        <f t="shared" si="2"/>
        <v>Large</v>
      </c>
      <c r="E36" s="188">
        <f>AVERAGE(F36:F41)</f>
        <v>423084709.93427253</v>
      </c>
      <c r="F36" s="188">
        <f t="shared" si="3"/>
        <v>557795579.28304279</v>
      </c>
      <c r="G36" s="114">
        <f t="shared" si="4"/>
        <v>39776235420</v>
      </c>
      <c r="H36" s="114">
        <f>(55.43*10^5)/1500</f>
        <v>3695.3333333333335</v>
      </c>
      <c r="I36" s="149" t="s">
        <v>168</v>
      </c>
      <c r="J36" s="11" t="s">
        <v>119</v>
      </c>
    </row>
    <row r="37" spans="1:10" x14ac:dyDescent="0.35">
      <c r="C37" s="162"/>
      <c r="D37" s="162"/>
      <c r="E37" s="188"/>
      <c r="F37" s="188">
        <f t="shared" si="3"/>
        <v>603783776.9616195</v>
      </c>
      <c r="G37" s="114">
        <f t="shared" si="4"/>
        <v>43055640000</v>
      </c>
      <c r="H37" s="114">
        <v>4000</v>
      </c>
      <c r="I37" s="149" t="s">
        <v>169</v>
      </c>
      <c r="J37" s="11" t="s">
        <v>119</v>
      </c>
    </row>
    <row r="38" spans="1:10" x14ac:dyDescent="0.35">
      <c r="C38" s="162"/>
      <c r="D38" s="162"/>
      <c r="E38" s="188"/>
      <c r="F38" s="188">
        <f t="shared" si="3"/>
        <v>335401888.10217959</v>
      </c>
      <c r="G38" s="114">
        <f t="shared" si="4"/>
        <v>23917408020</v>
      </c>
      <c r="H38" s="114">
        <v>2222</v>
      </c>
      <c r="I38" s="149" t="s">
        <v>170</v>
      </c>
      <c r="J38" s="11" t="s">
        <v>119</v>
      </c>
    </row>
    <row r="39" spans="1:10" x14ac:dyDescent="0.35">
      <c r="C39" s="162"/>
      <c r="D39" s="162"/>
      <c r="E39" s="188"/>
      <c r="F39" s="188">
        <f t="shared" si="3"/>
        <v>256608105.20868829</v>
      </c>
      <c r="G39" s="114">
        <f t="shared" si="4"/>
        <v>18298647000</v>
      </c>
      <c r="H39" s="114">
        <v>1700</v>
      </c>
      <c r="I39" s="149" t="s">
        <v>171</v>
      </c>
      <c r="J39" s="11" t="s">
        <v>119</v>
      </c>
    </row>
    <row r="40" spans="1:10" x14ac:dyDescent="0.35">
      <c r="C40" s="162"/>
      <c r="D40" s="162"/>
      <c r="E40" s="188"/>
      <c r="F40" s="188">
        <f t="shared" si="3"/>
        <v>181135133.08848584</v>
      </c>
      <c r="G40" s="114">
        <f t="shared" si="4"/>
        <v>12916692000</v>
      </c>
      <c r="H40" s="114">
        <v>1200</v>
      </c>
      <c r="I40" s="149" t="s">
        <v>172</v>
      </c>
      <c r="J40" s="11" t="s">
        <v>119</v>
      </c>
    </row>
    <row r="41" spans="1:10" x14ac:dyDescent="0.35">
      <c r="C41" s="162"/>
      <c r="D41" s="162"/>
      <c r="E41" s="188"/>
      <c r="F41" s="188">
        <f t="shared" si="3"/>
        <v>603783776.9616195</v>
      </c>
      <c r="G41" s="114">
        <f t="shared" si="4"/>
        <v>43055640000</v>
      </c>
      <c r="H41" s="114">
        <v>4000</v>
      </c>
      <c r="I41" s="149" t="s">
        <v>169</v>
      </c>
      <c r="J41" s="11" t="s">
        <v>119</v>
      </c>
    </row>
    <row r="42" spans="1:10" x14ac:dyDescent="0.35">
      <c r="A42" s="151">
        <v>21</v>
      </c>
      <c r="B42" s="152" t="s">
        <v>79</v>
      </c>
      <c r="C42" s="162">
        <f>Population!D22</f>
        <v>15006687.638268843</v>
      </c>
      <c r="D42" s="162" t="str">
        <f t="shared" si="2"/>
        <v>Large</v>
      </c>
      <c r="E42" s="188">
        <f>AVERAGE(F42:F45)</f>
        <v>136261714.31466237</v>
      </c>
      <c r="F42" s="188">
        <f t="shared" si="3"/>
        <v>67925674.908182189</v>
      </c>
      <c r="G42" s="114">
        <f t="shared" si="4"/>
        <v>4843759500</v>
      </c>
      <c r="H42" s="114">
        <f>(4.5*10^5)/1000</f>
        <v>450</v>
      </c>
      <c r="I42" s="149" t="s">
        <v>178</v>
      </c>
      <c r="J42" s="11" t="s">
        <v>119</v>
      </c>
    </row>
    <row r="43" spans="1:10" x14ac:dyDescent="0.35">
      <c r="C43" s="162"/>
      <c r="D43" s="162"/>
      <c r="E43" s="188"/>
      <c r="F43" s="188">
        <f t="shared" si="3"/>
        <v>105662160.96828341</v>
      </c>
      <c r="G43" s="114">
        <f t="shared" si="4"/>
        <v>7534737000</v>
      </c>
      <c r="H43" s="114">
        <f>(98*10^5)/14000</f>
        <v>700</v>
      </c>
      <c r="I43" s="149" t="s">
        <v>179</v>
      </c>
      <c r="J43" s="11" t="s">
        <v>119</v>
      </c>
    </row>
    <row r="44" spans="1:10" x14ac:dyDescent="0.35">
      <c r="C44" s="162"/>
      <c r="D44" s="162"/>
      <c r="E44" s="188"/>
      <c r="F44" s="188">
        <f t="shared" si="3"/>
        <v>314470717.16751015</v>
      </c>
      <c r="G44" s="114">
        <f t="shared" si="4"/>
        <v>22424812500</v>
      </c>
      <c r="H44" s="114">
        <f>(25*10^5)/1200</f>
        <v>2083.3333333333335</v>
      </c>
      <c r="I44" s="149" t="s">
        <v>180</v>
      </c>
      <c r="J44" s="11" t="s">
        <v>119</v>
      </c>
    </row>
    <row r="45" spans="1:10" x14ac:dyDescent="0.35">
      <c r="C45" s="162"/>
      <c r="D45" s="162"/>
      <c r="E45" s="188"/>
      <c r="F45" s="188">
        <f t="shared" si="3"/>
        <v>56988304.214673668</v>
      </c>
      <c r="G45" s="114">
        <f t="shared" si="4"/>
        <v>4063818877.0571151</v>
      </c>
      <c r="H45" s="114">
        <f>(7.8*10^5)/2066</f>
        <v>377.54114230396902</v>
      </c>
      <c r="I45" s="149" t="s">
        <v>181</v>
      </c>
      <c r="J45" s="11" t="s">
        <v>119</v>
      </c>
    </row>
    <row r="46" spans="1:10" x14ac:dyDescent="0.35">
      <c r="A46" s="151">
        <v>22</v>
      </c>
      <c r="B46" s="152" t="s">
        <v>80</v>
      </c>
      <c r="C46" s="162">
        <f>Population!D23</f>
        <v>13308724.96044747</v>
      </c>
      <c r="D46" s="162" t="str">
        <f t="shared" si="2"/>
        <v>Large</v>
      </c>
      <c r="E46" s="188">
        <f>AVERAGE(F46:F50)</f>
        <v>181431544.56336635</v>
      </c>
      <c r="F46" s="188">
        <f t="shared" si="3"/>
        <v>402522517.97441298</v>
      </c>
      <c r="G46" s="114">
        <f t="shared" si="4"/>
        <v>28703760000</v>
      </c>
      <c r="H46" s="114">
        <f>(12*10^5)/(50*9)</f>
        <v>2666.6666666666665</v>
      </c>
      <c r="I46" s="149" t="s">
        <v>173</v>
      </c>
      <c r="J46" s="11" t="s">
        <v>119</v>
      </c>
    </row>
    <row r="47" spans="1:10" x14ac:dyDescent="0.35">
      <c r="C47" s="162"/>
      <c r="D47" s="162"/>
      <c r="E47" s="188"/>
      <c r="F47" s="188">
        <f t="shared" si="3"/>
        <v>184489487.40493929</v>
      </c>
      <c r="G47" s="114">
        <f t="shared" si="4"/>
        <v>13155890000</v>
      </c>
      <c r="H47" s="114">
        <f>(5.5*10^5)/450</f>
        <v>1222.2222222222222</v>
      </c>
      <c r="I47" s="149" t="s">
        <v>174</v>
      </c>
      <c r="J47" s="11" t="s">
        <v>119</v>
      </c>
    </row>
    <row r="48" spans="1:10" x14ac:dyDescent="0.35">
      <c r="C48" s="162"/>
      <c r="D48" s="162"/>
      <c r="E48" s="188"/>
      <c r="F48" s="188">
        <f t="shared" ref="F48:F79" si="5">G48/$L$13</f>
        <v>2772193.6499615218</v>
      </c>
      <c r="G48" s="114">
        <f t="shared" ref="G48:G79" si="6">H48*$L$12</f>
        <v>197684297.52066115</v>
      </c>
      <c r="H48" s="114">
        <f>(8*10^5)/43560</f>
        <v>18.365472910927455</v>
      </c>
      <c r="I48" s="149" t="s">
        <v>175</v>
      </c>
      <c r="J48" s="11" t="s">
        <v>119</v>
      </c>
    </row>
    <row r="49" spans="1:10" x14ac:dyDescent="0.35">
      <c r="C49" s="162"/>
      <c r="D49" s="162"/>
      <c r="E49" s="188"/>
      <c r="F49" s="188">
        <f t="shared" si="5"/>
        <v>116112264.80031145</v>
      </c>
      <c r="G49" s="114">
        <f t="shared" si="6"/>
        <v>8279930769.2307701</v>
      </c>
      <c r="H49" s="114">
        <f>22.5*10^5/(325*9)</f>
        <v>769.23076923076928</v>
      </c>
      <c r="I49" s="149" t="s">
        <v>176</v>
      </c>
      <c r="J49" s="11" t="s">
        <v>119</v>
      </c>
    </row>
    <row r="50" spans="1:10" x14ac:dyDescent="0.35">
      <c r="C50" s="162"/>
      <c r="D50" s="162"/>
      <c r="E50" s="188"/>
      <c r="F50" s="188">
        <f t="shared" si="5"/>
        <v>201261258.98720649</v>
      </c>
      <c r="G50" s="114">
        <f t="shared" si="6"/>
        <v>14351880000</v>
      </c>
      <c r="H50" s="114">
        <f>9.6*10^5/720</f>
        <v>1333.3333333333333</v>
      </c>
      <c r="I50" s="149" t="s">
        <v>177</v>
      </c>
      <c r="J50" s="11" t="s">
        <v>119</v>
      </c>
    </row>
    <row r="51" spans="1:10" x14ac:dyDescent="0.35">
      <c r="A51" s="151">
        <v>23</v>
      </c>
      <c r="B51" s="152" t="s">
        <v>81</v>
      </c>
      <c r="C51" s="162">
        <f>Population!D24</f>
        <v>48264.315755572054</v>
      </c>
      <c r="D51" s="162" t="str">
        <f t="shared" si="2"/>
        <v>Small</v>
      </c>
      <c r="E51" s="188">
        <f>AVERAGE(F51:F53)</f>
        <v>679160605.168293</v>
      </c>
      <c r="F51" s="188">
        <f t="shared" si="5"/>
        <v>15094594.424040487</v>
      </c>
      <c r="G51" s="114">
        <f t="shared" si="6"/>
        <v>1076391000</v>
      </c>
      <c r="H51" s="114">
        <f>(3.81*10^5)/(1270*3)</f>
        <v>100</v>
      </c>
      <c r="I51" s="149" t="s">
        <v>182</v>
      </c>
      <c r="J51" s="11" t="s">
        <v>119</v>
      </c>
    </row>
    <row r="52" spans="1:10" x14ac:dyDescent="0.35">
      <c r="C52" s="162"/>
      <c r="D52" s="162"/>
      <c r="E52" s="188"/>
      <c r="F52" s="188">
        <f t="shared" si="5"/>
        <v>1962297275.1252632</v>
      </c>
      <c r="G52" s="114">
        <f t="shared" si="6"/>
        <v>139930830000</v>
      </c>
      <c r="H52" s="114">
        <f>91*10^5/700</f>
        <v>13000</v>
      </c>
      <c r="I52" s="149" t="s">
        <v>183</v>
      </c>
      <c r="J52" s="11" t="s">
        <v>119</v>
      </c>
    </row>
    <row r="53" spans="1:10" x14ac:dyDescent="0.35">
      <c r="C53" s="162"/>
      <c r="D53" s="162"/>
      <c r="E53" s="188"/>
      <c r="F53" s="188">
        <f t="shared" si="5"/>
        <v>60089945.955575183</v>
      </c>
      <c r="G53" s="114">
        <f t="shared" si="6"/>
        <v>4284996019.1082802</v>
      </c>
      <c r="H53" s="114">
        <f>(12.5*10^5)/3140</f>
        <v>398.08917197452229</v>
      </c>
      <c r="I53" s="149" t="s">
        <v>184</v>
      </c>
      <c r="J53" s="11" t="s">
        <v>119</v>
      </c>
    </row>
    <row r="54" spans="1:10" x14ac:dyDescent="0.35">
      <c r="A54" s="151">
        <v>24</v>
      </c>
      <c r="B54" s="152" t="s">
        <v>82</v>
      </c>
      <c r="C54" s="162">
        <f>Population!D25</f>
        <v>2031332.2440583021</v>
      </c>
      <c r="D54" s="162" t="str">
        <f t="shared" si="2"/>
        <v>Large</v>
      </c>
      <c r="E54" s="188">
        <f>AVERAGE(F54:F58)</f>
        <v>273857556.71751869</v>
      </c>
      <c r="F54" s="188">
        <f t="shared" si="5"/>
        <v>554540573.9912008</v>
      </c>
      <c r="G54" s="114">
        <f t="shared" si="6"/>
        <v>39544121969.140335</v>
      </c>
      <c r="H54" s="114">
        <f>50*10^5/1361</f>
        <v>3673.7692872887583</v>
      </c>
      <c r="I54" s="149" t="s">
        <v>185</v>
      </c>
      <c r="J54" s="11" t="s">
        <v>119</v>
      </c>
    </row>
    <row r="55" spans="1:10" x14ac:dyDescent="0.35">
      <c r="C55" s="162"/>
      <c r="D55" s="162"/>
      <c r="E55" s="188"/>
      <c r="F55" s="188">
        <f t="shared" si="5"/>
        <v>159398917.11786753</v>
      </c>
      <c r="G55" s="114">
        <f t="shared" si="6"/>
        <v>11366688960</v>
      </c>
      <c r="H55" s="114">
        <f>26.4*10^5/2500</f>
        <v>1056</v>
      </c>
      <c r="I55" s="149" t="s">
        <v>186</v>
      </c>
      <c r="J55" s="11" t="s">
        <v>119</v>
      </c>
    </row>
    <row r="56" spans="1:10" x14ac:dyDescent="0.35">
      <c r="C56" s="162"/>
      <c r="D56" s="162"/>
      <c r="E56" s="188"/>
      <c r="F56" s="188">
        <f t="shared" si="5"/>
        <v>272541288.21184212</v>
      </c>
      <c r="G56" s="114">
        <f t="shared" si="6"/>
        <v>19434837500</v>
      </c>
      <c r="H56" s="114">
        <f>65*10^5/3600</f>
        <v>1805.5555555555557</v>
      </c>
      <c r="I56" s="149" t="s">
        <v>187</v>
      </c>
      <c r="J56" s="11" t="s">
        <v>119</v>
      </c>
    </row>
    <row r="57" spans="1:10" x14ac:dyDescent="0.35">
      <c r="C57" s="162"/>
      <c r="D57" s="162"/>
      <c r="E57" s="188"/>
      <c r="F57" s="188">
        <f t="shared" si="5"/>
        <v>15094594.424040487</v>
      </c>
      <c r="G57" s="114">
        <f t="shared" si="6"/>
        <v>1076391000</v>
      </c>
      <c r="H57" s="114">
        <f>10^5/1000</f>
        <v>100</v>
      </c>
      <c r="I57" s="149" t="s">
        <v>188</v>
      </c>
      <c r="J57" s="11" t="s">
        <v>119</v>
      </c>
    </row>
    <row r="58" spans="1:10" x14ac:dyDescent="0.35">
      <c r="C58" s="162"/>
      <c r="D58" s="162"/>
      <c r="E58" s="188"/>
      <c r="F58" s="188">
        <f t="shared" si="5"/>
        <v>367712409.84264278</v>
      </c>
      <c r="G58" s="114">
        <f t="shared" si="6"/>
        <v>26221461632.155907</v>
      </c>
      <c r="H58" s="114">
        <f>20*10^5/821</f>
        <v>2436.05359317905</v>
      </c>
      <c r="I58" s="149" t="s">
        <v>189</v>
      </c>
      <c r="J58" s="11" t="s">
        <v>119</v>
      </c>
    </row>
    <row r="59" spans="1:10" x14ac:dyDescent="0.35">
      <c r="A59" s="151">
        <v>25</v>
      </c>
      <c r="B59" s="152" t="s">
        <v>83</v>
      </c>
      <c r="C59" s="162">
        <f>Population!D26</f>
        <v>291601.27978538926</v>
      </c>
      <c r="D59" s="162" t="str">
        <f t="shared" si="2"/>
        <v>Medium</v>
      </c>
      <c r="E59" s="188">
        <f>AVERAGE(F59:F61)</f>
        <v>202576692.05248237</v>
      </c>
      <c r="F59" s="188">
        <f t="shared" si="5"/>
        <v>461223718.51234823</v>
      </c>
      <c r="G59" s="114">
        <f t="shared" si="6"/>
        <v>32889725000</v>
      </c>
      <c r="H59" s="114">
        <f>55*10^5/1800</f>
        <v>3055.5555555555557</v>
      </c>
      <c r="I59" s="149" t="s">
        <v>190</v>
      </c>
      <c r="J59" s="11" t="s">
        <v>119</v>
      </c>
    </row>
    <row r="60" spans="1:10" x14ac:dyDescent="0.35">
      <c r="C60" s="162"/>
      <c r="D60" s="162"/>
      <c r="E60" s="188"/>
      <c r="F60" s="188">
        <f t="shared" si="5"/>
        <v>90567566.544242918</v>
      </c>
      <c r="G60" s="114">
        <f t="shared" si="6"/>
        <v>6458346000</v>
      </c>
      <c r="H60" s="114">
        <f>6*10^5/1000</f>
        <v>600</v>
      </c>
      <c r="I60" s="149" t="s">
        <v>191</v>
      </c>
      <c r="J60" s="11" t="s">
        <v>119</v>
      </c>
    </row>
    <row r="61" spans="1:10" x14ac:dyDescent="0.35">
      <c r="C61" s="162"/>
      <c r="D61" s="162"/>
      <c r="E61" s="188"/>
      <c r="F61" s="188">
        <f t="shared" si="5"/>
        <v>55938791.100855917</v>
      </c>
      <c r="G61" s="114">
        <f t="shared" si="6"/>
        <v>3988978411.7647057</v>
      </c>
      <c r="H61" s="114">
        <f>31.5*10^5/8500</f>
        <v>370.58823529411762</v>
      </c>
      <c r="I61" s="149" t="s">
        <v>192</v>
      </c>
      <c r="J61" s="11" t="s">
        <v>119</v>
      </c>
    </row>
    <row r="62" spans="1:10" x14ac:dyDescent="0.35">
      <c r="A62" s="151">
        <v>26</v>
      </c>
      <c r="B62" s="152" t="s">
        <v>84</v>
      </c>
      <c r="C62" s="162">
        <f>Population!D27</f>
        <v>120833.86406496594</v>
      </c>
      <c r="D62" s="162" t="str">
        <f t="shared" si="2"/>
        <v>Medium</v>
      </c>
      <c r="E62" s="190">
        <f>$L$5</f>
        <v>207178319.55590102</v>
      </c>
      <c r="F62" s="188">
        <f t="shared" si="5"/>
        <v>240959580.71404073</v>
      </c>
      <c r="G62" s="114">
        <f t="shared" si="6"/>
        <v>17182755412.844032</v>
      </c>
      <c r="H62" s="114">
        <f>17.4*10^5/1090</f>
        <v>1596.3302752293575</v>
      </c>
      <c r="I62" s="149" t="s">
        <v>193</v>
      </c>
      <c r="J62" s="11" t="s">
        <v>119</v>
      </c>
    </row>
    <row r="63" spans="1:10" x14ac:dyDescent="0.35">
      <c r="A63" s="151">
        <v>27</v>
      </c>
      <c r="B63" s="152" t="s">
        <v>85</v>
      </c>
      <c r="C63" s="162">
        <f>Population!D28</f>
        <v>1218678.495685582</v>
      </c>
      <c r="D63" s="162" t="str">
        <f t="shared" si="2"/>
        <v>Large</v>
      </c>
      <c r="E63" s="188">
        <f>AVERAGE(F63:F65)</f>
        <v>194110385.46713075</v>
      </c>
      <c r="F63" s="188">
        <f t="shared" si="5"/>
        <v>196229727.51252633</v>
      </c>
      <c r="G63" s="114">
        <f t="shared" si="6"/>
        <v>13993083000</v>
      </c>
      <c r="H63" s="114">
        <f>13*10^5/1000</f>
        <v>1300</v>
      </c>
      <c r="I63" s="149" t="s">
        <v>194</v>
      </c>
      <c r="J63" s="11" t="s">
        <v>119</v>
      </c>
    </row>
    <row r="64" spans="1:10" x14ac:dyDescent="0.35">
      <c r="C64" s="162"/>
      <c r="D64" s="162"/>
      <c r="E64" s="188"/>
      <c r="F64" s="188">
        <f t="shared" si="5"/>
        <v>204280177.87201458</v>
      </c>
      <c r="G64" s="114">
        <f t="shared" si="6"/>
        <v>14567158200</v>
      </c>
      <c r="H64" s="114">
        <f>20.3*10^5/1500</f>
        <v>1353.3333333333333</v>
      </c>
      <c r="I64" s="149" t="s">
        <v>195</v>
      </c>
      <c r="J64" s="11" t="s">
        <v>119</v>
      </c>
    </row>
    <row r="65" spans="1:10" x14ac:dyDescent="0.35">
      <c r="C65" s="162"/>
      <c r="D65" s="162"/>
      <c r="E65" s="188"/>
      <c r="F65" s="188">
        <f t="shared" si="5"/>
        <v>181821251.01685134</v>
      </c>
      <c r="G65" s="114">
        <f t="shared" si="6"/>
        <v>12965618863.636364</v>
      </c>
      <c r="H65" s="114">
        <f>10.6*10^5/880</f>
        <v>1204.5454545454545</v>
      </c>
      <c r="I65" s="149" t="s">
        <v>196</v>
      </c>
      <c r="J65" s="11" t="s">
        <v>119</v>
      </c>
    </row>
    <row r="66" spans="1:10" x14ac:dyDescent="0.35">
      <c r="A66" s="151">
        <v>28</v>
      </c>
      <c r="B66" s="152" t="s">
        <v>86</v>
      </c>
      <c r="C66" s="162">
        <f>Population!D29</f>
        <v>1294655.2632270395</v>
      </c>
      <c r="D66" s="162" t="str">
        <f t="shared" si="2"/>
        <v>Large</v>
      </c>
      <c r="E66" s="188">
        <f>AVERAGE(F66:F69)</f>
        <v>106495314.22538668</v>
      </c>
      <c r="F66" s="188">
        <f t="shared" si="5"/>
        <v>135020454.7104539</v>
      </c>
      <c r="G66" s="114">
        <f t="shared" si="6"/>
        <v>9628268119.2660542</v>
      </c>
      <c r="H66" s="114">
        <f>3.9*10^5/436</f>
        <v>894.49541284403665</v>
      </c>
      <c r="I66" s="149" t="s">
        <v>197</v>
      </c>
      <c r="J66" s="11" t="s">
        <v>119</v>
      </c>
    </row>
    <row r="67" spans="1:10" x14ac:dyDescent="0.35">
      <c r="C67" s="162"/>
      <c r="D67" s="162"/>
      <c r="E67" s="188"/>
      <c r="F67" s="188">
        <f t="shared" si="5"/>
        <v>121450759.73365909</v>
      </c>
      <c r="G67" s="114">
        <f t="shared" si="6"/>
        <v>8660617241.3793106</v>
      </c>
      <c r="H67" s="114">
        <f>17.5*10^5/2175</f>
        <v>804.59770114942523</v>
      </c>
      <c r="I67" s="149" t="s">
        <v>198</v>
      </c>
      <c r="J67" s="11" t="s">
        <v>119</v>
      </c>
    </row>
    <row r="68" spans="1:10" x14ac:dyDescent="0.35">
      <c r="C68" s="162"/>
      <c r="D68" s="162"/>
      <c r="E68" s="188"/>
      <c r="F68" s="188">
        <f t="shared" si="5"/>
        <v>60828962.604342267</v>
      </c>
      <c r="G68" s="114">
        <f t="shared" si="6"/>
        <v>4337695074.6268663</v>
      </c>
      <c r="H68" s="114">
        <f>13.5*10^5/3350</f>
        <v>402.9850746268657</v>
      </c>
      <c r="I68" s="149" t="s">
        <v>199</v>
      </c>
      <c r="J68" s="11" t="s">
        <v>119</v>
      </c>
    </row>
    <row r="69" spans="1:10" x14ac:dyDescent="0.35">
      <c r="C69" s="162"/>
      <c r="D69" s="162"/>
      <c r="E69" s="188"/>
      <c r="F69" s="188">
        <f t="shared" si="5"/>
        <v>108681079.85309151</v>
      </c>
      <c r="G69" s="114">
        <f t="shared" si="6"/>
        <v>7750015200</v>
      </c>
      <c r="H69" s="114">
        <f>9*10^5/1250</f>
        <v>720</v>
      </c>
      <c r="I69" s="149" t="s">
        <v>200</v>
      </c>
      <c r="J69" s="11" t="s">
        <v>119</v>
      </c>
    </row>
    <row r="70" spans="1:10" x14ac:dyDescent="0.35">
      <c r="A70" s="151">
        <v>29</v>
      </c>
      <c r="B70" s="152" t="s">
        <v>87</v>
      </c>
      <c r="C70" s="162">
        <f>Population!D30</f>
        <v>172747.82420858208</v>
      </c>
      <c r="D70" s="162" t="str">
        <f t="shared" si="2"/>
        <v>Medium</v>
      </c>
      <c r="E70" s="190">
        <f>$L$5</f>
        <v>207178319.55590102</v>
      </c>
      <c r="F70" s="188">
        <f t="shared" si="5"/>
        <v>15094594.424040487</v>
      </c>
      <c r="G70" s="114">
        <f t="shared" si="6"/>
        <v>1076391000</v>
      </c>
      <c r="H70" s="114">
        <v>100</v>
      </c>
      <c r="I70" s="149" t="s">
        <v>221</v>
      </c>
      <c r="J70" s="11" t="s">
        <v>119</v>
      </c>
    </row>
    <row r="71" spans="1:10" x14ac:dyDescent="0.35">
      <c r="A71" s="151">
        <v>30</v>
      </c>
      <c r="B71" s="152" t="s">
        <v>88</v>
      </c>
      <c r="C71" s="162">
        <f>Population!D31</f>
        <v>118516.95498716265</v>
      </c>
      <c r="D71" s="162" t="str">
        <f t="shared" si="2"/>
        <v>Medium</v>
      </c>
      <c r="E71" s="190">
        <f>$L$5</f>
        <v>207178319.55590102</v>
      </c>
      <c r="F71" s="188">
        <f t="shared" si="5"/>
        <v>314420401.85276335</v>
      </c>
      <c r="G71" s="114">
        <f t="shared" si="6"/>
        <v>22421224530</v>
      </c>
      <c r="H71" s="114">
        <f>2083</f>
        <v>2083</v>
      </c>
      <c r="I71" s="149" t="s">
        <v>222</v>
      </c>
      <c r="J71" s="11" t="s">
        <v>119</v>
      </c>
    </row>
    <row r="72" spans="1:10" x14ac:dyDescent="0.35">
      <c r="A72" s="151">
        <v>31</v>
      </c>
      <c r="B72" s="152" t="s">
        <v>89</v>
      </c>
      <c r="C72" s="162">
        <f>Population!D32</f>
        <v>204527.22935748301</v>
      </c>
      <c r="D72" s="162" t="str">
        <f t="shared" si="2"/>
        <v>Medium</v>
      </c>
      <c r="E72" s="190">
        <f>$L$5</f>
        <v>207178319.55590102</v>
      </c>
      <c r="F72" s="188">
        <f t="shared" si="5"/>
        <v>0</v>
      </c>
      <c r="G72" s="114">
        <f t="shared" si="6"/>
        <v>0</v>
      </c>
      <c r="I72" s="163"/>
      <c r="J72" s="11" t="s">
        <v>119</v>
      </c>
    </row>
    <row r="73" spans="1:10" x14ac:dyDescent="0.35">
      <c r="A73" s="151">
        <v>32</v>
      </c>
      <c r="B73" s="152" t="s">
        <v>90</v>
      </c>
      <c r="C73" s="162">
        <f>Population!D33</f>
        <v>1423879.9323176574</v>
      </c>
      <c r="D73" s="162" t="str">
        <f t="shared" si="2"/>
        <v>Large</v>
      </c>
      <c r="E73" s="190">
        <f>$L$4</f>
        <v>258664564.88983455</v>
      </c>
      <c r="F73" s="188">
        <f t="shared" si="5"/>
        <v>390250489.98738825</v>
      </c>
      <c r="G73" s="114">
        <f t="shared" si="6"/>
        <v>27828645365.853661</v>
      </c>
      <c r="H73" s="114">
        <f>53*10^5/2050</f>
        <v>2585.3658536585367</v>
      </c>
      <c r="I73" s="149" t="s">
        <v>223</v>
      </c>
      <c r="J73" s="11" t="s">
        <v>119</v>
      </c>
    </row>
    <row r="74" spans="1:10" x14ac:dyDescent="0.35">
      <c r="A74" s="151">
        <v>33</v>
      </c>
      <c r="B74" s="152" t="s">
        <v>91</v>
      </c>
      <c r="C74" s="162">
        <f>Population!D34</f>
        <v>896962.22226996359</v>
      </c>
      <c r="D74" s="162" t="str">
        <f t="shared" ref="D74:D96" si="7">IF(C74&lt;100000,"Small",IF(C74&lt;1000000,"Medium","Large"))</f>
        <v>Medium</v>
      </c>
      <c r="E74" s="188">
        <f>AVERAGE(F74:F78)</f>
        <v>147442586.65970939</v>
      </c>
      <c r="F74" s="188">
        <f t="shared" si="5"/>
        <v>188682430.30050609</v>
      </c>
      <c r="G74" s="114">
        <f t="shared" si="6"/>
        <v>13454887500</v>
      </c>
      <c r="H74" s="114">
        <f>75*10^5/6000</f>
        <v>1250</v>
      </c>
      <c r="I74" s="149" t="s">
        <v>201</v>
      </c>
      <c r="J74" s="11" t="s">
        <v>119</v>
      </c>
    </row>
    <row r="75" spans="1:10" x14ac:dyDescent="0.35">
      <c r="C75" s="162"/>
      <c r="D75" s="162"/>
      <c r="E75" s="188"/>
      <c r="F75" s="188">
        <f t="shared" si="5"/>
        <v>225271763.22786233</v>
      </c>
      <c r="G75" s="114">
        <f t="shared" si="6"/>
        <v>16064061854.249895</v>
      </c>
      <c r="H75" s="114">
        <f>6.5*10^5/435.54</f>
        <v>1492.400238784038</v>
      </c>
      <c r="I75" s="149" t="s">
        <v>202</v>
      </c>
      <c r="J75" s="11" t="s">
        <v>119</v>
      </c>
    </row>
    <row r="76" spans="1:10" x14ac:dyDescent="0.35">
      <c r="C76" s="162"/>
      <c r="D76" s="162"/>
      <c r="E76" s="188"/>
      <c r="F76" s="188">
        <f t="shared" si="5"/>
        <v>164620728.20492217</v>
      </c>
      <c r="G76" s="114">
        <f t="shared" si="6"/>
        <v>11739054742.074539</v>
      </c>
      <c r="H76" s="114">
        <f>19*10^5/1742.17</f>
        <v>1090.5939144859572</v>
      </c>
      <c r="I76" s="149" t="s">
        <v>203</v>
      </c>
      <c r="J76" s="11" t="s">
        <v>119</v>
      </c>
    </row>
    <row r="77" spans="1:10" x14ac:dyDescent="0.35">
      <c r="C77" s="162"/>
      <c r="D77" s="162"/>
      <c r="E77" s="188"/>
      <c r="F77" s="188">
        <f t="shared" si="5"/>
        <v>155935892.81033561</v>
      </c>
      <c r="G77" s="114">
        <f t="shared" si="6"/>
        <v>11119741735.537189</v>
      </c>
      <c r="H77" s="114">
        <f>22.5*10^5/2178</f>
        <v>1033.0578512396694</v>
      </c>
      <c r="I77" s="149" t="s">
        <v>204</v>
      </c>
      <c r="J77" s="11" t="s">
        <v>119</v>
      </c>
    </row>
    <row r="78" spans="1:10" x14ac:dyDescent="0.35">
      <c r="C78" s="162"/>
      <c r="D78" s="162"/>
      <c r="E78" s="188"/>
      <c r="F78" s="188">
        <f t="shared" si="5"/>
        <v>2702118.7549208277</v>
      </c>
      <c r="G78" s="114">
        <f t="shared" si="6"/>
        <v>192687277.77777776</v>
      </c>
      <c r="H78" s="114">
        <f>14.5*10^5/81000</f>
        <v>17.901234567901234</v>
      </c>
      <c r="I78" s="149" t="s">
        <v>205</v>
      </c>
      <c r="J78" s="11" t="s">
        <v>119</v>
      </c>
    </row>
    <row r="79" spans="1:10" x14ac:dyDescent="0.35">
      <c r="A79" s="151">
        <v>34</v>
      </c>
      <c r="B79" s="152" t="s">
        <v>92</v>
      </c>
      <c r="C79" s="162">
        <f>Population!D35</f>
        <v>518879.08485063037</v>
      </c>
      <c r="D79" s="162" t="str">
        <f t="shared" si="7"/>
        <v>Medium</v>
      </c>
      <c r="E79" s="188">
        <f>AVERAGE(F79:F80)</f>
        <v>382950815.48123109</v>
      </c>
      <c r="F79" s="188">
        <f t="shared" si="5"/>
        <v>515576681.97339934</v>
      </c>
      <c r="G79" s="114">
        <f t="shared" si="6"/>
        <v>36765618518.518517</v>
      </c>
      <c r="H79" s="114">
        <f>83*10^5/(270*9)</f>
        <v>3415.6378600823045</v>
      </c>
      <c r="I79" s="149" t="s">
        <v>206</v>
      </c>
      <c r="J79" s="11" t="s">
        <v>119</v>
      </c>
    </row>
    <row r="80" spans="1:10" x14ac:dyDescent="0.35">
      <c r="C80" s="162"/>
      <c r="D80" s="162"/>
      <c r="E80" s="188"/>
      <c r="F80" s="188">
        <f t="shared" ref="F80:F97" si="8">G80/$L$13</f>
        <v>250324948.98906279</v>
      </c>
      <c r="G80" s="114">
        <f t="shared" ref="G80:G97" si="9">H80*$L$12</f>
        <v>17850597014.925373</v>
      </c>
      <c r="H80" s="114">
        <f>20*10^5/(134*9)</f>
        <v>1658.3747927031509</v>
      </c>
      <c r="I80" s="149" t="s">
        <v>207</v>
      </c>
      <c r="J80" s="11" t="s">
        <v>119</v>
      </c>
    </row>
    <row r="81" spans="1:10" x14ac:dyDescent="0.35">
      <c r="A81" s="151">
        <v>35</v>
      </c>
      <c r="B81" s="152" t="s">
        <v>93</v>
      </c>
      <c r="C81" s="162">
        <f>Population!D36</f>
        <v>221055.55939507601</v>
      </c>
      <c r="D81" s="162" t="str">
        <f t="shared" si="7"/>
        <v>Medium</v>
      </c>
      <c r="E81" s="188">
        <f>AVERAGE(F81:F82)</f>
        <v>83219953.906071469</v>
      </c>
      <c r="F81" s="188">
        <f t="shared" si="8"/>
        <v>124748714.24826849</v>
      </c>
      <c r="G81" s="114">
        <f t="shared" si="9"/>
        <v>8895793388.4297523</v>
      </c>
      <c r="H81" s="114">
        <f>10*10^5/1210</f>
        <v>826.44628099173553</v>
      </c>
      <c r="I81" s="149" t="s">
        <v>208</v>
      </c>
      <c r="J81" s="11" t="s">
        <v>119</v>
      </c>
    </row>
    <row r="82" spans="1:10" x14ac:dyDescent="0.35">
      <c r="C82" s="162"/>
      <c r="D82" s="162"/>
      <c r="E82" s="188"/>
      <c r="F82" s="188">
        <f t="shared" si="8"/>
        <v>41691193.563874453</v>
      </c>
      <c r="G82" s="114">
        <f t="shared" si="9"/>
        <v>2972986505.6818185</v>
      </c>
      <c r="H82" s="114">
        <f>35*10^5/12672</f>
        <v>276.19949494949498</v>
      </c>
      <c r="I82" s="149" t="s">
        <v>209</v>
      </c>
      <c r="J82" s="11" t="s">
        <v>119</v>
      </c>
    </row>
    <row r="83" spans="1:10" x14ac:dyDescent="0.35">
      <c r="A83" s="151">
        <v>36</v>
      </c>
      <c r="B83" s="152" t="s">
        <v>94</v>
      </c>
      <c r="C83" s="162">
        <f>Population!D37</f>
        <v>1417301.8885329936</v>
      </c>
      <c r="D83" s="162" t="str">
        <f t="shared" si="7"/>
        <v>Large</v>
      </c>
      <c r="E83" s="188">
        <f>AVERAGE(F83:F86)</f>
        <v>115153966.74863443</v>
      </c>
      <c r="F83" s="188">
        <f t="shared" si="8"/>
        <v>193210808.62771824</v>
      </c>
      <c r="G83" s="114">
        <f t="shared" si="9"/>
        <v>13777804800</v>
      </c>
      <c r="H83" s="114">
        <f>16*10^5/1250</f>
        <v>1280</v>
      </c>
      <c r="I83" s="149" t="s">
        <v>210</v>
      </c>
      <c r="J83" s="11" t="s">
        <v>119</v>
      </c>
    </row>
    <row r="84" spans="1:10" x14ac:dyDescent="0.35">
      <c r="C84" s="162"/>
      <c r="D84" s="162"/>
      <c r="E84" s="188"/>
      <c r="F84" s="188">
        <f t="shared" si="8"/>
        <v>105342939.93816775</v>
      </c>
      <c r="G84" s="114">
        <f t="shared" si="9"/>
        <v>7511973444.1087618</v>
      </c>
      <c r="H84" s="114">
        <f>23.1*10^5/3310</f>
        <v>697.88519637462241</v>
      </c>
      <c r="I84" s="149" t="s">
        <v>211</v>
      </c>
      <c r="J84" s="11" t="s">
        <v>119</v>
      </c>
    </row>
    <row r="85" spans="1:10" x14ac:dyDescent="0.35">
      <c r="C85" s="162"/>
      <c r="D85" s="162"/>
      <c r="E85" s="188"/>
      <c r="F85" s="188">
        <f t="shared" si="8"/>
        <v>86589146.308449298</v>
      </c>
      <c r="G85" s="114">
        <f t="shared" si="9"/>
        <v>6174646046.5116272</v>
      </c>
      <c r="H85" s="114">
        <f>18.5*10^5/3225</f>
        <v>573.64341085271315</v>
      </c>
      <c r="I85" s="149" t="s">
        <v>212</v>
      </c>
      <c r="J85" s="11" t="s">
        <v>119</v>
      </c>
    </row>
    <row r="86" spans="1:10" x14ac:dyDescent="0.35">
      <c r="C86" s="162"/>
      <c r="D86" s="162"/>
      <c r="E86" s="188"/>
      <c r="F86" s="188">
        <f t="shared" si="8"/>
        <v>75472972.120202437</v>
      </c>
      <c r="G86" s="114">
        <f t="shared" si="9"/>
        <v>5381955000</v>
      </c>
      <c r="H86" s="114">
        <f>30*10^5/6000</f>
        <v>500</v>
      </c>
      <c r="I86" s="149" t="s">
        <v>213</v>
      </c>
      <c r="J86" s="11" t="s">
        <v>119</v>
      </c>
    </row>
    <row r="87" spans="1:10" x14ac:dyDescent="0.35">
      <c r="A87" s="151">
        <v>37</v>
      </c>
      <c r="B87" s="152" t="s">
        <v>95</v>
      </c>
      <c r="C87" s="162">
        <f>Population!D38</f>
        <v>236463.42689582403</v>
      </c>
      <c r="D87" s="162" t="str">
        <f t="shared" si="7"/>
        <v>Medium</v>
      </c>
      <c r="E87" s="188">
        <f>AVERAGE(F87:F88)</f>
        <v>135804860.55953482</v>
      </c>
      <c r="F87" s="188">
        <f t="shared" si="8"/>
        <v>222190136.34627494</v>
      </c>
      <c r="G87" s="114">
        <f t="shared" si="9"/>
        <v>15844311965.811964</v>
      </c>
      <c r="H87" s="114">
        <f>15.5*10^5/(117*9)</f>
        <v>1471.9848053181386</v>
      </c>
      <c r="I87" s="149" t="s">
        <v>214</v>
      </c>
      <c r="J87" s="11" t="s">
        <v>119</v>
      </c>
    </row>
    <row r="88" spans="1:10" x14ac:dyDescent="0.35">
      <c r="C88" s="162"/>
      <c r="D88" s="162"/>
      <c r="E88" s="188"/>
      <c r="F88" s="188">
        <f t="shared" si="8"/>
        <v>49419584.772794716</v>
      </c>
      <c r="G88" s="114">
        <f t="shared" si="9"/>
        <v>3524095764.2725596</v>
      </c>
      <c r="H88" s="114">
        <v>327.39922242684673</v>
      </c>
      <c r="I88" s="149" t="s">
        <v>215</v>
      </c>
      <c r="J88" s="11" t="s">
        <v>119</v>
      </c>
    </row>
    <row r="89" spans="1:10" x14ac:dyDescent="0.35">
      <c r="A89" s="151">
        <v>38</v>
      </c>
      <c r="B89" s="152" t="s">
        <v>96</v>
      </c>
      <c r="C89" s="162">
        <f>Population!D39</f>
        <v>1039890.5461976461</v>
      </c>
      <c r="D89" s="162" t="str">
        <f t="shared" si="7"/>
        <v>Large</v>
      </c>
      <c r="E89" s="188">
        <f>AVERAGE(F89:F91)</f>
        <v>223708463.42310071</v>
      </c>
      <c r="F89" s="188">
        <f t="shared" si="8"/>
        <v>239596736.88953152</v>
      </c>
      <c r="G89" s="114">
        <f t="shared" si="9"/>
        <v>17085571428.571428</v>
      </c>
      <c r="H89" s="114">
        <f>20*10^5/1260</f>
        <v>1587.3015873015872</v>
      </c>
      <c r="I89" s="149" t="s">
        <v>216</v>
      </c>
      <c r="J89" s="11" t="s">
        <v>119</v>
      </c>
    </row>
    <row r="90" spans="1:10" x14ac:dyDescent="0.35">
      <c r="C90" s="162"/>
      <c r="D90" s="162"/>
      <c r="E90" s="188"/>
      <c r="F90" s="188">
        <f t="shared" si="8"/>
        <v>254526.97861384397</v>
      </c>
      <c r="G90" s="114">
        <f t="shared" si="9"/>
        <v>18150242.486859631</v>
      </c>
      <c r="H90" s="114">
        <f>9.8*10^5/581184.07</f>
        <v>1.6862127690457864</v>
      </c>
      <c r="I90" s="149" t="s">
        <v>217</v>
      </c>
      <c r="J90" s="11" t="s">
        <v>119</v>
      </c>
    </row>
    <row r="91" spans="1:10" x14ac:dyDescent="0.35">
      <c r="C91" s="162"/>
      <c r="D91" s="162"/>
      <c r="E91" s="188"/>
      <c r="F91" s="188">
        <f t="shared" si="8"/>
        <v>431274126.40115678</v>
      </c>
      <c r="G91" s="114">
        <f t="shared" si="9"/>
        <v>30754028571.428574</v>
      </c>
      <c r="H91" s="114">
        <f>24*10^5/(20*42)</f>
        <v>2857.1428571428573</v>
      </c>
      <c r="I91" s="149" t="s">
        <v>224</v>
      </c>
      <c r="J91" s="11" t="s">
        <v>119</v>
      </c>
    </row>
    <row r="92" spans="1:10" x14ac:dyDescent="0.35">
      <c r="A92" s="151">
        <v>39</v>
      </c>
      <c r="B92" s="152" t="s">
        <v>97</v>
      </c>
      <c r="C92" s="162">
        <f>Population!D40</f>
        <v>85608.644634293029</v>
      </c>
      <c r="D92" s="162" t="str">
        <f t="shared" si="7"/>
        <v>Small</v>
      </c>
      <c r="E92" s="190">
        <f>$L$6</f>
        <v>399734297.50693494</v>
      </c>
      <c r="F92" s="188">
        <f t="shared" si="8"/>
        <v>330722563.83072704</v>
      </c>
      <c r="G92" s="114">
        <f t="shared" si="9"/>
        <v>23583726810</v>
      </c>
      <c r="H92" s="114">
        <v>2191</v>
      </c>
      <c r="I92" s="114"/>
      <c r="J92" s="11" t="s">
        <v>119</v>
      </c>
    </row>
    <row r="93" spans="1:10" x14ac:dyDescent="0.35">
      <c r="A93" s="151">
        <v>40</v>
      </c>
      <c r="B93" s="152" t="s">
        <v>98</v>
      </c>
      <c r="C93" s="162">
        <f>Population!D41</f>
        <v>152855.6943698473</v>
      </c>
      <c r="D93" s="162" t="str">
        <f t="shared" si="7"/>
        <v>Medium</v>
      </c>
      <c r="E93" s="188">
        <f>AVERAGE(F93:F94)</f>
        <v>101660475.1170758</v>
      </c>
      <c r="F93" s="188">
        <f t="shared" si="8"/>
        <v>63556187.048591517</v>
      </c>
      <c r="G93" s="114">
        <f t="shared" si="9"/>
        <v>4532172631.5789471</v>
      </c>
      <c r="H93" s="114">
        <f>24*10^5/5700</f>
        <v>421.05263157894734</v>
      </c>
      <c r="I93" s="149" t="s">
        <v>218</v>
      </c>
      <c r="J93" s="11" t="s">
        <v>119</v>
      </c>
    </row>
    <row r="94" spans="1:10" x14ac:dyDescent="0.35">
      <c r="C94" s="162"/>
      <c r="D94" s="162"/>
      <c r="E94" s="188"/>
      <c r="F94" s="188">
        <f t="shared" si="8"/>
        <v>139764763.18556008</v>
      </c>
      <c r="G94" s="114">
        <f t="shared" si="9"/>
        <v>9966583333.333334</v>
      </c>
      <c r="H94" s="114">
        <f>40*10^5/4320</f>
        <v>925.92592592592598</v>
      </c>
      <c r="I94" s="149" t="s">
        <v>225</v>
      </c>
      <c r="J94" s="11" t="s">
        <v>119</v>
      </c>
    </row>
    <row r="95" spans="1:10" x14ac:dyDescent="0.35">
      <c r="A95" s="151">
        <v>41</v>
      </c>
      <c r="B95" s="152" t="s">
        <v>99</v>
      </c>
      <c r="C95" s="162">
        <f>Population!D42</f>
        <v>73571.813506507111</v>
      </c>
      <c r="D95" s="162" t="str">
        <f t="shared" si="7"/>
        <v>Small</v>
      </c>
      <c r="E95" s="190">
        <f>$L$6</f>
        <v>399734297.50693494</v>
      </c>
      <c r="F95" s="188">
        <f t="shared" si="8"/>
        <v>0</v>
      </c>
      <c r="G95" s="114">
        <f t="shared" si="9"/>
        <v>0</v>
      </c>
      <c r="J95" s="11" t="s">
        <v>119</v>
      </c>
    </row>
    <row r="96" spans="1:10" x14ac:dyDescent="0.35">
      <c r="A96" s="151">
        <v>42</v>
      </c>
      <c r="B96" s="152" t="s">
        <v>100</v>
      </c>
      <c r="C96" s="162">
        <f>Population!D43</f>
        <v>91108.43921773028</v>
      </c>
      <c r="D96" s="162" t="str">
        <f t="shared" si="7"/>
        <v>Small</v>
      </c>
      <c r="E96" s="188">
        <f>AVERAGE(F96:F97)</f>
        <v>189319723.52178472</v>
      </c>
      <c r="F96" s="188">
        <f t="shared" si="8"/>
        <v>335475036.33713394</v>
      </c>
      <c r="G96" s="114">
        <f t="shared" si="9"/>
        <v>23922624198.690125</v>
      </c>
      <c r="H96" s="114">
        <f>32*10^5/1439.83</f>
        <v>2222.4845988762563</v>
      </c>
      <c r="I96" s="149" t="s">
        <v>219</v>
      </c>
      <c r="J96" s="11" t="s">
        <v>119</v>
      </c>
    </row>
    <row r="97" spans="1:10" x14ac:dyDescent="0.35">
      <c r="C97" s="162"/>
      <c r="D97" s="162"/>
      <c r="E97" s="188"/>
      <c r="F97" s="188">
        <f t="shared" si="8"/>
        <v>43164410.706435479</v>
      </c>
      <c r="G97" s="114">
        <f t="shared" si="9"/>
        <v>3078041178.1527023</v>
      </c>
      <c r="H97" s="114">
        <f>20*10^5/6994</f>
        <v>285.95939376608521</v>
      </c>
      <c r="I97" s="149" t="s">
        <v>220</v>
      </c>
      <c r="J97" s="11" t="s">
        <v>119</v>
      </c>
    </row>
    <row r="98" spans="1:10" x14ac:dyDescent="0.35">
      <c r="C98" s="162"/>
      <c r="D98" s="162"/>
      <c r="E98" s="188"/>
    </row>
    <row r="99" spans="1:10" x14ac:dyDescent="0.35">
      <c r="C99" s="162"/>
      <c r="D99" s="162"/>
      <c r="E99" s="188"/>
    </row>
    <row r="100" spans="1:10" x14ac:dyDescent="0.35">
      <c r="C100" s="162"/>
      <c r="D100" s="162"/>
      <c r="E100" s="188"/>
    </row>
    <row r="101" spans="1:10" x14ac:dyDescent="0.35">
      <c r="C101" s="162"/>
      <c r="D101" s="162"/>
      <c r="E101" s="188"/>
      <c r="I101" s="163"/>
    </row>
    <row r="102" spans="1:10" x14ac:dyDescent="0.35">
      <c r="C102" s="162"/>
      <c r="D102" s="162"/>
      <c r="E102" s="188"/>
      <c r="I102" s="163"/>
    </row>
    <row r="103" spans="1:10" x14ac:dyDescent="0.35">
      <c r="C103" s="162"/>
      <c r="D103" s="162"/>
      <c r="E103" s="188"/>
    </row>
    <row r="104" spans="1:10" x14ac:dyDescent="0.35">
      <c r="C104" s="162"/>
      <c r="D104" s="162"/>
      <c r="E104" s="188"/>
    </row>
    <row r="105" spans="1:10" x14ac:dyDescent="0.35">
      <c r="C105" s="162"/>
      <c r="D105" s="162"/>
      <c r="E105" s="188"/>
    </row>
    <row r="106" spans="1:10" x14ac:dyDescent="0.35">
      <c r="C106" s="162"/>
      <c r="D106" s="162"/>
      <c r="E106" s="188"/>
    </row>
    <row r="107" spans="1:10" x14ac:dyDescent="0.35">
      <c r="C107" s="162"/>
      <c r="D107" s="162"/>
      <c r="E107" s="188"/>
    </row>
    <row r="108" spans="1:10" x14ac:dyDescent="0.35">
      <c r="C108" s="162"/>
      <c r="D108" s="162"/>
      <c r="E108" s="188"/>
    </row>
    <row r="109" spans="1:10" x14ac:dyDescent="0.35">
      <c r="C109" s="162"/>
      <c r="D109" s="162"/>
      <c r="E109" s="188"/>
    </row>
    <row r="110" spans="1:10" x14ac:dyDescent="0.35">
      <c r="C110" s="162"/>
      <c r="D110" s="162"/>
      <c r="E110" s="188"/>
      <c r="I110" s="163"/>
    </row>
    <row r="111" spans="1:10" x14ac:dyDescent="0.35">
      <c r="C111" s="162"/>
      <c r="D111" s="162"/>
      <c r="E111" s="188"/>
      <c r="I111" s="163"/>
    </row>
    <row r="112" spans="1:10" x14ac:dyDescent="0.35">
      <c r="A112" s="11"/>
      <c r="B112" s="11"/>
      <c r="C112" s="162"/>
      <c r="D112" s="162"/>
      <c r="E112" s="188"/>
      <c r="I112" s="163"/>
    </row>
    <row r="113" spans="1:5" x14ac:dyDescent="0.35">
      <c r="A113" s="11"/>
      <c r="B113" s="11"/>
      <c r="C113" s="162"/>
      <c r="D113" s="162"/>
      <c r="E113" s="188"/>
    </row>
  </sheetData>
  <autoFilter ref="A1:I1" xr:uid="{DBEB8424-DE24-4DD6-98B8-B33462311639}"/>
  <mergeCells count="1">
    <mergeCell ref="K2:L2"/>
  </mergeCells>
  <hyperlinks>
    <hyperlink ref="I2" r:id="rId1" xr:uid="{2123EFFC-BE1F-4689-B669-78B813701A3C}"/>
    <hyperlink ref="I3" r:id="rId2" xr:uid="{982B6E42-4E8A-439F-9EFD-ED1D3FD338A5}"/>
    <hyperlink ref="I5" r:id="rId3" xr:uid="{39802F31-CC0A-4454-BE8C-65684C9B8CE1}"/>
    <hyperlink ref="I6" r:id="rId4" display="https://housing.com/in/buy/search/projects/202167?utm_source=nestoria&amp;utm_medium=referral&amp;utm_campaign=np_platinum&amp;mktg=true&amp;utm_term=202167&amp;utm_content=Budigere%20Cross&amp;utm_dynamicid=3bb538e49fd3a704f6efc2e3c3947cce80231f70&amp;f=eyJiYXNlIjpbeyJ0eXBlIjoiUE9MWSIsInV1aWQiOiI4M2UyY2IyNmMyNGIzYjM5MjY0YSIsImxhYmVsIjoiQnVkaWdlcmUgQ3Jvc3MiLCJjbGFzc05hbWUiOiJzZWFyY2gtZW50aXR5In1dLCJ2IjoyLCJxdl9yZXNhbGVfaWQiOm51bGwsInF2X3Byb2plY3RfaWQiOiIyMDIxNjcifQ%3D%3D" xr:uid="{2661B114-0C96-47DA-A874-4DB8A59997A6}"/>
    <hyperlink ref="I7" r:id="rId5" display="https://housing.com/in/buy/search/projects/202167?utm_source=nestoria&amp;utm_medium=referral&amp;utm_campaign=np_platinum&amp;mktg=true&amp;utm_term=202167&amp;utm_content=Budigere%20Cross&amp;utm_dynamicid=3bb538e49fd3a704f6efc2e3c3947cce80231f70&amp;f=eyJiYXNlIjpbeyJ0eXBlIjoiUE9MWSIsInV1aWQiOiI4M2UyY2IyNmMyNGIzYjM5MjY0YSIsImxhYmVsIjoiQnVkaWdlcmUgQ3Jvc3MiLCJjbGFzc05hbWUiOiJzZWFyY2gtZW50aXR5In1dLCJ2IjoyLCJxdl9yZXNhbGVfaWQiOm51bGwsInF2X3Byb2plY3RfaWQiOiIyMDIxNjcifQ%3D%3D" xr:uid="{08CCE6C9-87E1-440D-93B8-DCCC046F0E8B}"/>
    <hyperlink ref="I8" r:id="rId6" xr:uid="{AE5729AE-0B03-490C-818B-F3BDEBC8D1E9}"/>
    <hyperlink ref="I9" r:id="rId7" xr:uid="{DDB2DB8C-F7C5-4864-BAD7-7F44F0545724}"/>
    <hyperlink ref="I10" r:id="rId8" xr:uid="{09ED436A-570C-42CD-9902-6D6E647203EB}"/>
    <hyperlink ref="I11" r:id="rId9" xr:uid="{10450549-306C-4BE4-AED2-A6C81A7FA0BE}"/>
    <hyperlink ref="I12" r:id="rId10" xr:uid="{FD79B076-4B2D-4CA8-99CC-5B47E3C3A574}"/>
    <hyperlink ref="I13" r:id="rId11" xr:uid="{D96B3F9B-A267-466F-9D4A-AD18B47B71DD}"/>
    <hyperlink ref="I14" r:id="rId12" location="config-card" display="https://housing.com/in/buy/search/projects/68646?utm_source=nestoria&amp;utm_medium=referral&amp;utm_campaign=np_platinum&amp;mktg=true&amp;utm_term=68646&amp;utm_content=Kundrathur&amp;utm_dynamicid=cf97d22c6ecdf73f7d648cdabfd417b4d8f2c8a8&amp;f=eyJiYXNlIjpbeyJ0eXBlIjoiUE9MWSIsInV1aWQiOiJlODExMTIxMzA4OTEzZTJmNTM4NyIsImxhYmVsIjoiS3VuZHJhdGh1ciIsImNsYXNzTmFtZSI6InNlYXJjaC1lbnRpdHkifV0sInYiOjIsInF2X3Jlc2FsZV9pZCI6bnVsbCwicXZfcHJvamVjdF9pZCI6IjY4NjQ2In0%3D - config-card" xr:uid="{A610E49D-3571-4700-95A7-6F439F443A1D}"/>
    <hyperlink ref="I16" r:id="rId13" xr:uid="{64D301FB-F2BD-4767-A87A-6DC39077D853}"/>
    <hyperlink ref="I17" r:id="rId14" xr:uid="{E63827D5-0988-4786-8158-73258CFF3422}"/>
    <hyperlink ref="I18" r:id="rId15" xr:uid="{AB241A94-97CD-4B45-B03F-5E3669A92100}"/>
    <hyperlink ref="I19" r:id="rId16" xr:uid="{E3136102-6D92-4CC2-8D6F-6F448F57CD80}"/>
    <hyperlink ref="I21" r:id="rId17" xr:uid="{042609BE-AA23-464E-AD4E-77B2D2A7DA8F}"/>
    <hyperlink ref="I22" r:id="rId18" xr:uid="{F069766B-E795-437E-B598-E48979B2675B}"/>
    <hyperlink ref="I24" r:id="rId19" display="https://housing.com/in/buy/search/projects/134395?utm_source=nestoria&amp;utm_medium=referral&amp;utm_campaign=np_platinum&amp;mktg=true&amp;utm_term=134395&amp;utm_content=Jubilee%20Hills&amp;utm_dynamicid=79e7be9b77511b20cca7fce70a19b5f54ede23c7&amp;f=eyJiYXNlIjpbeyJ0eXBlIjoiUE9MWSIsInV1aWQiOiJiNjY3YWM1NmI0OGJhNGYwNTdiZCIsImxhYmVsIjoiSnViaWxlZSBIaWxscyIsImNsYXNzTmFtZSI6InNlYXJjaC1lbnRpdHkifV0sInYiOjIsInF2X3Jlc2FsZV9pZCI6bnVsbCwicXZfcHJvamVjdF9pZCI6IjEzNDM5NSJ9" xr:uid="{8DC890EE-B148-4742-BD43-0732CFA6BB0D}"/>
    <hyperlink ref="I25" r:id="rId20" display="https://housing.com/in/buy/search/projects/134395?utm_source=nestoria&amp;utm_medium=referral&amp;utm_campaign=np_platinum&amp;mktg=true&amp;utm_term=134395&amp;utm_content=Jubilee%20Hills&amp;utm_dynamicid=79e7be9b77511b20cca7fce70a19b5f54ede23c7&amp;f=eyJiYXNlIjpbeyJ0eXBlIjoiUE9MWSIsInV1aWQiOiJiNjY3YWM1NmI0OGJhNGYwNTdiZCIsImxhYmVsIjoiSnViaWxlZSBIaWxscyIsImNsYXNzTmFtZSI6InNlYXJjaC1lbnRpdHkifV0sInYiOjIsInF2X3Jlc2FsZV9pZCI6bnVsbCwicXZfcHJvamVjdF9pZCI6IjEzNDM5NSJ9" xr:uid="{9D9D0AFF-E30A-4856-A243-1761DBC9DF8F}"/>
    <hyperlink ref="I26" r:id="rId21" display="https://housing.com/in/buy/search/projects/228036?utm_source=nestoria&amp;utm_medium=referral&amp;utm_campaign=np_platinum&amp;mktg=true&amp;utm_term=228036&amp;utm_content=Thimmapur&amp;utm_dynamicid=9352b938b7f8291bef691cb134098e950bdef477&amp;f=eyJiYXNlIjpbeyJ0eXBlIjoiUE9MWSIsInV1aWQiOiIzMjg4MzVhMzJlMzY5ZmRmMTQ2OCIsImxhYmVsIjoiVGhpbW1hcHVyIiwiY2xhc3NOYW1lIjoic2VhcmNoLWVudGl0eSJ9XSwidiI6MiwicXZfcmVzYWxlX2lkIjpudWxsLCJxdl9wcm9qZWN0X2lkIjoiMjI4MDM2In0%3D" xr:uid="{69EE7D94-6BD8-4F9D-939C-12DB6255BD25}"/>
    <hyperlink ref="I27" r:id="rId22" xr:uid="{294601C4-4B3E-4D55-B9F0-39A37559648F}"/>
    <hyperlink ref="I28" r:id="rId23" xr:uid="{C1141633-B7F9-4FB5-8650-42C45B0BD80A}"/>
    <hyperlink ref="I30" r:id="rId24" xr:uid="{1253B433-556D-4593-BE88-AE77B8C49C0C}"/>
    <hyperlink ref="I32" r:id="rId25" xr:uid="{4A8BFD1A-7EA8-44AA-B00B-9B146970BA65}"/>
    <hyperlink ref="I33" r:id="rId26" display="https://housing.com/in/buy/search/projects/80191?utm_source=nestoria&amp;utm_medium=referral&amp;utm_campaign=np_platinum&amp;mktg=true&amp;utm_term=80191&amp;utm_content=Sankharipota&amp;utm_dynamicid=bdca6c37019e482cecda72bbd5ae36ebeab3eaa7&amp;f=eyJiYXNlIjpbeyJ0eXBlIjoiUE9MWSIsInV1aWQiOiI2YWMxZjIyMWQxNDMzZmE4ODM2MiIsImxhYmVsIjoiSm9rYSIsImNsYXNzTmFtZSI6InNlYXJjaC1lbnRpdHkifV0sInYiOjIsInF2X3Jlc2FsZV9pZCI6bnVsbCwicXZfcHJvamVjdF9pZCI6IjgwMTkxIn0%3D" xr:uid="{2C573480-60B1-44C5-8D68-5FF064AB2B1F}"/>
    <hyperlink ref="I34" r:id="rId27" display="https://housing.com/in/buy/search/projects/202232?utm_source=nestoria&amp;utm_medium=referral&amp;utm_campaign=np_platinum&amp;mktg=true&amp;utm_term=202232&amp;utm_content=Rasapunja&amp;utm_dynamicid=5e9fb5b4d40923f97371badabe4d46d0155c1e00&amp;f=eyJiYXNlIjpbeyJ0eXBlIjoiUE9MWSIsInV1aWQiOiI5YWQxN2E4NGYyYTcwN2Q5ZDgzNCIsImxhYmVsIjoiUmFzYXB1bmphIiwiY2xhc3NOYW1lIjoic2VhcmNoLWVudGl0eSJ9XSwidiI6MiwicXZfcmVzYWxlX2lkIjpudWxsLCJxdl9wcm9qZWN0X2lkIjoiMjAyMjMyIn0%3D" xr:uid="{EF60A8BB-3944-412D-B7DD-2E219260C39E}"/>
    <hyperlink ref="I35" r:id="rId28" display="https://housing.com/in/buy/search/projects/198336?utm_source=nestoria&amp;utm_medium=referral&amp;utm_campaign=np_platinum&amp;mktg=true&amp;utm_term=198336&amp;utm_content=Joka&amp;utm_dynamicid=12acc604cd5d896a34587a278d6061149815b08d&amp;f=eyJiYXNlIjpbeyJ0eXBlIjoiUE9MWSIsInV1aWQiOiI2YWMxZjIyMWQxNDMzZmE4ODM2MiIsImxhYmVsIjoiSm9rYSIsImNsYXNzTmFtZSI6InNlYXJjaC1lbnRpdHkifV0sInYiOjIsInF2X3Jlc2FsZV9pZCI6bnVsbCwicXZfcHJvamVjdF9pZCI6IjE5ODMzNiJ9" xr:uid="{762BC9F8-1891-41BF-A9F9-C3D99F4D29F4}"/>
    <hyperlink ref="I36" r:id="rId29" xr:uid="{328859CC-4569-4EC5-A5CA-C9E559DD549A}"/>
    <hyperlink ref="I37" r:id="rId30" xr:uid="{15FAFC08-0DA7-42EE-84EC-2BB3A7D0A6D1}"/>
    <hyperlink ref="I38" r:id="rId31" xr:uid="{94A240ED-591C-4D82-8EB7-6EBE80769679}"/>
    <hyperlink ref="I39" r:id="rId32" xr:uid="{C29A8F18-CD5A-443F-8ED5-F68AAB050286}"/>
    <hyperlink ref="I40" r:id="rId33" xr:uid="{033CD7F6-B3C5-4879-A12A-1F1CA0CD5789}"/>
    <hyperlink ref="I41" r:id="rId34" xr:uid="{3950DA21-CD7B-4536-8CB0-37F660AD5224}"/>
    <hyperlink ref="I46" r:id="rId35" xr:uid="{A3F7A52A-E048-496D-8896-7E44DFE024A9}"/>
    <hyperlink ref="I47" r:id="rId36" xr:uid="{561EF414-975D-445A-904F-4D12620A73D7}"/>
    <hyperlink ref="I48" r:id="rId37" xr:uid="{D21B82B5-C968-4ADF-82CB-CED4D7E8E5EB}"/>
    <hyperlink ref="I49" r:id="rId38" xr:uid="{667DDF99-AE69-49BD-B561-F4736920B2EB}"/>
    <hyperlink ref="I50" r:id="rId39" xr:uid="{28E43442-CF22-492A-AE16-CC10E5C58FAE}"/>
    <hyperlink ref="I42" r:id="rId40" xr:uid="{4DF16B00-6B2F-4094-B699-A5EC242977F6}"/>
    <hyperlink ref="I43" r:id="rId41" xr:uid="{A8D4C57C-B7B3-46F1-B1FD-3C490A4B6D4D}"/>
    <hyperlink ref="I44" r:id="rId42" xr:uid="{F10B9CFC-C727-41C5-82D2-83C5342B2524}"/>
    <hyperlink ref="I45" r:id="rId43" xr:uid="{5F106877-5E7F-4576-A4B5-37597C6A3E5A}"/>
    <hyperlink ref="I51" r:id="rId44" xr:uid="{2419B1B5-5B68-4F9F-8882-CD9487854897}"/>
    <hyperlink ref="I52" r:id="rId45" xr:uid="{EE181767-3920-4057-A838-9F2E298D6F55}"/>
    <hyperlink ref="I53" r:id="rId46" xr:uid="{28CECD54-2F16-4D67-A40D-4CC23F0918B1}"/>
    <hyperlink ref="I54" r:id="rId47" xr:uid="{DC14719C-3E80-49E5-85E1-BDD89FF60B05}"/>
    <hyperlink ref="I55" r:id="rId48" xr:uid="{B2DE7E0C-C7DD-48D8-B9FC-B518D3FE98B8}"/>
    <hyperlink ref="I56" r:id="rId49" xr:uid="{DA8A405C-3C41-4721-8F7F-E7F8E8B229C3}"/>
    <hyperlink ref="I57" r:id="rId50" xr:uid="{5BF76CF5-7B58-4FA6-B208-3A933A2905A6}"/>
    <hyperlink ref="I58" r:id="rId51" xr:uid="{9EC67C42-BB03-4686-99A4-7D271A2677F3}"/>
    <hyperlink ref="I59" r:id="rId52" xr:uid="{46608A66-1EE8-4005-BA0F-CE82B208B51B}"/>
    <hyperlink ref="I60" r:id="rId53" xr:uid="{58ED3E06-5702-4597-9ABE-3F6C13D856FA}"/>
    <hyperlink ref="I61" r:id="rId54" xr:uid="{224E65AE-EF4B-4753-903E-FDAC659D2056}"/>
    <hyperlink ref="I62" r:id="rId55" xr:uid="{7B7EF8CC-FA9B-4269-A025-1F6E71632DD4}"/>
    <hyperlink ref="I63" r:id="rId56" xr:uid="{5CDDECC5-F876-4168-82B9-B1F7B5DC7FDA}"/>
    <hyperlink ref="I64" r:id="rId57" xr:uid="{12A57EA0-BB74-4311-9532-3605563D3061}"/>
    <hyperlink ref="I65" r:id="rId58" xr:uid="{D61CA5B0-2A0E-40A7-9DC9-E41629BCC59A}"/>
    <hyperlink ref="I66" r:id="rId59" xr:uid="{B1765AA6-EF8A-468B-8656-A48812357361}"/>
    <hyperlink ref="I67" r:id="rId60" xr:uid="{B529D729-7B1F-4067-A892-5AC69A593E7A}"/>
    <hyperlink ref="I68" r:id="rId61" xr:uid="{219F15A5-7A87-4FC8-A0E5-77EFDDD7C620}"/>
    <hyperlink ref="I69" r:id="rId62" xr:uid="{6134D2FB-B92D-4B40-8322-CAD1B934EDC2}"/>
    <hyperlink ref="I74" r:id="rId63" xr:uid="{A76A1A18-C210-411D-B1DC-96B924228565}"/>
    <hyperlink ref="I75" r:id="rId64" xr:uid="{E1938289-4944-4344-91C1-1DD96AD810F5}"/>
    <hyperlink ref="I76" r:id="rId65" xr:uid="{8E6A1A0E-D0FC-479C-AAB6-B7773BFF79B3}"/>
    <hyperlink ref="I77" r:id="rId66" xr:uid="{2D815D32-2F0B-4254-ACD5-098C3C112E81}"/>
    <hyperlink ref="I78" r:id="rId67" xr:uid="{28A39499-31EC-4056-A375-378F7159F989}"/>
    <hyperlink ref="I79" r:id="rId68" xr:uid="{CDE55D38-82B4-4C51-B284-57165F232C09}"/>
    <hyperlink ref="I80" r:id="rId69" xr:uid="{901A4B94-2C75-4DB2-9B11-66DB9C37667F}"/>
    <hyperlink ref="I81" r:id="rId70" xr:uid="{48D3DC07-F8F7-4BA1-9EC1-2E80386A6A52}"/>
    <hyperlink ref="I82" r:id="rId71" xr:uid="{52FB37FF-7E73-4365-BCA4-059E25956246}"/>
    <hyperlink ref="I83" r:id="rId72" xr:uid="{970FDF57-B581-4DF2-B6DE-432D8E627813}"/>
    <hyperlink ref="I84" r:id="rId73" xr:uid="{D620208B-D254-4BE1-AD08-F97BA84BD3A4}"/>
    <hyperlink ref="I85" r:id="rId74" xr:uid="{EB102ABC-71EF-4616-B9B2-23170C664A03}"/>
    <hyperlink ref="I86" r:id="rId75" xr:uid="{787C87D6-9BF2-4C2E-AB68-C117465C5DD3}"/>
    <hyperlink ref="I87" r:id="rId76" xr:uid="{70A9D894-445C-47C3-AE27-E35ADE1225C0}"/>
    <hyperlink ref="I89" r:id="rId77" xr:uid="{3E910166-A876-466C-BEA3-0E15CCB703BD}"/>
    <hyperlink ref="I90" r:id="rId78" xr:uid="{1946F189-D194-4818-B169-093F5C23D6D7}"/>
    <hyperlink ref="I93" r:id="rId79" xr:uid="{F03E61C6-A312-4361-82CE-025B7733A21D}"/>
    <hyperlink ref="I96" r:id="rId80" xr:uid="{76CAF48A-E779-42AC-97EC-394B72BD883F}"/>
    <hyperlink ref="I97" r:id="rId81" xr:uid="{29F8DB9E-72B0-4919-935D-6E0079052D99}"/>
    <hyperlink ref="I70" r:id="rId82" xr:uid="{B568EF1C-F692-4F69-9867-B6C9A1A9AEF0}"/>
    <hyperlink ref="I71" r:id="rId83" xr:uid="{B54AF45A-FEBB-4514-BA25-346BFC75E985}"/>
    <hyperlink ref="I73" r:id="rId84" xr:uid="{D04C9B82-0151-4A04-92CD-C97AEC31D677}"/>
    <hyperlink ref="I91" r:id="rId85" xr:uid="{E1CD1184-BE24-4C06-BE1B-90029FD81769}"/>
    <hyperlink ref="I94" r:id="rId86" xr:uid="{CC3DFCC0-BECF-42EA-8134-FF7E602227A5}"/>
  </hyperlinks>
  <pageMargins left="0.7" right="0.7" top="0.75" bottom="0.75" header="0.3" footer="0.3"/>
  <pageSetup orientation="portrait" horizontalDpi="4294967293" verticalDpi="0" r:id="rId8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3183-89AA-4994-B2E2-AEC194C1D96A}">
  <dimension ref="A1:F43"/>
  <sheetViews>
    <sheetView zoomScale="90" zoomScaleNormal="90" workbookViewId="0">
      <selection activeCell="C28" sqref="C28"/>
    </sheetView>
  </sheetViews>
  <sheetFormatPr defaultRowHeight="14.5" x14ac:dyDescent="0.35"/>
  <cols>
    <col min="1" max="1" width="3.36328125" bestFit="1" customWidth="1"/>
    <col min="2" max="2" width="18.81640625" bestFit="1" customWidth="1"/>
    <col min="3" max="3" width="13.6328125" style="181" bestFit="1" customWidth="1"/>
    <col min="5" max="5" width="42.36328125" bestFit="1" customWidth="1"/>
  </cols>
  <sheetData>
    <row r="1" spans="1:5" ht="29" x14ac:dyDescent="0.35">
      <c r="A1" s="174" t="s">
        <v>16</v>
      </c>
      <c r="B1" s="175" t="s">
        <v>1</v>
      </c>
      <c r="C1" s="180" t="s">
        <v>34</v>
      </c>
      <c r="D1" s="176" t="s">
        <v>0</v>
      </c>
      <c r="E1" s="176" t="s">
        <v>4</v>
      </c>
    </row>
    <row r="2" spans="1:5" x14ac:dyDescent="0.35">
      <c r="A2" s="171">
        <v>1</v>
      </c>
      <c r="B2" s="172" t="s">
        <v>59</v>
      </c>
      <c r="C2" s="181">
        <v>8.5500000000000007E-2</v>
      </c>
      <c r="D2">
        <v>2006</v>
      </c>
      <c r="E2" t="s">
        <v>228</v>
      </c>
    </row>
    <row r="3" spans="1:5" x14ac:dyDescent="0.35">
      <c r="A3" s="171">
        <v>2</v>
      </c>
      <c r="B3" s="172" t="s">
        <v>60</v>
      </c>
      <c r="C3" s="181">
        <f>'Cost Calculations'!F5*0.021</f>
        <v>12.956920723790825</v>
      </c>
      <c r="E3" t="s">
        <v>226</v>
      </c>
    </row>
    <row r="4" spans="1:5" x14ac:dyDescent="0.35">
      <c r="A4" s="171">
        <v>3</v>
      </c>
      <c r="B4" s="172" t="s">
        <v>61</v>
      </c>
      <c r="C4" s="182">
        <f>'Cost Calculations'!F6*0.0707</f>
        <v>51.448709502731482</v>
      </c>
      <c r="E4" t="s">
        <v>226</v>
      </c>
    </row>
    <row r="5" spans="1:5" x14ac:dyDescent="0.35">
      <c r="A5" s="171">
        <v>4</v>
      </c>
      <c r="B5" s="172" t="s">
        <v>62</v>
      </c>
      <c r="C5" s="182">
        <f>'Cost Calculations'!F7*0.25</f>
        <v>100.58253557595253</v>
      </c>
      <c r="E5" t="s">
        <v>226</v>
      </c>
    </row>
    <row r="6" spans="1:5" x14ac:dyDescent="0.35">
      <c r="A6" s="171">
        <v>5</v>
      </c>
      <c r="B6" s="172" t="s">
        <v>63</v>
      </c>
      <c r="C6" s="182">
        <f>'Cost Calculations'!F8*0.0302</f>
        <v>5.5043623831296431</v>
      </c>
      <c r="E6" t="s">
        <v>226</v>
      </c>
    </row>
    <row r="7" spans="1:5" x14ac:dyDescent="0.35">
      <c r="A7" s="171">
        <v>6</v>
      </c>
      <c r="B7" s="172" t="s">
        <v>64</v>
      </c>
      <c r="C7" s="182">
        <v>10.71</v>
      </c>
      <c r="E7" t="s">
        <v>226</v>
      </c>
    </row>
    <row r="8" spans="1:5" x14ac:dyDescent="0.35">
      <c r="A8" s="171">
        <v>7</v>
      </c>
      <c r="B8" s="172" t="s">
        <v>65</v>
      </c>
      <c r="C8" s="182">
        <v>32.54</v>
      </c>
      <c r="E8" t="s">
        <v>226</v>
      </c>
    </row>
    <row r="9" spans="1:5" x14ac:dyDescent="0.35">
      <c r="A9" s="171">
        <v>8</v>
      </c>
      <c r="B9" s="172" t="s">
        <v>66</v>
      </c>
      <c r="C9" s="183">
        <v>0</v>
      </c>
      <c r="D9" s="178" t="s">
        <v>232</v>
      </c>
      <c r="E9" s="179" t="s">
        <v>233</v>
      </c>
    </row>
    <row r="10" spans="1:5" x14ac:dyDescent="0.35">
      <c r="A10" s="171">
        <v>9</v>
      </c>
      <c r="B10" s="172" t="s">
        <v>67</v>
      </c>
      <c r="C10" s="182">
        <f>46.5/100</f>
        <v>0.46500000000000002</v>
      </c>
      <c r="E10" t="s">
        <v>226</v>
      </c>
    </row>
    <row r="11" spans="1:5" x14ac:dyDescent="0.35">
      <c r="A11" s="171">
        <v>10</v>
      </c>
      <c r="B11" s="172" t="s">
        <v>68</v>
      </c>
      <c r="C11" s="182">
        <v>1.1399999999999999</v>
      </c>
      <c r="E11" t="s">
        <v>226</v>
      </c>
    </row>
    <row r="12" spans="1:5" x14ac:dyDescent="0.35">
      <c r="A12" s="171">
        <v>11</v>
      </c>
      <c r="B12" s="172" t="s">
        <v>69</v>
      </c>
      <c r="C12" s="183">
        <v>0</v>
      </c>
      <c r="D12" s="178" t="s">
        <v>232</v>
      </c>
      <c r="E12" s="179" t="s">
        <v>233</v>
      </c>
    </row>
    <row r="13" spans="1:5" x14ac:dyDescent="0.35">
      <c r="A13" s="171">
        <v>12</v>
      </c>
      <c r="B13" s="172" t="s">
        <v>70</v>
      </c>
      <c r="C13" s="183">
        <v>0</v>
      </c>
      <c r="D13" s="178" t="s">
        <v>232</v>
      </c>
      <c r="E13" s="179" t="s">
        <v>233</v>
      </c>
    </row>
    <row r="14" spans="1:5" x14ac:dyDescent="0.35">
      <c r="A14" s="171">
        <v>13</v>
      </c>
      <c r="B14" s="172" t="s">
        <v>71</v>
      </c>
      <c r="C14" s="182">
        <f>729.98*AVERAGE(0.42,0.36,0.37)</f>
        <v>279.82566666666668</v>
      </c>
      <c r="D14">
        <v>2014</v>
      </c>
      <c r="E14" s="149" t="s">
        <v>229</v>
      </c>
    </row>
    <row r="15" spans="1:5" x14ac:dyDescent="0.35">
      <c r="A15" s="171">
        <v>14</v>
      </c>
      <c r="B15" s="172" t="s">
        <v>72</v>
      </c>
      <c r="C15" s="183">
        <v>0</v>
      </c>
      <c r="D15" s="178" t="s">
        <v>232</v>
      </c>
      <c r="E15" s="179" t="s">
        <v>233</v>
      </c>
    </row>
    <row r="16" spans="1:5" x14ac:dyDescent="0.35">
      <c r="A16" s="171">
        <v>15</v>
      </c>
      <c r="B16" s="172" t="s">
        <v>73</v>
      </c>
      <c r="C16" s="182">
        <f>3.4+1.83+1+1+1.08+0.09+17.12+17.83</f>
        <v>43.35</v>
      </c>
      <c r="D16">
        <v>2018</v>
      </c>
      <c r="E16" t="s">
        <v>230</v>
      </c>
    </row>
    <row r="17" spans="1:6" x14ac:dyDescent="0.35">
      <c r="A17" s="171">
        <v>16</v>
      </c>
      <c r="B17" s="172" t="s">
        <v>74</v>
      </c>
      <c r="C17" s="182">
        <f>303.9*AVERAGE(0.39,0.31,0.37)</f>
        <v>108.39099999999998</v>
      </c>
      <c r="D17">
        <v>2014</v>
      </c>
      <c r="E17" s="149" t="s">
        <v>231</v>
      </c>
    </row>
    <row r="18" spans="1:6" x14ac:dyDescent="0.35">
      <c r="A18" s="171">
        <v>17</v>
      </c>
      <c r="B18" s="172" t="s">
        <v>75</v>
      </c>
      <c r="C18" s="183">
        <v>0</v>
      </c>
      <c r="D18" s="178" t="s">
        <v>232</v>
      </c>
      <c r="E18" s="179" t="s">
        <v>233</v>
      </c>
    </row>
    <row r="19" spans="1:6" x14ac:dyDescent="0.35">
      <c r="A19" s="171">
        <v>18</v>
      </c>
      <c r="B19" s="172" t="s">
        <v>76</v>
      </c>
      <c r="C19" s="183">
        <v>0</v>
      </c>
      <c r="D19" s="178" t="s">
        <v>232</v>
      </c>
      <c r="E19" s="179" t="s">
        <v>233</v>
      </c>
    </row>
    <row r="20" spans="1:6" x14ac:dyDescent="0.35">
      <c r="A20" s="171">
        <v>19</v>
      </c>
      <c r="B20" s="172" t="s">
        <v>77</v>
      </c>
      <c r="C20" s="182">
        <f>(27758.52*2+1226.56+1542.6+72310.94+3110.29+4433.19+7549.98+2846.45+3649.58+2782.36+14084.1+15785.57+3545.06+3356.94+1614.9+2782.36+1895.71+17782.21+6613.55+9832.53+2742+4298+16588.22+2325+4180.5+7625.23+5493.18+13310.7+14782+36954+27628.65+3854.4+8568+3015+4266+2690+1872.5)*10^-6</f>
        <v>0.39245529999999995</v>
      </c>
      <c r="D20">
        <v>2019</v>
      </c>
      <c r="E20" s="149" t="s">
        <v>234</v>
      </c>
      <c r="F20" t="s">
        <v>235</v>
      </c>
    </row>
    <row r="21" spans="1:6" x14ac:dyDescent="0.35">
      <c r="A21" s="171">
        <v>20</v>
      </c>
      <c r="B21" s="172" t="s">
        <v>78</v>
      </c>
      <c r="C21" s="182">
        <f>(1410+2020+435)/100</f>
        <v>38.65</v>
      </c>
      <c r="E21" t="s">
        <v>226</v>
      </c>
    </row>
    <row r="22" spans="1:6" x14ac:dyDescent="0.35">
      <c r="A22" s="171">
        <v>21</v>
      </c>
      <c r="B22" s="173" t="s">
        <v>79</v>
      </c>
      <c r="C22" s="182">
        <f>1.28*Population!C22*10^-6</f>
        <v>15.92623744</v>
      </c>
      <c r="D22">
        <v>2017</v>
      </c>
      <c r="E22" s="149" t="s">
        <v>236</v>
      </c>
    </row>
    <row r="23" spans="1:6" x14ac:dyDescent="0.35">
      <c r="A23" s="171">
        <v>22</v>
      </c>
      <c r="B23" s="172" t="s">
        <v>80</v>
      </c>
      <c r="C23" s="182">
        <v>87.22</v>
      </c>
      <c r="D23">
        <v>2007</v>
      </c>
      <c r="E23" s="184" t="s">
        <v>237</v>
      </c>
      <c r="F23" t="s">
        <v>238</v>
      </c>
    </row>
    <row r="24" spans="1:6" x14ac:dyDescent="0.35">
      <c r="A24" s="171">
        <v>23</v>
      </c>
      <c r="B24" s="172" t="s">
        <v>81</v>
      </c>
      <c r="C24" s="182">
        <v>0.8</v>
      </c>
      <c r="D24">
        <v>2015</v>
      </c>
      <c r="E24" s="185" t="s">
        <v>239</v>
      </c>
    </row>
    <row r="25" spans="1:6" x14ac:dyDescent="0.35">
      <c r="A25" s="171">
        <v>24</v>
      </c>
      <c r="B25" s="172" t="s">
        <v>82</v>
      </c>
      <c r="C25" s="183">
        <v>0</v>
      </c>
      <c r="D25" s="178" t="s">
        <v>232</v>
      </c>
      <c r="E25" s="179" t="s">
        <v>233</v>
      </c>
    </row>
    <row r="26" spans="1:6" x14ac:dyDescent="0.35">
      <c r="A26" s="171">
        <v>25</v>
      </c>
      <c r="B26" s="172" t="s">
        <v>83</v>
      </c>
      <c r="C26" s="182">
        <v>0.56000000000000005</v>
      </c>
      <c r="D26">
        <v>2019</v>
      </c>
      <c r="E26" s="149" t="s">
        <v>240</v>
      </c>
    </row>
    <row r="27" spans="1:6" x14ac:dyDescent="0.35">
      <c r="A27" s="171">
        <v>26</v>
      </c>
      <c r="B27" s="172" t="s">
        <v>84</v>
      </c>
      <c r="C27" s="182">
        <f>125924*10^-6</f>
        <v>0.12592400000000001</v>
      </c>
      <c r="D27">
        <v>2019</v>
      </c>
      <c r="E27" t="s">
        <v>241</v>
      </c>
    </row>
    <row r="28" spans="1:6" x14ac:dyDescent="0.35">
      <c r="A28" s="171">
        <v>27</v>
      </c>
      <c r="B28" s="172" t="s">
        <v>85</v>
      </c>
      <c r="C28" s="181">
        <v>27.873100000000001</v>
      </c>
      <c r="E28" t="s">
        <v>227</v>
      </c>
    </row>
    <row r="29" spans="1:6" x14ac:dyDescent="0.35">
      <c r="A29" s="171">
        <v>28</v>
      </c>
      <c r="B29" s="172" t="s">
        <v>86</v>
      </c>
      <c r="C29" s="181">
        <f>0.38*'Cost Calculations'!F31</f>
        <v>59.512458633395788</v>
      </c>
      <c r="D29">
        <v>2019</v>
      </c>
      <c r="E29" s="149" t="s">
        <v>242</v>
      </c>
    </row>
    <row r="30" spans="1:6" x14ac:dyDescent="0.35">
      <c r="A30" s="171">
        <v>29</v>
      </c>
      <c r="B30" s="172" t="s">
        <v>87</v>
      </c>
      <c r="C30" s="183">
        <v>0</v>
      </c>
      <c r="D30" s="178" t="s">
        <v>232</v>
      </c>
      <c r="E30" s="179" t="s">
        <v>233</v>
      </c>
    </row>
    <row r="31" spans="1:6" x14ac:dyDescent="0.35">
      <c r="A31" s="99">
        <v>30</v>
      </c>
      <c r="B31" s="172" t="s">
        <v>88</v>
      </c>
      <c r="C31" s="181">
        <f>0.0193+0.01</f>
        <v>2.93E-2</v>
      </c>
      <c r="E31" t="s">
        <v>243</v>
      </c>
    </row>
    <row r="32" spans="1:6" x14ac:dyDescent="0.35">
      <c r="A32" s="99">
        <v>31</v>
      </c>
      <c r="B32" s="172" t="s">
        <v>89</v>
      </c>
      <c r="C32" s="181">
        <v>0.06</v>
      </c>
      <c r="D32">
        <v>2009</v>
      </c>
      <c r="E32" s="149" t="s">
        <v>244</v>
      </c>
    </row>
    <row r="33" spans="1:6" x14ac:dyDescent="0.35">
      <c r="A33" s="99">
        <v>32</v>
      </c>
      <c r="B33" s="172" t="s">
        <v>90</v>
      </c>
      <c r="C33" s="181">
        <v>2.5</v>
      </c>
      <c r="E33" t="s">
        <v>243</v>
      </c>
    </row>
    <row r="34" spans="1:6" x14ac:dyDescent="0.35">
      <c r="A34" s="99">
        <v>33</v>
      </c>
      <c r="B34" s="172" t="s">
        <v>91</v>
      </c>
      <c r="C34" s="181">
        <v>0.54</v>
      </c>
      <c r="D34" s="186">
        <v>2012</v>
      </c>
      <c r="E34" s="186" t="s">
        <v>245</v>
      </c>
    </row>
    <row r="35" spans="1:6" x14ac:dyDescent="0.35">
      <c r="A35" s="99">
        <v>34</v>
      </c>
      <c r="B35" s="172" t="s">
        <v>92</v>
      </c>
      <c r="C35" s="183">
        <v>0</v>
      </c>
      <c r="D35" s="178" t="s">
        <v>232</v>
      </c>
      <c r="E35" s="179" t="s">
        <v>233</v>
      </c>
    </row>
    <row r="36" spans="1:6" x14ac:dyDescent="0.35">
      <c r="A36" s="99">
        <v>35</v>
      </c>
      <c r="B36" s="172" t="s">
        <v>93</v>
      </c>
      <c r="C36" s="177">
        <v>0</v>
      </c>
      <c r="D36" s="178" t="s">
        <v>232</v>
      </c>
      <c r="E36" s="86" t="s">
        <v>232</v>
      </c>
      <c r="F36" s="179" t="s">
        <v>233</v>
      </c>
    </row>
    <row r="37" spans="1:6" x14ac:dyDescent="0.35">
      <c r="A37" s="99">
        <v>36</v>
      </c>
      <c r="B37" s="172" t="s">
        <v>94</v>
      </c>
      <c r="C37" s="183">
        <v>0</v>
      </c>
      <c r="D37" s="178" t="s">
        <v>232</v>
      </c>
      <c r="E37" s="179" t="s">
        <v>233</v>
      </c>
    </row>
    <row r="38" spans="1:6" x14ac:dyDescent="0.35">
      <c r="A38" s="99">
        <v>37</v>
      </c>
      <c r="B38" s="172" t="s">
        <v>95</v>
      </c>
      <c r="C38" s="181">
        <f>0.0040469*525</f>
        <v>2.1246225000000001</v>
      </c>
      <c r="D38">
        <v>1998</v>
      </c>
      <c r="E38" s="149" t="s">
        <v>246</v>
      </c>
    </row>
    <row r="39" spans="1:6" x14ac:dyDescent="0.35">
      <c r="A39" s="99">
        <v>38</v>
      </c>
      <c r="B39" s="172" t="s">
        <v>96</v>
      </c>
      <c r="C39" s="181">
        <v>1.55</v>
      </c>
      <c r="D39">
        <v>2016</v>
      </c>
      <c r="E39" s="149" t="s">
        <v>247</v>
      </c>
      <c r="F39" t="s">
        <v>248</v>
      </c>
    </row>
    <row r="40" spans="1:6" x14ac:dyDescent="0.35">
      <c r="A40" s="99">
        <v>39</v>
      </c>
      <c r="B40" s="172" t="s">
        <v>97</v>
      </c>
      <c r="C40" s="177">
        <v>0</v>
      </c>
      <c r="D40" s="178" t="s">
        <v>232</v>
      </c>
      <c r="E40" s="179" t="s">
        <v>233</v>
      </c>
    </row>
    <row r="41" spans="1:6" x14ac:dyDescent="0.35">
      <c r="A41" s="99">
        <v>40</v>
      </c>
      <c r="B41" s="172" t="s">
        <v>98</v>
      </c>
      <c r="C41" s="177">
        <v>0</v>
      </c>
      <c r="D41" s="178" t="s">
        <v>232</v>
      </c>
      <c r="E41" s="179" t="s">
        <v>233</v>
      </c>
    </row>
    <row r="42" spans="1:6" x14ac:dyDescent="0.35">
      <c r="A42" s="99">
        <v>41</v>
      </c>
      <c r="B42" s="172" t="s">
        <v>99</v>
      </c>
      <c r="C42" s="177">
        <v>0</v>
      </c>
      <c r="D42" s="178" t="s">
        <v>232</v>
      </c>
      <c r="E42" s="179" t="s">
        <v>233</v>
      </c>
    </row>
    <row r="43" spans="1:6" x14ac:dyDescent="0.35">
      <c r="A43" s="99">
        <v>42</v>
      </c>
      <c r="B43" s="172" t="s">
        <v>100</v>
      </c>
      <c r="C43" s="177">
        <v>0</v>
      </c>
      <c r="D43" s="178" t="s">
        <v>232</v>
      </c>
      <c r="E43" s="179" t="s">
        <v>233</v>
      </c>
    </row>
  </sheetData>
  <hyperlinks>
    <hyperlink ref="E14" r:id="rId1" xr:uid="{BF81D730-7548-4A35-B7F6-134D1226F937}"/>
    <hyperlink ref="E17" r:id="rId2" xr:uid="{B5D8C41B-B5E5-402B-9320-34D94B17D085}"/>
    <hyperlink ref="E20" r:id="rId3" xr:uid="{8D940ABE-EEAF-4A63-804C-2651DC079A10}"/>
    <hyperlink ref="E22" r:id="rId4" xr:uid="{04B9B560-061B-4AD9-9B40-B740DDE3B563}"/>
    <hyperlink ref="E26" r:id="rId5" xr:uid="{FFD72E83-8AF3-4F3A-9297-3960F87D3C1B}"/>
    <hyperlink ref="E29" r:id="rId6" xr:uid="{F55473D0-6CD9-496B-A163-016173C52797}"/>
    <hyperlink ref="E32" r:id="rId7" xr:uid="{2BA789E4-DAF1-45FE-BC4A-5BA02080E3AD}"/>
    <hyperlink ref="E38" r:id="rId8" xr:uid="{863CDE48-334D-407E-99DA-80BD9260BE14}"/>
    <hyperlink ref="E39" r:id="rId9" xr:uid="{0BA2EB5C-9369-4662-904F-40D1A741444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5530-A750-4622-B102-0508EEE25206}">
  <dimension ref="A1:Z1000"/>
  <sheetViews>
    <sheetView workbookViewId="0">
      <selection activeCell="B23" sqref="B23"/>
    </sheetView>
  </sheetViews>
  <sheetFormatPr defaultColWidth="14.453125" defaultRowHeight="14.5" x14ac:dyDescent="0.35"/>
  <cols>
    <col min="1" max="1" width="27.7265625" style="49" customWidth="1"/>
    <col min="2" max="2" width="38.54296875" style="49" customWidth="1"/>
    <col min="3" max="3" width="22.7265625" style="49" customWidth="1"/>
    <col min="4" max="4" width="26.26953125" style="49" customWidth="1"/>
    <col min="5" max="5" width="34.6328125" style="49" bestFit="1" customWidth="1"/>
    <col min="6" max="16384" width="14.453125" style="49"/>
  </cols>
  <sheetData>
    <row r="1" spans="1:26" ht="15" customHeight="1" thickBot="1" x14ac:dyDescent="0.4">
      <c r="A1" s="204" t="s">
        <v>104</v>
      </c>
      <c r="B1" s="205"/>
      <c r="C1" s="205"/>
      <c r="D1" s="206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29" x14ac:dyDescent="0.35">
      <c r="A2" s="57" t="s">
        <v>38</v>
      </c>
      <c r="B2" s="58" t="s">
        <v>39</v>
      </c>
      <c r="C2" s="58"/>
      <c r="D2" s="59" t="s">
        <v>40</v>
      </c>
      <c r="E2" s="40"/>
      <c r="F2" s="40"/>
      <c r="G2" s="40"/>
      <c r="H2" s="40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3"/>
      <c r="W2" s="43"/>
      <c r="X2" s="43"/>
      <c r="Y2" s="43"/>
      <c r="Z2" s="43"/>
    </row>
    <row r="3" spans="1:26" ht="15" thickBot="1" x14ac:dyDescent="0.4">
      <c r="A3" s="60">
        <v>50000</v>
      </c>
      <c r="B3" s="61">
        <f>A3/0.00404686</f>
        <v>12355258.150763802</v>
      </c>
      <c r="C3" s="62"/>
      <c r="D3" s="84">
        <f>B3*Variables!C3</f>
        <v>17173808.829561684</v>
      </c>
      <c r="E3" s="42"/>
      <c r="F3" s="42"/>
      <c r="G3" s="42"/>
      <c r="H3" s="43"/>
      <c r="I3" s="43"/>
      <c r="J3" s="43"/>
      <c r="K3" s="41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5" thickBot="1" x14ac:dyDescent="0.4">
      <c r="A4" s="204" t="s">
        <v>103</v>
      </c>
      <c r="B4" s="205"/>
      <c r="C4" s="205"/>
      <c r="D4" s="206"/>
      <c r="E4" s="44"/>
      <c r="F4" s="44"/>
      <c r="G4" s="44"/>
      <c r="H4" s="43"/>
      <c r="I4" s="45"/>
      <c r="J4" s="45"/>
      <c r="K4" s="41"/>
      <c r="L4" s="45"/>
      <c r="M4" s="45"/>
      <c r="N4" s="45"/>
      <c r="O4" s="45"/>
      <c r="P4" s="45"/>
      <c r="Q4" s="45"/>
      <c r="R4" s="45"/>
      <c r="S4" s="45"/>
      <c r="T4" s="45"/>
      <c r="U4" s="45"/>
      <c r="V4" s="43"/>
      <c r="W4" s="43"/>
      <c r="X4" s="43"/>
      <c r="Y4" s="43"/>
      <c r="Z4" s="43"/>
    </row>
    <row r="5" spans="1:26" ht="29" x14ac:dyDescent="0.35">
      <c r="A5" s="57" t="s">
        <v>38</v>
      </c>
      <c r="B5" s="58" t="s">
        <v>39</v>
      </c>
      <c r="C5" s="58"/>
      <c r="D5" s="59" t="s">
        <v>40</v>
      </c>
      <c r="E5" s="42"/>
      <c r="F5" s="42"/>
      <c r="G5" s="42"/>
      <c r="H5" s="43"/>
      <c r="I5" s="43"/>
      <c r="J5" s="43"/>
      <c r="K5" s="41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x14ac:dyDescent="0.35">
      <c r="A6" s="63">
        <v>18000</v>
      </c>
      <c r="B6" s="64">
        <f>A6/0.00404686</f>
        <v>4447892.9342749687</v>
      </c>
      <c r="C6" s="65"/>
      <c r="D6" s="85">
        <f>B6*Variables!C3</f>
        <v>6182571.1786422059</v>
      </c>
      <c r="E6" s="43"/>
      <c r="F6" s="43"/>
      <c r="G6" s="43"/>
      <c r="H6" s="43"/>
      <c r="I6" s="43"/>
      <c r="K6" s="41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31" customHeight="1" thickBot="1" x14ac:dyDescent="0.4">
      <c r="A7" s="207" t="s">
        <v>106</v>
      </c>
      <c r="B7" s="208"/>
      <c r="C7" s="208"/>
      <c r="D7" s="209"/>
      <c r="E7" s="43"/>
      <c r="F7" s="43"/>
      <c r="G7" s="43"/>
      <c r="H7" s="43"/>
      <c r="I7" s="43"/>
      <c r="J7" s="43"/>
      <c r="K7" s="41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x14ac:dyDescent="0.35">
      <c r="A8" s="46" t="s">
        <v>105</v>
      </c>
      <c r="B8" s="43"/>
      <c r="C8" s="43"/>
      <c r="D8" s="53"/>
      <c r="E8" s="43"/>
      <c r="F8" s="43"/>
      <c r="G8" s="43"/>
      <c r="H8" s="43"/>
      <c r="I8" s="43"/>
      <c r="J8" s="50"/>
      <c r="K8" s="41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x14ac:dyDescent="0.35">
      <c r="A9" s="47"/>
      <c r="B9" s="39"/>
      <c r="C9" s="39"/>
      <c r="D9" s="52"/>
      <c r="E9" s="43"/>
      <c r="F9" s="43"/>
      <c r="G9" s="43"/>
      <c r="H9" s="43"/>
      <c r="I9" s="43"/>
      <c r="J9" s="50"/>
      <c r="K9" s="41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x14ac:dyDescent="0.35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1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x14ac:dyDescent="0.35">
      <c r="A11" s="45" t="s">
        <v>41</v>
      </c>
      <c r="B11" s="48"/>
      <c r="C11" s="43"/>
      <c r="D11" s="43"/>
      <c r="E11" s="43"/>
      <c r="F11" s="43"/>
      <c r="G11" s="43"/>
      <c r="H11" s="43"/>
      <c r="I11" s="43"/>
      <c r="J11" s="43"/>
      <c r="K11" s="41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26.5" customHeight="1" x14ac:dyDescent="0.35">
      <c r="A12" s="210" t="s">
        <v>107</v>
      </c>
      <c r="B12" s="210"/>
      <c r="C12" s="210"/>
      <c r="D12" s="210"/>
      <c r="E12" s="210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x14ac:dyDescent="0.35">
      <c r="A13" s="51" t="s">
        <v>42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x14ac:dyDescent="0.35">
      <c r="A14" s="49" t="s">
        <v>125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x14ac:dyDescent="0.35">
      <c r="A15" s="51" t="s">
        <v>31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5" thickBot="1" x14ac:dyDescent="0.4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5" thickBot="1" x14ac:dyDescent="0.4">
      <c r="A17" s="81" t="s">
        <v>3</v>
      </c>
      <c r="B17" s="82" t="s">
        <v>43</v>
      </c>
      <c r="C17" s="82" t="s">
        <v>44</v>
      </c>
      <c r="D17" s="82" t="s">
        <v>56</v>
      </c>
      <c r="E17" s="83" t="s">
        <v>113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29" x14ac:dyDescent="0.35">
      <c r="A18" s="66" t="s">
        <v>45</v>
      </c>
      <c r="B18" s="67" t="s">
        <v>46</v>
      </c>
      <c r="C18" s="68">
        <v>69524860000</v>
      </c>
      <c r="D18" s="69">
        <f>C18/Variables!$C$6</f>
        <v>23522267.453033183</v>
      </c>
      <c r="E18" s="78">
        <f>(D18/$B$24)*Variables!$C$2/Variables!$C$4</f>
        <v>7.3914157414704373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72.5" x14ac:dyDescent="0.35">
      <c r="A19" s="70" t="s">
        <v>47</v>
      </c>
      <c r="B19" s="71" t="s">
        <v>48</v>
      </c>
      <c r="C19" s="72">
        <f>2535976308000+4241540003000</f>
        <v>6777516311000</v>
      </c>
      <c r="D19" s="72">
        <f>C19/Variables!$C$6</f>
        <v>2293029447.8066816</v>
      </c>
      <c r="E19" s="79">
        <f>(D19/$B$24)*Variables!$C$2/Variables!$C$4</f>
        <v>720.53997302832477</v>
      </c>
      <c r="F19" s="49" t="s">
        <v>49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43.5" x14ac:dyDescent="0.35">
      <c r="A20" s="73" t="s">
        <v>50</v>
      </c>
      <c r="B20" s="71" t="s">
        <v>51</v>
      </c>
      <c r="C20" s="72">
        <f>197768655000</f>
        <v>197768655000</v>
      </c>
      <c r="D20" s="72">
        <f>C20/Variables!$C$6</f>
        <v>66910845.943978146</v>
      </c>
      <c r="E20" s="79">
        <f>(D20/$B$24)*Variables!$C$2/Variables!$C$4</f>
        <v>21.025433920132112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5.75" customHeight="1" thickBot="1" x14ac:dyDescent="0.4">
      <c r="A21" s="74" t="s">
        <v>52</v>
      </c>
      <c r="B21" s="75" t="s">
        <v>53</v>
      </c>
      <c r="C21" s="76">
        <v>732131018000</v>
      </c>
      <c r="D21" s="77">
        <f>C21/Variables!$C$6</f>
        <v>247701061.40533692</v>
      </c>
      <c r="E21" s="80">
        <f>(D21/$B$24)*Variables!$C$2/Variables!$C$4</f>
        <v>77.835248158198041</v>
      </c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5" customHeight="1" x14ac:dyDescent="0.35">
      <c r="A22" s="43"/>
      <c r="B22" s="41"/>
      <c r="C22" s="48"/>
      <c r="D22" s="48"/>
      <c r="E22" s="48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5.75" customHeight="1" x14ac:dyDescent="0.35"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5.75" customHeight="1" x14ac:dyDescent="0.35">
      <c r="A24" s="49" t="s">
        <v>54</v>
      </c>
      <c r="B24" s="118">
        <v>7181469</v>
      </c>
      <c r="C24" s="49" t="s">
        <v>55</v>
      </c>
      <c r="D24" s="43"/>
      <c r="E24" s="48"/>
      <c r="F24" s="43"/>
      <c r="G24" s="48"/>
      <c r="H24" s="48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5.75" customHeight="1" x14ac:dyDescent="0.35">
      <c r="A25" s="43"/>
      <c r="B25" s="43"/>
      <c r="C25" s="43"/>
      <c r="D25" s="43"/>
      <c r="E25" s="48"/>
      <c r="F25" s="43"/>
      <c r="G25" s="48"/>
      <c r="H25" s="48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5.75" customHeight="1" x14ac:dyDescent="0.35">
      <c r="A26" s="43"/>
      <c r="B26" s="43"/>
      <c r="C26" s="43"/>
      <c r="D26" s="43"/>
      <c r="E26" s="48"/>
      <c r="F26" s="43"/>
      <c r="G26" s="48"/>
      <c r="H26" s="48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5.75" customHeight="1" x14ac:dyDescent="0.35">
      <c r="A27" s="43"/>
      <c r="B27" s="43"/>
      <c r="C27" s="43"/>
      <c r="D27" s="43"/>
      <c r="E27" s="48"/>
      <c r="F27" s="43"/>
      <c r="G27" s="48"/>
      <c r="H27" s="48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5.75" customHeight="1" x14ac:dyDescent="0.35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5.75" customHeight="1" x14ac:dyDescent="0.3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5.75" customHeight="1" x14ac:dyDescent="0.3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5.75" customHeight="1" x14ac:dyDescent="0.3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5.75" customHeight="1" x14ac:dyDescent="0.3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5" customHeight="1" x14ac:dyDescent="0.3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" customHeight="1" x14ac:dyDescent="0.3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" customHeight="1" x14ac:dyDescent="0.3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" customHeight="1" x14ac:dyDescent="0.3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" customHeight="1" x14ac:dyDescent="0.3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" customHeight="1" x14ac:dyDescent="0.3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" customHeight="1" x14ac:dyDescent="0.3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" customHeight="1" x14ac:dyDescent="0.3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.75" customHeight="1" x14ac:dyDescent="0.3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.75" customHeight="1" x14ac:dyDescent="0.3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.75" customHeight="1" x14ac:dyDescent="0.3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5" customHeight="1" x14ac:dyDescent="0.35">
      <c r="A44" s="45"/>
      <c r="B44" s="42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5" customHeight="1" x14ac:dyDescent="0.35">
      <c r="A45" s="43"/>
      <c r="B45" s="54"/>
      <c r="C45" s="55"/>
      <c r="D45" s="55"/>
      <c r="E45" s="55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5" customHeight="1" x14ac:dyDescent="0.35">
      <c r="A46" s="43"/>
      <c r="B46" s="54"/>
      <c r="C46" s="55"/>
      <c r="D46" s="55"/>
      <c r="E46" s="55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5" customHeight="1" x14ac:dyDescent="0.35">
      <c r="A47" s="43"/>
      <c r="B47" s="54"/>
      <c r="C47" s="55"/>
      <c r="D47" s="55"/>
      <c r="E47" s="55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" customHeight="1" x14ac:dyDescent="0.35">
      <c r="A48" s="43"/>
      <c r="B48" s="54"/>
      <c r="C48" s="55"/>
      <c r="D48" s="55"/>
      <c r="E48" s="55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5" customHeight="1" x14ac:dyDescent="0.35">
      <c r="A49" s="43"/>
      <c r="B49" s="55"/>
      <c r="C49" s="55"/>
      <c r="D49" s="55"/>
      <c r="E49" s="55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5" customHeight="1" x14ac:dyDescent="0.3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" customHeight="1" x14ac:dyDescent="0.35">
      <c r="A51" s="43"/>
      <c r="B51" s="56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.75" customHeight="1" x14ac:dyDescent="0.3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" customHeight="1" x14ac:dyDescent="0.35">
      <c r="A53" s="45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" customHeight="1" x14ac:dyDescent="0.3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36" customHeight="1" x14ac:dyDescent="0.35">
      <c r="A55" s="41"/>
      <c r="B55" s="41"/>
      <c r="C55" s="43"/>
      <c r="D55" s="43"/>
      <c r="E55" s="41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5" customHeight="1" x14ac:dyDescent="0.35">
      <c r="A56" s="43"/>
      <c r="B56" s="54"/>
      <c r="C56" s="55"/>
      <c r="D56" s="55"/>
      <c r="E56" s="55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5" customHeight="1" x14ac:dyDescent="0.35">
      <c r="A57" s="43"/>
      <c r="B57" s="54"/>
      <c r="C57" s="55"/>
      <c r="D57" s="55"/>
      <c r="E57" s="55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5" customHeight="1" x14ac:dyDescent="0.35">
      <c r="A58" s="43"/>
      <c r="B58" s="54"/>
      <c r="C58" s="55"/>
      <c r="D58" s="55"/>
      <c r="E58" s="55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5" customHeight="1" x14ac:dyDescent="0.35">
      <c r="A59" s="43"/>
      <c r="B59" s="54"/>
      <c r="C59" s="55"/>
      <c r="D59" s="55"/>
      <c r="E59" s="55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5" customHeight="1" x14ac:dyDescent="0.35">
      <c r="A60" s="43"/>
      <c r="B60" s="54"/>
      <c r="C60" s="55"/>
      <c r="D60" s="55"/>
      <c r="E60" s="55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" customHeight="1" x14ac:dyDescent="0.3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5" customHeight="1" x14ac:dyDescent="0.3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" customHeight="1" x14ac:dyDescent="0.3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.75" customHeight="1" x14ac:dyDescent="0.3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5.75" customHeight="1" x14ac:dyDescent="0.3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5.75" customHeight="1" x14ac:dyDescent="0.3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5.75" customHeight="1" x14ac:dyDescent="0.3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5.75" customHeight="1" x14ac:dyDescent="0.3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5.75" customHeight="1" x14ac:dyDescent="0.3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5.75" customHeight="1" x14ac:dyDescent="0.3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5.75" customHeight="1" x14ac:dyDescent="0.3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 x14ac:dyDescent="0.3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5.75" customHeight="1" x14ac:dyDescent="0.3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5.75" customHeight="1" x14ac:dyDescent="0.3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5.75" customHeight="1" x14ac:dyDescent="0.3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5.75" customHeight="1" x14ac:dyDescent="0.3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5.75" customHeight="1" x14ac:dyDescent="0.3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5.75" customHeight="1" x14ac:dyDescent="0.3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5.75" customHeight="1" x14ac:dyDescent="0.3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5.75" customHeight="1" x14ac:dyDescent="0.3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.75" customHeight="1" x14ac:dyDescent="0.3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.75" customHeight="1" x14ac:dyDescent="0.3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.75" customHeight="1" x14ac:dyDescent="0.3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.75" customHeight="1" x14ac:dyDescent="0.3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.75" customHeight="1" x14ac:dyDescent="0.3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.75" customHeight="1" x14ac:dyDescent="0.3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5.75" customHeight="1" x14ac:dyDescent="0.3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.75" customHeight="1" x14ac:dyDescent="0.3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.75" customHeight="1" x14ac:dyDescent="0.3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.75" customHeight="1" x14ac:dyDescent="0.3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.75" customHeight="1" x14ac:dyDescent="0.3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.75" customHeight="1" x14ac:dyDescent="0.3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 x14ac:dyDescent="0.3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.75" customHeight="1" x14ac:dyDescent="0.3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.75" customHeight="1" x14ac:dyDescent="0.3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.75" customHeight="1" x14ac:dyDescent="0.3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.75" customHeight="1" x14ac:dyDescent="0.3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.75" customHeight="1" x14ac:dyDescent="0.3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.75" customHeight="1" x14ac:dyDescent="0.3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5.75" customHeight="1" x14ac:dyDescent="0.35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5.75" customHeight="1" x14ac:dyDescent="0.35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5.75" customHeight="1" x14ac:dyDescent="0.35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5.75" customHeight="1" x14ac:dyDescent="0.3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5.75" customHeight="1" x14ac:dyDescent="0.35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5.75" customHeight="1" x14ac:dyDescent="0.3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5.75" customHeight="1" x14ac:dyDescent="0.35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5.75" customHeight="1" x14ac:dyDescent="0.35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5.75" customHeight="1" x14ac:dyDescent="0.35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5.75" customHeight="1" x14ac:dyDescent="0.35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5.75" customHeight="1" x14ac:dyDescent="0.35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5.75" customHeight="1" x14ac:dyDescent="0.3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5.75" customHeight="1" x14ac:dyDescent="0.35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5.75" customHeight="1" x14ac:dyDescent="0.35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5.75" customHeight="1" x14ac:dyDescent="0.35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5.75" customHeight="1" x14ac:dyDescent="0.3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5.75" customHeight="1" x14ac:dyDescent="0.3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5.75" customHeight="1" x14ac:dyDescent="0.3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5.75" customHeight="1" x14ac:dyDescent="0.3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5.75" customHeight="1" x14ac:dyDescent="0.3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5.75" customHeight="1" x14ac:dyDescent="0.3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5.75" customHeight="1" x14ac:dyDescent="0.3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5.75" customHeight="1" x14ac:dyDescent="0.3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5.75" customHeight="1" x14ac:dyDescent="0.3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5.75" customHeight="1" x14ac:dyDescent="0.3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5.75" customHeight="1" x14ac:dyDescent="0.3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5.75" customHeight="1" x14ac:dyDescent="0.3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5.75" customHeight="1" x14ac:dyDescent="0.3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5.75" customHeight="1" x14ac:dyDescent="0.3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5.75" customHeight="1" x14ac:dyDescent="0.3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5.75" customHeight="1" x14ac:dyDescent="0.3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5.75" customHeight="1" x14ac:dyDescent="0.3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5.75" customHeight="1" x14ac:dyDescent="0.3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5.75" customHeight="1" x14ac:dyDescent="0.3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5.75" customHeight="1" x14ac:dyDescent="0.3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5.75" customHeight="1" x14ac:dyDescent="0.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5.75" customHeight="1" x14ac:dyDescent="0.3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5.75" customHeight="1" x14ac:dyDescent="0.3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5.75" customHeight="1" x14ac:dyDescent="0.3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5.75" customHeight="1" x14ac:dyDescent="0.3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5.75" customHeight="1" x14ac:dyDescent="0.3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5.75" customHeight="1" x14ac:dyDescent="0.3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5.75" customHeight="1" x14ac:dyDescent="0.3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5.75" customHeight="1" x14ac:dyDescent="0.3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5.75" customHeight="1" x14ac:dyDescent="0.3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5.75" customHeight="1" x14ac:dyDescent="0.3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5.75" customHeight="1" x14ac:dyDescent="0.3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5.75" customHeight="1" x14ac:dyDescent="0.3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5.75" customHeight="1" x14ac:dyDescent="0.3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5.75" customHeight="1" x14ac:dyDescent="0.3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5.75" customHeight="1" x14ac:dyDescent="0.3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5.75" customHeight="1" x14ac:dyDescent="0.3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5.75" customHeight="1" x14ac:dyDescent="0.3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5.75" customHeight="1" x14ac:dyDescent="0.3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5.75" customHeight="1" x14ac:dyDescent="0.3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5.75" customHeight="1" x14ac:dyDescent="0.3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5.75" customHeight="1" x14ac:dyDescent="0.3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5.75" customHeight="1" x14ac:dyDescent="0.3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5.75" customHeight="1" x14ac:dyDescent="0.3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5.75" customHeight="1" x14ac:dyDescent="0.3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5.75" customHeight="1" x14ac:dyDescent="0.3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5.75" customHeight="1" x14ac:dyDescent="0.3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5.75" customHeight="1" x14ac:dyDescent="0.3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5.75" customHeight="1" x14ac:dyDescent="0.3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5.75" customHeight="1" x14ac:dyDescent="0.3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5.75" customHeight="1" x14ac:dyDescent="0.3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5.75" customHeight="1" x14ac:dyDescent="0.3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5.75" customHeight="1" x14ac:dyDescent="0.3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5.75" customHeight="1" x14ac:dyDescent="0.3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5.75" customHeight="1" x14ac:dyDescent="0.3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5.75" customHeight="1" x14ac:dyDescent="0.3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5.75" customHeight="1" x14ac:dyDescent="0.3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5.75" customHeight="1" x14ac:dyDescent="0.3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5.75" customHeight="1" x14ac:dyDescent="0.3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5.75" customHeight="1" x14ac:dyDescent="0.3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5.75" customHeight="1" x14ac:dyDescent="0.3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5.75" customHeight="1" x14ac:dyDescent="0.3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5.75" customHeight="1" x14ac:dyDescent="0.3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5.75" customHeight="1" x14ac:dyDescent="0.3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5.75" customHeight="1" x14ac:dyDescent="0.3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5.75" customHeight="1" x14ac:dyDescent="0.3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5.75" customHeight="1" x14ac:dyDescent="0.3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5.75" customHeight="1" x14ac:dyDescent="0.3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5.75" customHeight="1" x14ac:dyDescent="0.3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5.75" customHeight="1" x14ac:dyDescent="0.3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5.75" customHeight="1" x14ac:dyDescent="0.3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5.75" customHeight="1" x14ac:dyDescent="0.3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5.75" customHeight="1" x14ac:dyDescent="0.3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5.75" customHeight="1" x14ac:dyDescent="0.3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5.75" customHeight="1" x14ac:dyDescent="0.3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5.75" customHeight="1" x14ac:dyDescent="0.3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5.75" customHeight="1" x14ac:dyDescent="0.3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5.75" customHeight="1" x14ac:dyDescent="0.3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5.75" customHeight="1" x14ac:dyDescent="0.3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5.75" customHeight="1" x14ac:dyDescent="0.3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15.75" customHeight="1" x14ac:dyDescent="0.3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5.75" customHeight="1" x14ac:dyDescent="0.3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5.75" customHeight="1" x14ac:dyDescent="0.3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5.75" customHeight="1" x14ac:dyDescent="0.3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5.75" customHeight="1" x14ac:dyDescent="0.3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5.75" customHeight="1" x14ac:dyDescent="0.3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5.75" customHeight="1" x14ac:dyDescent="0.3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5.75" customHeight="1" x14ac:dyDescent="0.3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5.75" customHeight="1" x14ac:dyDescent="0.3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5.75" customHeight="1" x14ac:dyDescent="0.3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5.75" customHeight="1" x14ac:dyDescent="0.3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5.75" customHeight="1" x14ac:dyDescent="0.3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15.75" customHeight="1" x14ac:dyDescent="0.3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5.75" customHeight="1" x14ac:dyDescent="0.3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5.75" customHeight="1" x14ac:dyDescent="0.3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5.75" customHeight="1" x14ac:dyDescent="0.3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5.75" customHeight="1" x14ac:dyDescent="0.3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5.75" customHeight="1" x14ac:dyDescent="0.3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5.75" customHeight="1" x14ac:dyDescent="0.3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5.75" customHeight="1" x14ac:dyDescent="0.3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5.75" customHeight="1" x14ac:dyDescent="0.3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5.75" customHeight="1" x14ac:dyDescent="0.3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5.75" customHeight="1" x14ac:dyDescent="0.3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5.75" customHeight="1" x14ac:dyDescent="0.3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5.75" customHeight="1" x14ac:dyDescent="0.3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5.75" customHeight="1" x14ac:dyDescent="0.3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5.75" customHeight="1" x14ac:dyDescent="0.3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5.75" customHeight="1" x14ac:dyDescent="0.3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5.75" customHeight="1" x14ac:dyDescent="0.3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5.75" customHeight="1" x14ac:dyDescent="0.3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5.75" customHeight="1" x14ac:dyDescent="0.3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5.75" customHeight="1" x14ac:dyDescent="0.3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5.75" customHeight="1" x14ac:dyDescent="0.3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5.75" customHeight="1" x14ac:dyDescent="0.3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5.75" customHeight="1" x14ac:dyDescent="0.3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5.75" customHeight="1" x14ac:dyDescent="0.3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5.75" customHeight="1" x14ac:dyDescent="0.3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5.75" customHeight="1" x14ac:dyDescent="0.3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5.75" customHeight="1" x14ac:dyDescent="0.3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5.75" customHeight="1" x14ac:dyDescent="0.3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5.75" customHeight="1" x14ac:dyDescent="0.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5.75" customHeight="1" x14ac:dyDescent="0.3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5.75" customHeight="1" x14ac:dyDescent="0.3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5.75" customHeight="1" x14ac:dyDescent="0.3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5.75" customHeight="1" x14ac:dyDescent="0.3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5.75" customHeight="1" x14ac:dyDescent="0.3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5.75" customHeight="1" x14ac:dyDescent="0.3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5.75" customHeight="1" x14ac:dyDescent="0.3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5.75" customHeight="1" x14ac:dyDescent="0.3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5.75" customHeight="1" x14ac:dyDescent="0.3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5.75" customHeight="1" x14ac:dyDescent="0.3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5.75" customHeight="1" x14ac:dyDescent="0.3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5.75" customHeight="1" x14ac:dyDescent="0.3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5.75" customHeight="1" x14ac:dyDescent="0.3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5.75" customHeight="1" x14ac:dyDescent="0.3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5.75" customHeight="1" x14ac:dyDescent="0.3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5.75" customHeight="1" x14ac:dyDescent="0.3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5.75" customHeight="1" x14ac:dyDescent="0.3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5.75" customHeight="1" x14ac:dyDescent="0.3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5.75" customHeight="1" x14ac:dyDescent="0.3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5.75" customHeight="1" x14ac:dyDescent="0.3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5.75" customHeight="1" x14ac:dyDescent="0.3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5.75" customHeight="1" x14ac:dyDescent="0.3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5.75" customHeight="1" x14ac:dyDescent="0.3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5.75" customHeight="1" x14ac:dyDescent="0.3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5.75" customHeight="1" x14ac:dyDescent="0.3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5.75" customHeight="1" x14ac:dyDescent="0.3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5.75" customHeight="1" x14ac:dyDescent="0.3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5.75" customHeight="1" x14ac:dyDescent="0.3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5.75" customHeight="1" x14ac:dyDescent="0.3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5.75" customHeight="1" x14ac:dyDescent="0.3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5.75" customHeight="1" x14ac:dyDescent="0.3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5.75" customHeight="1" x14ac:dyDescent="0.3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5.75" customHeight="1" x14ac:dyDescent="0.3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5.75" customHeight="1" x14ac:dyDescent="0.3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5.75" customHeight="1" x14ac:dyDescent="0.3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5.75" customHeight="1" x14ac:dyDescent="0.3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5.75" customHeight="1" x14ac:dyDescent="0.3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5.75" customHeight="1" x14ac:dyDescent="0.3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5.75" customHeight="1" x14ac:dyDescent="0.3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5.75" customHeight="1" x14ac:dyDescent="0.3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5.75" customHeight="1" x14ac:dyDescent="0.3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5.75" customHeight="1" x14ac:dyDescent="0.3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5.75" customHeight="1" x14ac:dyDescent="0.3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5.75" customHeight="1" x14ac:dyDescent="0.3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5.75" customHeight="1" x14ac:dyDescent="0.3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5.75" customHeight="1" x14ac:dyDescent="0.3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5.75" customHeight="1" x14ac:dyDescent="0.3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5.75" customHeight="1" x14ac:dyDescent="0.3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5.75" customHeight="1" x14ac:dyDescent="0.3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15.75" customHeight="1" x14ac:dyDescent="0.3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15.75" customHeight="1" x14ac:dyDescent="0.3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5.75" customHeight="1" x14ac:dyDescent="0.3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5.75" customHeight="1" x14ac:dyDescent="0.3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5.75" customHeight="1" x14ac:dyDescent="0.3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5.75" customHeight="1" x14ac:dyDescent="0.3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5.75" customHeight="1" x14ac:dyDescent="0.3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5.75" customHeight="1" x14ac:dyDescent="0.3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5.75" customHeight="1" x14ac:dyDescent="0.3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5.75" customHeight="1" x14ac:dyDescent="0.3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5.75" customHeight="1" x14ac:dyDescent="0.3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5.75" customHeight="1" x14ac:dyDescent="0.3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15.75" customHeight="1" x14ac:dyDescent="0.3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15.75" customHeight="1" x14ac:dyDescent="0.3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15.75" customHeight="1" x14ac:dyDescent="0.3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15.75" customHeight="1" x14ac:dyDescent="0.3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15.75" customHeight="1" x14ac:dyDescent="0.3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15.75" customHeight="1" x14ac:dyDescent="0.3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5.75" customHeight="1" x14ac:dyDescent="0.3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15.75" customHeight="1" x14ac:dyDescent="0.3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15.75" customHeight="1" x14ac:dyDescent="0.3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15.75" customHeight="1" x14ac:dyDescent="0.3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15.75" customHeight="1" x14ac:dyDescent="0.3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15.75" customHeight="1" x14ac:dyDescent="0.3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15.75" customHeight="1" x14ac:dyDescent="0.3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 x14ac:dyDescent="0.3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 x14ac:dyDescent="0.3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 x14ac:dyDescent="0.3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15.75" customHeight="1" x14ac:dyDescent="0.3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15.75" customHeight="1" x14ac:dyDescent="0.3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15.75" customHeight="1" x14ac:dyDescent="0.3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15.75" customHeight="1" x14ac:dyDescent="0.3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15.75" customHeight="1" x14ac:dyDescent="0.3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15.75" customHeight="1" x14ac:dyDescent="0.3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15.75" customHeight="1" x14ac:dyDescent="0.3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15.75" customHeight="1" x14ac:dyDescent="0.3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15.75" customHeight="1" x14ac:dyDescent="0.3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15.75" customHeight="1" x14ac:dyDescent="0.3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15.75" customHeight="1" x14ac:dyDescent="0.3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ht="15.75" customHeight="1" x14ac:dyDescent="0.3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15.75" customHeight="1" x14ac:dyDescent="0.3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15.75" customHeight="1" x14ac:dyDescent="0.3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15.75" customHeight="1" x14ac:dyDescent="0.3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ht="15.75" customHeight="1" x14ac:dyDescent="0.3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ht="15.75" customHeight="1" x14ac:dyDescent="0.3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ht="15.75" customHeight="1" x14ac:dyDescent="0.3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ht="15.75" customHeight="1" x14ac:dyDescent="0.3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ht="15.75" customHeight="1" x14ac:dyDescent="0.3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15.75" customHeight="1" x14ac:dyDescent="0.3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ht="15.75" customHeight="1" x14ac:dyDescent="0.3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ht="15.75" customHeight="1" x14ac:dyDescent="0.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ht="15.75" customHeight="1" x14ac:dyDescent="0.3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ht="15.75" customHeight="1" x14ac:dyDescent="0.3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ht="15.75" customHeight="1" x14ac:dyDescent="0.3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ht="15.75" customHeight="1" x14ac:dyDescent="0.3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ht="15.75" customHeight="1" x14ac:dyDescent="0.3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ht="15.75" customHeight="1" x14ac:dyDescent="0.3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15.75" customHeight="1" x14ac:dyDescent="0.3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ht="15.75" customHeight="1" x14ac:dyDescent="0.3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15.75" customHeight="1" x14ac:dyDescent="0.3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15.75" customHeight="1" x14ac:dyDescent="0.3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15.75" customHeight="1" x14ac:dyDescent="0.3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15.75" customHeight="1" x14ac:dyDescent="0.3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15.75" customHeight="1" x14ac:dyDescent="0.3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15.75" customHeight="1" x14ac:dyDescent="0.3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ht="15.75" customHeight="1" x14ac:dyDescent="0.3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ht="15.75" customHeight="1" x14ac:dyDescent="0.3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ht="15.75" customHeight="1" x14ac:dyDescent="0.3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15.75" customHeight="1" x14ac:dyDescent="0.3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15.75" customHeight="1" x14ac:dyDescent="0.3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15.75" customHeight="1" x14ac:dyDescent="0.3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15.75" customHeight="1" x14ac:dyDescent="0.3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15.75" customHeight="1" x14ac:dyDescent="0.3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15.75" customHeight="1" x14ac:dyDescent="0.3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15.75" customHeight="1" x14ac:dyDescent="0.3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15.75" customHeight="1" x14ac:dyDescent="0.3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ht="15.75" customHeight="1" x14ac:dyDescent="0.3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ht="15.75" customHeight="1" x14ac:dyDescent="0.3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ht="15.75" customHeight="1" x14ac:dyDescent="0.3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ht="15.75" customHeight="1" x14ac:dyDescent="0.3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ht="15.75" customHeight="1" x14ac:dyDescent="0.3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ht="15.75" customHeight="1" x14ac:dyDescent="0.3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ht="15.75" customHeight="1" x14ac:dyDescent="0.3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ht="15.75" customHeight="1" x14ac:dyDescent="0.3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ht="15.75" customHeight="1" x14ac:dyDescent="0.3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ht="15.75" customHeight="1" x14ac:dyDescent="0.3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ht="15.75" customHeight="1" x14ac:dyDescent="0.3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ht="15.75" customHeight="1" x14ac:dyDescent="0.3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ht="15.75" customHeight="1" x14ac:dyDescent="0.3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ht="15.75" customHeight="1" x14ac:dyDescent="0.3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ht="15.75" customHeight="1" x14ac:dyDescent="0.3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ht="15.75" customHeight="1" x14ac:dyDescent="0.3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ht="15.75" customHeight="1" x14ac:dyDescent="0.3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ht="15.75" customHeight="1" x14ac:dyDescent="0.3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ht="15.75" customHeight="1" x14ac:dyDescent="0.3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ht="15.75" customHeight="1" x14ac:dyDescent="0.3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ht="15.75" customHeight="1" x14ac:dyDescent="0.3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ht="15.75" customHeight="1" x14ac:dyDescent="0.3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ht="15.75" customHeight="1" x14ac:dyDescent="0.3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ht="15.75" customHeight="1" x14ac:dyDescent="0.3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ht="15.75" customHeight="1" x14ac:dyDescent="0.3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ht="15.75" customHeight="1" x14ac:dyDescent="0.3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ht="15.75" customHeight="1" x14ac:dyDescent="0.3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ht="15.75" customHeight="1" x14ac:dyDescent="0.3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ht="15.75" customHeight="1" x14ac:dyDescent="0.3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ht="15.75" customHeight="1" x14ac:dyDescent="0.3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ht="15.75" customHeight="1" x14ac:dyDescent="0.3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ht="15.75" customHeight="1" x14ac:dyDescent="0.3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ht="15.75" customHeight="1" x14ac:dyDescent="0.3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ht="15.75" customHeight="1" x14ac:dyDescent="0.3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ht="15.75" customHeight="1" x14ac:dyDescent="0.3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ht="15.75" customHeight="1" x14ac:dyDescent="0.3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ht="15.75" customHeight="1" x14ac:dyDescent="0.3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ht="15.75" customHeight="1" x14ac:dyDescent="0.3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ht="15.75" customHeight="1" x14ac:dyDescent="0.3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ht="15.75" customHeight="1" x14ac:dyDescent="0.3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ht="15.75" customHeight="1" x14ac:dyDescent="0.3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ht="15.75" customHeight="1" x14ac:dyDescent="0.3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ht="15.75" customHeight="1" x14ac:dyDescent="0.3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ht="15.75" customHeight="1" x14ac:dyDescent="0.3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ht="15.75" customHeight="1" x14ac:dyDescent="0.3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ht="15.75" customHeight="1" x14ac:dyDescent="0.3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ht="15.75" customHeight="1" x14ac:dyDescent="0.3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ht="15.75" customHeight="1" x14ac:dyDescent="0.3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ht="15.75" customHeight="1" x14ac:dyDescent="0.3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ht="15.75" customHeight="1" x14ac:dyDescent="0.3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ht="15.75" customHeight="1" x14ac:dyDescent="0.3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ht="15.75" customHeight="1" x14ac:dyDescent="0.3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ht="15.75" customHeight="1" x14ac:dyDescent="0.3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ht="15.75" customHeight="1" x14ac:dyDescent="0.3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ht="15.75" customHeight="1" x14ac:dyDescent="0.3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ht="15.75" customHeight="1" x14ac:dyDescent="0.3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ht="15.75" customHeight="1" x14ac:dyDescent="0.3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ht="15.75" customHeight="1" x14ac:dyDescent="0.3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ht="15.75" customHeight="1" x14ac:dyDescent="0.3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ht="15.75" customHeight="1" x14ac:dyDescent="0.3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ht="15.75" customHeight="1" x14ac:dyDescent="0.3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ht="15.75" customHeight="1" x14ac:dyDescent="0.3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ht="15.75" customHeight="1" x14ac:dyDescent="0.3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ht="15.75" customHeight="1" x14ac:dyDescent="0.3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ht="15.75" customHeight="1" x14ac:dyDescent="0.3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ht="15.75" customHeight="1" x14ac:dyDescent="0.3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ht="15.75" customHeight="1" x14ac:dyDescent="0.3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ht="15.75" customHeight="1" x14ac:dyDescent="0.3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ht="15.75" customHeight="1" x14ac:dyDescent="0.3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ht="15.75" customHeight="1" x14ac:dyDescent="0.3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ht="15.75" customHeight="1" x14ac:dyDescent="0.3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ht="15.75" customHeight="1" x14ac:dyDescent="0.3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ht="15.75" customHeight="1" x14ac:dyDescent="0.3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ht="15.75" customHeight="1" x14ac:dyDescent="0.3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ht="15.75" customHeight="1" x14ac:dyDescent="0.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ht="15.75" customHeight="1" x14ac:dyDescent="0.3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ht="15.75" customHeight="1" x14ac:dyDescent="0.3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ht="15.75" customHeight="1" x14ac:dyDescent="0.3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ht="15.75" customHeight="1" x14ac:dyDescent="0.3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ht="15.75" customHeight="1" x14ac:dyDescent="0.3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ht="15.75" customHeight="1" x14ac:dyDescent="0.3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ht="15.75" customHeight="1" x14ac:dyDescent="0.3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ht="15.75" customHeight="1" x14ac:dyDescent="0.3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ht="15.75" customHeight="1" x14ac:dyDescent="0.3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ht="15.75" customHeight="1" x14ac:dyDescent="0.3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ht="15.75" customHeight="1" x14ac:dyDescent="0.3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ht="15.75" customHeight="1" x14ac:dyDescent="0.3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ht="15.75" customHeight="1" x14ac:dyDescent="0.3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ht="15.75" customHeight="1" x14ac:dyDescent="0.3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ht="15.75" customHeight="1" x14ac:dyDescent="0.3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ht="15.75" customHeight="1" x14ac:dyDescent="0.3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ht="15.75" customHeight="1" x14ac:dyDescent="0.3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ht="15.75" customHeight="1" x14ac:dyDescent="0.3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ht="15.75" customHeight="1" x14ac:dyDescent="0.3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ht="15.75" customHeight="1" x14ac:dyDescent="0.3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ht="15.75" customHeight="1" x14ac:dyDescent="0.3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ht="15.75" customHeight="1" x14ac:dyDescent="0.3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ht="15.75" customHeight="1" x14ac:dyDescent="0.3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ht="15.75" customHeight="1" x14ac:dyDescent="0.3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ht="15.75" customHeight="1" x14ac:dyDescent="0.3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ht="15.75" customHeight="1" x14ac:dyDescent="0.3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ht="15.75" customHeight="1" x14ac:dyDescent="0.3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ht="15.75" customHeight="1" x14ac:dyDescent="0.3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ht="15.75" customHeight="1" x14ac:dyDescent="0.3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ht="15.75" customHeight="1" x14ac:dyDescent="0.3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ht="15.75" customHeight="1" x14ac:dyDescent="0.3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ht="15.75" customHeight="1" x14ac:dyDescent="0.3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ht="15.75" customHeight="1" x14ac:dyDescent="0.3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ht="15.75" customHeight="1" x14ac:dyDescent="0.3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ht="15.75" customHeight="1" x14ac:dyDescent="0.3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ht="15.75" customHeight="1" x14ac:dyDescent="0.3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ht="15.75" customHeight="1" x14ac:dyDescent="0.3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ht="15.75" customHeight="1" x14ac:dyDescent="0.3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ht="15.75" customHeight="1" x14ac:dyDescent="0.3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ht="15.75" customHeight="1" x14ac:dyDescent="0.3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ht="15.75" customHeight="1" x14ac:dyDescent="0.3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ht="15.75" customHeight="1" x14ac:dyDescent="0.3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ht="15.75" customHeight="1" x14ac:dyDescent="0.3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ht="15.75" customHeight="1" x14ac:dyDescent="0.3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ht="15.75" customHeight="1" x14ac:dyDescent="0.3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ht="15.75" customHeight="1" x14ac:dyDescent="0.3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ht="15.75" customHeight="1" x14ac:dyDescent="0.3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ht="15.75" customHeight="1" x14ac:dyDescent="0.3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ht="15.75" customHeight="1" x14ac:dyDescent="0.3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ht="15.75" customHeight="1" x14ac:dyDescent="0.3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ht="15.75" customHeight="1" x14ac:dyDescent="0.3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ht="15.75" customHeight="1" x14ac:dyDescent="0.3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ht="15.75" customHeight="1" x14ac:dyDescent="0.3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ht="15.75" customHeight="1" x14ac:dyDescent="0.3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ht="15.75" customHeight="1" x14ac:dyDescent="0.3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ht="15.75" customHeight="1" x14ac:dyDescent="0.3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ht="15.75" customHeight="1" x14ac:dyDescent="0.3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ht="15.75" customHeight="1" x14ac:dyDescent="0.3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ht="15.75" customHeight="1" x14ac:dyDescent="0.3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ht="15.75" customHeight="1" x14ac:dyDescent="0.3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ht="15.75" customHeight="1" x14ac:dyDescent="0.3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5.75" customHeight="1" x14ac:dyDescent="0.3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ht="15.75" customHeight="1" x14ac:dyDescent="0.3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ht="15.75" customHeight="1" x14ac:dyDescent="0.3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ht="15.75" customHeight="1" x14ac:dyDescent="0.3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ht="15.75" customHeight="1" x14ac:dyDescent="0.3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ht="15.75" customHeight="1" x14ac:dyDescent="0.3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ht="15.75" customHeight="1" x14ac:dyDescent="0.3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ht="15.75" customHeight="1" x14ac:dyDescent="0.3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ht="15.75" customHeight="1" x14ac:dyDescent="0.3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ht="15.75" customHeight="1" x14ac:dyDescent="0.3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ht="15.75" customHeight="1" x14ac:dyDescent="0.3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ht="15.75" customHeight="1" x14ac:dyDescent="0.3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ht="15.75" customHeight="1" x14ac:dyDescent="0.3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ht="15.75" customHeight="1" x14ac:dyDescent="0.3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ht="15.75" customHeight="1" x14ac:dyDescent="0.3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ht="15.75" customHeight="1" x14ac:dyDescent="0.3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ht="15.75" customHeight="1" x14ac:dyDescent="0.3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ht="15.75" customHeight="1" x14ac:dyDescent="0.3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ht="15.75" customHeight="1" x14ac:dyDescent="0.3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ht="15.75" customHeight="1" x14ac:dyDescent="0.3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ht="15.75" customHeight="1" x14ac:dyDescent="0.3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ht="15.75" customHeight="1" x14ac:dyDescent="0.3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ht="15.75" customHeight="1" x14ac:dyDescent="0.3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ht="15.75" customHeight="1" x14ac:dyDescent="0.3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ht="15.75" customHeight="1" x14ac:dyDescent="0.3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ht="15.75" customHeight="1" x14ac:dyDescent="0.3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ht="15.75" customHeight="1" x14ac:dyDescent="0.3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ht="15.75" customHeight="1" x14ac:dyDescent="0.3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ht="15.75" customHeight="1" x14ac:dyDescent="0.3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ht="15.75" customHeight="1" x14ac:dyDescent="0.3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ht="15.75" customHeight="1" x14ac:dyDescent="0.3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ht="15.75" customHeight="1" x14ac:dyDescent="0.3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ht="15.75" customHeight="1" x14ac:dyDescent="0.3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ht="15.75" customHeight="1" x14ac:dyDescent="0.3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ht="15.75" customHeight="1" x14ac:dyDescent="0.3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ht="15.75" customHeight="1" x14ac:dyDescent="0.3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ht="15.75" customHeight="1" x14ac:dyDescent="0.3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ht="15.75" customHeight="1" x14ac:dyDescent="0.3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ht="15.75" customHeight="1" x14ac:dyDescent="0.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ht="15.75" customHeight="1" x14ac:dyDescent="0.3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ht="15.75" customHeight="1" x14ac:dyDescent="0.3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ht="15.75" customHeight="1" x14ac:dyDescent="0.3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ht="15.75" customHeight="1" x14ac:dyDescent="0.3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ht="15.75" customHeight="1" x14ac:dyDescent="0.3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ht="15.75" customHeight="1" x14ac:dyDescent="0.3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ht="15.75" customHeight="1" x14ac:dyDescent="0.3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ht="15.75" customHeight="1" x14ac:dyDescent="0.3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ht="15.75" customHeight="1" x14ac:dyDescent="0.3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ht="15.75" customHeight="1" x14ac:dyDescent="0.3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ht="15.75" customHeight="1" x14ac:dyDescent="0.3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ht="15.75" customHeight="1" x14ac:dyDescent="0.3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ht="15.75" customHeight="1" x14ac:dyDescent="0.3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ht="15.75" customHeight="1" x14ac:dyDescent="0.3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ht="15.75" customHeight="1" x14ac:dyDescent="0.3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ht="15.75" customHeight="1" x14ac:dyDescent="0.3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ht="15.75" customHeight="1" x14ac:dyDescent="0.3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ht="15.75" customHeight="1" x14ac:dyDescent="0.3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ht="15.75" customHeight="1" x14ac:dyDescent="0.3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ht="15.75" customHeight="1" x14ac:dyDescent="0.3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ht="15.75" customHeight="1" x14ac:dyDescent="0.3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ht="15.75" customHeight="1" x14ac:dyDescent="0.3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ht="15.75" customHeight="1" x14ac:dyDescent="0.3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ht="15.75" customHeight="1" x14ac:dyDescent="0.3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ht="15.75" customHeight="1" x14ac:dyDescent="0.3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ht="15.75" customHeight="1" x14ac:dyDescent="0.3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ht="15.75" customHeight="1" x14ac:dyDescent="0.3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ht="15.75" customHeight="1" x14ac:dyDescent="0.3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ht="15.75" customHeight="1" x14ac:dyDescent="0.3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ht="15.75" customHeight="1" x14ac:dyDescent="0.3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ht="15.75" customHeight="1" x14ac:dyDescent="0.3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ht="15.75" customHeight="1" x14ac:dyDescent="0.3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ht="15.75" customHeight="1" x14ac:dyDescent="0.3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ht="15.75" customHeight="1" x14ac:dyDescent="0.3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ht="15.75" customHeight="1" x14ac:dyDescent="0.3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ht="15.75" customHeight="1" x14ac:dyDescent="0.3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ht="15.75" customHeight="1" x14ac:dyDescent="0.3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ht="15.75" customHeight="1" x14ac:dyDescent="0.3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ht="15.75" customHeight="1" x14ac:dyDescent="0.3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ht="15.75" customHeight="1" x14ac:dyDescent="0.3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ht="15.75" customHeight="1" x14ac:dyDescent="0.3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ht="15.75" customHeight="1" x14ac:dyDescent="0.3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ht="15.75" customHeight="1" x14ac:dyDescent="0.3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ht="15.75" customHeight="1" x14ac:dyDescent="0.3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ht="15.75" customHeight="1" x14ac:dyDescent="0.3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ht="15.75" customHeight="1" x14ac:dyDescent="0.3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ht="15.75" customHeight="1" x14ac:dyDescent="0.3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ht="15.75" customHeight="1" x14ac:dyDescent="0.3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ht="15.75" customHeight="1" x14ac:dyDescent="0.3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ht="15.75" customHeight="1" x14ac:dyDescent="0.3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ht="15.75" customHeight="1" x14ac:dyDescent="0.3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ht="15.75" customHeight="1" x14ac:dyDescent="0.3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ht="15.75" customHeight="1" x14ac:dyDescent="0.3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ht="15.75" customHeight="1" x14ac:dyDescent="0.3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ht="15.75" customHeight="1" x14ac:dyDescent="0.3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ht="15.75" customHeight="1" x14ac:dyDescent="0.3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ht="15.75" customHeight="1" x14ac:dyDescent="0.3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ht="15.75" customHeight="1" x14ac:dyDescent="0.3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ht="15.75" customHeight="1" x14ac:dyDescent="0.3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ht="15.75" customHeight="1" x14ac:dyDescent="0.3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ht="15.75" customHeight="1" x14ac:dyDescent="0.3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ht="15.75" customHeight="1" x14ac:dyDescent="0.3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ht="15.75" customHeight="1" x14ac:dyDescent="0.3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ht="15.75" customHeight="1" x14ac:dyDescent="0.3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ht="15.75" customHeight="1" x14ac:dyDescent="0.3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ht="15.75" customHeight="1" x14ac:dyDescent="0.3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ht="15.75" customHeight="1" x14ac:dyDescent="0.3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ht="15.75" customHeight="1" x14ac:dyDescent="0.3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ht="15.75" customHeight="1" x14ac:dyDescent="0.3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ht="15.75" customHeight="1" x14ac:dyDescent="0.3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ht="15.75" customHeight="1" x14ac:dyDescent="0.3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ht="15.75" customHeight="1" x14ac:dyDescent="0.3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ht="15.75" customHeight="1" x14ac:dyDescent="0.3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ht="15.75" customHeight="1" x14ac:dyDescent="0.3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ht="15.75" customHeight="1" x14ac:dyDescent="0.3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ht="15.75" customHeight="1" x14ac:dyDescent="0.3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ht="15.75" customHeight="1" x14ac:dyDescent="0.3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ht="15.75" customHeight="1" x14ac:dyDescent="0.3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ht="15.75" customHeight="1" x14ac:dyDescent="0.3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ht="15.75" customHeight="1" x14ac:dyDescent="0.3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ht="15.75" customHeight="1" x14ac:dyDescent="0.3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ht="15.75" customHeight="1" x14ac:dyDescent="0.3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ht="15.75" customHeight="1" x14ac:dyDescent="0.3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ht="15.75" customHeight="1" x14ac:dyDescent="0.3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ht="15.75" customHeight="1" x14ac:dyDescent="0.3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ht="15.75" customHeight="1" x14ac:dyDescent="0.3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ht="15.75" customHeight="1" x14ac:dyDescent="0.3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ht="15.75" customHeight="1" x14ac:dyDescent="0.3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ht="15.75" customHeight="1" x14ac:dyDescent="0.3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ht="15.75" customHeight="1" x14ac:dyDescent="0.3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ht="15.75" customHeight="1" x14ac:dyDescent="0.3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ht="15.75" customHeight="1" x14ac:dyDescent="0.3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ht="15.75" customHeight="1" x14ac:dyDescent="0.3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ht="15.75" customHeight="1" x14ac:dyDescent="0.3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ht="15.75" customHeight="1" x14ac:dyDescent="0.3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ht="15.75" customHeight="1" x14ac:dyDescent="0.3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ht="15.75" customHeight="1" x14ac:dyDescent="0.3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ht="15.75" customHeight="1" x14ac:dyDescent="0.3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ht="15.75" customHeight="1" x14ac:dyDescent="0.3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ht="15.75" customHeight="1" x14ac:dyDescent="0.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ht="15.75" customHeight="1" x14ac:dyDescent="0.3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ht="15.75" customHeight="1" x14ac:dyDescent="0.3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ht="15.75" customHeight="1" x14ac:dyDescent="0.3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ht="15.75" customHeight="1" x14ac:dyDescent="0.3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ht="15.75" customHeight="1" x14ac:dyDescent="0.3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ht="15.75" customHeight="1" x14ac:dyDescent="0.3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ht="15.75" customHeight="1" x14ac:dyDescent="0.3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ht="15.75" customHeight="1" x14ac:dyDescent="0.3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ht="15.75" customHeight="1" x14ac:dyDescent="0.3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ht="15.75" customHeight="1" x14ac:dyDescent="0.3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ht="15.75" customHeight="1" x14ac:dyDescent="0.3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ht="15.75" customHeight="1" x14ac:dyDescent="0.3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ht="15.75" customHeight="1" x14ac:dyDescent="0.3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ht="15.75" customHeight="1" x14ac:dyDescent="0.3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ht="15.75" customHeight="1" x14ac:dyDescent="0.3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ht="15.75" customHeight="1" x14ac:dyDescent="0.3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ht="15.75" customHeight="1" x14ac:dyDescent="0.3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ht="15.75" customHeight="1" x14ac:dyDescent="0.3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ht="15.75" customHeight="1" x14ac:dyDescent="0.3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ht="15.75" customHeight="1" x14ac:dyDescent="0.3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ht="15.75" customHeight="1" x14ac:dyDescent="0.3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ht="15.75" customHeight="1" x14ac:dyDescent="0.3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ht="15.75" customHeight="1" x14ac:dyDescent="0.3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ht="15.75" customHeight="1" x14ac:dyDescent="0.3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ht="15.75" customHeight="1" x14ac:dyDescent="0.3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ht="15.75" customHeight="1" x14ac:dyDescent="0.3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ht="15.75" customHeight="1" x14ac:dyDescent="0.3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ht="15.75" customHeight="1" x14ac:dyDescent="0.3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ht="15.75" customHeight="1" x14ac:dyDescent="0.3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ht="15.75" customHeight="1" x14ac:dyDescent="0.3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ht="15.75" customHeight="1" x14ac:dyDescent="0.3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ht="15.75" customHeight="1" x14ac:dyDescent="0.3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ht="15.75" customHeight="1" x14ac:dyDescent="0.3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ht="15.75" customHeight="1" x14ac:dyDescent="0.3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ht="15.75" customHeight="1" x14ac:dyDescent="0.3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ht="15.75" customHeight="1" x14ac:dyDescent="0.3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ht="15.75" customHeight="1" x14ac:dyDescent="0.3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ht="15.75" customHeight="1" x14ac:dyDescent="0.3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ht="15.75" customHeight="1" x14ac:dyDescent="0.3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ht="15.75" customHeight="1" x14ac:dyDescent="0.3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ht="15.75" customHeight="1" x14ac:dyDescent="0.3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ht="15.75" customHeight="1" x14ac:dyDescent="0.3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ht="15.75" customHeight="1" x14ac:dyDescent="0.3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ht="15.75" customHeight="1" x14ac:dyDescent="0.3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ht="15.75" customHeight="1" x14ac:dyDescent="0.3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ht="15.75" customHeight="1" x14ac:dyDescent="0.3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ht="15.75" customHeight="1" x14ac:dyDescent="0.3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ht="15.75" customHeight="1" x14ac:dyDescent="0.3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ht="15.75" customHeight="1" x14ac:dyDescent="0.3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ht="15.75" customHeight="1" x14ac:dyDescent="0.3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ht="15.75" customHeight="1" x14ac:dyDescent="0.3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ht="15.75" customHeight="1" x14ac:dyDescent="0.3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ht="15.75" customHeight="1" x14ac:dyDescent="0.3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ht="15.75" customHeight="1" x14ac:dyDescent="0.3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ht="15.75" customHeight="1" x14ac:dyDescent="0.3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ht="15.75" customHeight="1" x14ac:dyDescent="0.3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ht="15.75" customHeight="1" x14ac:dyDescent="0.3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ht="15.75" customHeight="1" x14ac:dyDescent="0.3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ht="15.75" customHeight="1" x14ac:dyDescent="0.3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ht="15.75" customHeight="1" x14ac:dyDescent="0.3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ht="15.75" customHeight="1" x14ac:dyDescent="0.3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ht="15.75" customHeight="1" x14ac:dyDescent="0.3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ht="15.75" customHeight="1" x14ac:dyDescent="0.3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ht="15.75" customHeight="1" x14ac:dyDescent="0.3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ht="15.75" customHeight="1" x14ac:dyDescent="0.3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ht="15.75" customHeight="1" x14ac:dyDescent="0.3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ht="15.75" customHeight="1" x14ac:dyDescent="0.3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ht="15.75" customHeight="1" x14ac:dyDescent="0.3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ht="15.75" customHeight="1" x14ac:dyDescent="0.3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ht="15.75" customHeight="1" x14ac:dyDescent="0.3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ht="15.75" customHeight="1" x14ac:dyDescent="0.3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ht="15.75" customHeight="1" x14ac:dyDescent="0.3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ht="15.75" customHeight="1" x14ac:dyDescent="0.3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ht="15.75" customHeight="1" x14ac:dyDescent="0.3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ht="15.75" customHeight="1" x14ac:dyDescent="0.3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ht="15.75" customHeight="1" x14ac:dyDescent="0.3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ht="15.75" customHeight="1" x14ac:dyDescent="0.3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ht="15.75" customHeight="1" x14ac:dyDescent="0.3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ht="15.75" customHeight="1" x14ac:dyDescent="0.3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ht="15.75" customHeight="1" x14ac:dyDescent="0.3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ht="15.75" customHeight="1" x14ac:dyDescent="0.3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ht="15.75" customHeight="1" x14ac:dyDescent="0.3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ht="15.75" customHeight="1" x14ac:dyDescent="0.3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ht="15.75" customHeight="1" x14ac:dyDescent="0.3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ht="15.75" customHeight="1" x14ac:dyDescent="0.3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ht="15.75" customHeight="1" x14ac:dyDescent="0.3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ht="15.75" customHeight="1" x14ac:dyDescent="0.3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ht="15.75" customHeight="1" x14ac:dyDescent="0.3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ht="15.75" customHeight="1" x14ac:dyDescent="0.3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ht="15.75" customHeight="1" x14ac:dyDescent="0.3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ht="15.75" customHeight="1" x14ac:dyDescent="0.3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ht="15.75" customHeight="1" x14ac:dyDescent="0.3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ht="15.75" customHeight="1" x14ac:dyDescent="0.3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ht="15.75" customHeight="1" x14ac:dyDescent="0.3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ht="15.75" customHeight="1" x14ac:dyDescent="0.3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ht="15.75" customHeight="1" x14ac:dyDescent="0.3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ht="15.75" customHeight="1" x14ac:dyDescent="0.3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ht="15.75" customHeight="1" x14ac:dyDescent="0.3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ht="15.75" customHeight="1" x14ac:dyDescent="0.3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ht="15.75" customHeight="1" x14ac:dyDescent="0.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ht="15.75" customHeight="1" x14ac:dyDescent="0.3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ht="15.75" customHeight="1" x14ac:dyDescent="0.3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ht="15.75" customHeight="1" x14ac:dyDescent="0.3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ht="15.75" customHeight="1" x14ac:dyDescent="0.3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ht="15.75" customHeight="1" x14ac:dyDescent="0.3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ht="15.75" customHeight="1" x14ac:dyDescent="0.3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ht="15.75" customHeight="1" x14ac:dyDescent="0.3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ht="15.75" customHeight="1" x14ac:dyDescent="0.3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ht="15.75" customHeight="1" x14ac:dyDescent="0.3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ht="15.75" customHeight="1" x14ac:dyDescent="0.3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ht="15.75" customHeight="1" x14ac:dyDescent="0.3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ht="15.75" customHeight="1" x14ac:dyDescent="0.3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ht="15.75" customHeight="1" x14ac:dyDescent="0.3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ht="15.75" customHeight="1" x14ac:dyDescent="0.3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ht="15.75" customHeight="1" x14ac:dyDescent="0.3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ht="15.75" customHeight="1" x14ac:dyDescent="0.3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ht="15.75" customHeight="1" x14ac:dyDescent="0.3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ht="15.75" customHeight="1" x14ac:dyDescent="0.3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ht="15.75" customHeight="1" x14ac:dyDescent="0.3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ht="15.75" customHeight="1" x14ac:dyDescent="0.3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ht="15.75" customHeight="1" x14ac:dyDescent="0.3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ht="15.75" customHeight="1" x14ac:dyDescent="0.3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ht="15.75" customHeight="1" x14ac:dyDescent="0.3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ht="15.75" customHeight="1" x14ac:dyDescent="0.3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ht="15.75" customHeight="1" x14ac:dyDescent="0.3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ht="15.75" customHeight="1" x14ac:dyDescent="0.3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ht="15.75" customHeight="1" x14ac:dyDescent="0.3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ht="15.75" customHeight="1" x14ac:dyDescent="0.3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ht="15.75" customHeight="1" x14ac:dyDescent="0.3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ht="15.75" customHeight="1" x14ac:dyDescent="0.3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ht="15.75" customHeight="1" x14ac:dyDescent="0.3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ht="15.75" customHeight="1" x14ac:dyDescent="0.35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ht="15.75" customHeight="1" x14ac:dyDescent="0.35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ht="15.75" customHeight="1" x14ac:dyDescent="0.35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ht="15.75" customHeight="1" x14ac:dyDescent="0.35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ht="15.75" customHeight="1" x14ac:dyDescent="0.35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ht="15.75" customHeight="1" x14ac:dyDescent="0.35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ht="15.75" customHeight="1" x14ac:dyDescent="0.35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ht="15.75" customHeight="1" x14ac:dyDescent="0.35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ht="15.75" customHeight="1" x14ac:dyDescent="0.3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ht="15.75" customHeight="1" x14ac:dyDescent="0.35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ht="15.75" customHeight="1" x14ac:dyDescent="0.35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ht="15.75" customHeight="1" x14ac:dyDescent="0.35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ht="15.75" customHeight="1" x14ac:dyDescent="0.35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ht="15.75" customHeight="1" x14ac:dyDescent="0.35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ht="15.75" customHeight="1" x14ac:dyDescent="0.35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ht="15.75" customHeight="1" x14ac:dyDescent="0.35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ht="15.75" customHeight="1" x14ac:dyDescent="0.35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ht="15.75" customHeight="1" x14ac:dyDescent="0.35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ht="15.75" customHeight="1" x14ac:dyDescent="0.3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ht="15.75" customHeight="1" x14ac:dyDescent="0.35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ht="15.75" customHeight="1" x14ac:dyDescent="0.35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ht="15.75" customHeight="1" x14ac:dyDescent="0.35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ht="15.75" customHeight="1" x14ac:dyDescent="0.35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ht="15.75" customHeight="1" x14ac:dyDescent="0.35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ht="15.75" customHeight="1" x14ac:dyDescent="0.35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ht="15.75" customHeight="1" x14ac:dyDescent="0.35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ht="15.75" customHeight="1" x14ac:dyDescent="0.35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ht="15.75" customHeight="1" x14ac:dyDescent="0.35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ht="15.75" customHeight="1" x14ac:dyDescent="0.3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ht="15.75" customHeight="1" x14ac:dyDescent="0.35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ht="15.75" customHeight="1" x14ac:dyDescent="0.35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ht="15.75" customHeight="1" x14ac:dyDescent="0.35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ht="15.75" customHeight="1" x14ac:dyDescent="0.35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ht="15.75" customHeight="1" x14ac:dyDescent="0.35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ht="15.75" customHeight="1" x14ac:dyDescent="0.35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ht="15.75" customHeight="1" x14ac:dyDescent="0.35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ht="15.75" customHeight="1" x14ac:dyDescent="0.35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ht="15.75" customHeight="1" x14ac:dyDescent="0.35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ht="15.75" customHeight="1" x14ac:dyDescent="0.3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ht="15.75" customHeight="1" x14ac:dyDescent="0.35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ht="15.75" customHeight="1" x14ac:dyDescent="0.35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ht="15.75" customHeight="1" x14ac:dyDescent="0.35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ht="15.75" customHeight="1" x14ac:dyDescent="0.35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ht="15.75" customHeight="1" x14ac:dyDescent="0.35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ht="15.75" customHeight="1" x14ac:dyDescent="0.35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ht="15.75" customHeight="1" x14ac:dyDescent="0.35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ht="15.75" customHeight="1" x14ac:dyDescent="0.35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ht="15.75" customHeight="1" x14ac:dyDescent="0.35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ht="15.75" customHeight="1" x14ac:dyDescent="0.3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ht="15.75" customHeight="1" x14ac:dyDescent="0.35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ht="15.75" customHeight="1" x14ac:dyDescent="0.35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ht="15.75" customHeight="1" x14ac:dyDescent="0.35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ht="15.75" customHeight="1" x14ac:dyDescent="0.35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ht="15.75" customHeight="1" x14ac:dyDescent="0.35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ht="15.75" customHeight="1" x14ac:dyDescent="0.35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ht="15.75" customHeight="1" x14ac:dyDescent="0.35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ht="15.75" customHeight="1" x14ac:dyDescent="0.35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ht="15.75" customHeight="1" x14ac:dyDescent="0.35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ht="15.75" customHeight="1" x14ac:dyDescent="0.3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ht="15.75" customHeight="1" x14ac:dyDescent="0.35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ht="15.75" customHeight="1" x14ac:dyDescent="0.35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ht="15.75" customHeight="1" x14ac:dyDescent="0.35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ht="15.75" customHeight="1" x14ac:dyDescent="0.35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ht="15.75" customHeight="1" x14ac:dyDescent="0.35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ht="15.75" customHeight="1" x14ac:dyDescent="0.3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ht="15.75" customHeight="1" x14ac:dyDescent="0.35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ht="15.75" customHeight="1" x14ac:dyDescent="0.35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ht="15.75" customHeight="1" x14ac:dyDescent="0.35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ht="15.75" customHeight="1" x14ac:dyDescent="0.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ht="15.75" customHeight="1" x14ac:dyDescent="0.35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ht="15.75" customHeight="1" x14ac:dyDescent="0.35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ht="15.75" customHeight="1" x14ac:dyDescent="0.35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ht="15.75" customHeight="1" x14ac:dyDescent="0.35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ht="15.75" customHeight="1" x14ac:dyDescent="0.35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ht="15.75" customHeight="1" x14ac:dyDescent="0.35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ht="15.75" customHeight="1" x14ac:dyDescent="0.35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ht="15.75" customHeight="1" x14ac:dyDescent="0.35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ht="15.75" customHeight="1" x14ac:dyDescent="0.35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ht="15.75" customHeight="1" x14ac:dyDescent="0.3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ht="15.75" customHeight="1" x14ac:dyDescent="0.35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ht="15.75" customHeight="1" x14ac:dyDescent="0.35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ht="15.75" customHeight="1" x14ac:dyDescent="0.35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ht="15.75" customHeight="1" x14ac:dyDescent="0.35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ht="15.75" customHeight="1" x14ac:dyDescent="0.35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ht="15.75" customHeight="1" x14ac:dyDescent="0.35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ht="15.75" customHeight="1" x14ac:dyDescent="0.35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ht="15.75" customHeight="1" x14ac:dyDescent="0.35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ht="15.75" customHeight="1" x14ac:dyDescent="0.35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ht="15.75" customHeight="1" x14ac:dyDescent="0.3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ht="15.75" customHeight="1" x14ac:dyDescent="0.35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ht="15.75" customHeight="1" x14ac:dyDescent="0.35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ht="15.75" customHeight="1" x14ac:dyDescent="0.35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ht="15.75" customHeight="1" x14ac:dyDescent="0.35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ht="15.75" customHeight="1" x14ac:dyDescent="0.35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ht="15.75" customHeight="1" x14ac:dyDescent="0.35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ht="15.75" customHeight="1" x14ac:dyDescent="0.35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ht="15.75" customHeight="1" x14ac:dyDescent="0.35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ht="15.75" customHeight="1" x14ac:dyDescent="0.35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ht="15.75" customHeight="1" x14ac:dyDescent="0.3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ht="15.75" customHeight="1" x14ac:dyDescent="0.35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ht="15.75" customHeight="1" x14ac:dyDescent="0.35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ht="15.75" customHeight="1" x14ac:dyDescent="0.35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ht="15.75" customHeight="1" x14ac:dyDescent="0.35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ht="15.75" customHeight="1" x14ac:dyDescent="0.35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ht="15.75" customHeight="1" x14ac:dyDescent="0.35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ht="15.75" customHeight="1" x14ac:dyDescent="0.35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ht="15.75" customHeight="1" x14ac:dyDescent="0.35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ht="15.75" customHeight="1" x14ac:dyDescent="0.35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ht="15.75" customHeight="1" x14ac:dyDescent="0.3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ht="15.75" customHeight="1" x14ac:dyDescent="0.35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ht="15.75" customHeight="1" x14ac:dyDescent="0.35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ht="15.75" customHeight="1" x14ac:dyDescent="0.35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ht="15.75" customHeight="1" x14ac:dyDescent="0.35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ht="15.75" customHeight="1" x14ac:dyDescent="0.35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ht="15.75" customHeight="1" x14ac:dyDescent="0.35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ht="15.75" customHeight="1" x14ac:dyDescent="0.35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ht="15.75" customHeight="1" x14ac:dyDescent="0.35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ht="15.75" customHeight="1" x14ac:dyDescent="0.35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ht="15.75" customHeight="1" x14ac:dyDescent="0.3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ht="15.75" customHeight="1" x14ac:dyDescent="0.35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ht="15.75" customHeight="1" x14ac:dyDescent="0.35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ht="15.75" customHeight="1" x14ac:dyDescent="0.35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ht="15.75" customHeight="1" x14ac:dyDescent="0.35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ht="15.75" customHeight="1" x14ac:dyDescent="0.35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ht="15.75" customHeight="1" x14ac:dyDescent="0.35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ht="15.75" customHeight="1" x14ac:dyDescent="0.35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ht="15.75" customHeight="1" x14ac:dyDescent="0.35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ht="15.75" customHeight="1" x14ac:dyDescent="0.35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ht="15.75" customHeight="1" x14ac:dyDescent="0.3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ht="15.75" customHeight="1" x14ac:dyDescent="0.35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ht="15.75" customHeight="1" x14ac:dyDescent="0.35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ht="15.75" customHeight="1" x14ac:dyDescent="0.35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ht="15.75" customHeight="1" x14ac:dyDescent="0.35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ht="15.75" customHeight="1" x14ac:dyDescent="0.35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ht="15.75" customHeight="1" x14ac:dyDescent="0.35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ht="15.75" customHeight="1" x14ac:dyDescent="0.35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ht="15.75" customHeight="1" x14ac:dyDescent="0.35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ht="15.75" customHeight="1" x14ac:dyDescent="0.35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ht="15.75" customHeight="1" x14ac:dyDescent="0.3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ht="15.75" customHeight="1" x14ac:dyDescent="0.35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ht="15.75" customHeight="1" x14ac:dyDescent="0.35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ht="15.75" customHeight="1" x14ac:dyDescent="0.35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ht="15.75" customHeight="1" x14ac:dyDescent="0.35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ht="15.75" customHeight="1" x14ac:dyDescent="0.35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ht="15.75" customHeight="1" x14ac:dyDescent="0.35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ht="15.75" customHeight="1" x14ac:dyDescent="0.35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ht="15.75" customHeight="1" x14ac:dyDescent="0.35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ht="15.75" customHeight="1" x14ac:dyDescent="0.35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ht="15.75" customHeight="1" x14ac:dyDescent="0.3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ht="15.75" customHeight="1" x14ac:dyDescent="0.35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ht="15.75" customHeight="1" x14ac:dyDescent="0.35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ht="15.75" customHeight="1" x14ac:dyDescent="0.35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ht="15.75" customHeight="1" x14ac:dyDescent="0.35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ht="15.75" customHeight="1" x14ac:dyDescent="0.35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ht="15.75" customHeight="1" x14ac:dyDescent="0.35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ht="15.75" customHeight="1" x14ac:dyDescent="0.35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ht="15.75" customHeight="1" x14ac:dyDescent="0.35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ht="15.75" customHeight="1" x14ac:dyDescent="0.35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ht="15.75" customHeight="1" x14ac:dyDescent="0.3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ht="15.75" customHeight="1" x14ac:dyDescent="0.35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ht="15.75" customHeight="1" x14ac:dyDescent="0.35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ht="15.75" customHeight="1" x14ac:dyDescent="0.35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ht="15.75" customHeight="1" x14ac:dyDescent="0.35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ht="15.75" customHeight="1" x14ac:dyDescent="0.35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ht="15.75" customHeight="1" x14ac:dyDescent="0.35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ht="15.75" customHeight="1" x14ac:dyDescent="0.35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ht="15.75" customHeight="1" x14ac:dyDescent="0.35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ht="15.75" customHeight="1" x14ac:dyDescent="0.35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ht="15.75" customHeight="1" x14ac:dyDescent="0.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ht="15.75" customHeight="1" x14ac:dyDescent="0.35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ht="15.75" customHeight="1" x14ac:dyDescent="0.35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ht="15.75" customHeight="1" x14ac:dyDescent="0.35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ht="15.75" customHeight="1" x14ac:dyDescent="0.35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ht="15.75" customHeight="1" x14ac:dyDescent="0.35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ht="15.75" customHeight="1" x14ac:dyDescent="0.35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ht="15.75" customHeight="1" x14ac:dyDescent="0.35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ht="15.75" customHeight="1" x14ac:dyDescent="0.35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ht="15.75" customHeight="1" x14ac:dyDescent="0.35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ht="15.75" customHeight="1" x14ac:dyDescent="0.3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ht="15.75" customHeight="1" x14ac:dyDescent="0.35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ht="15.75" customHeight="1" x14ac:dyDescent="0.35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ht="15.75" customHeight="1" x14ac:dyDescent="0.35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ht="15.75" customHeight="1" x14ac:dyDescent="0.35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ht="15.75" customHeight="1" x14ac:dyDescent="0.35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ht="15.75" customHeight="1" x14ac:dyDescent="0.35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ht="15.75" customHeight="1" x14ac:dyDescent="0.35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ht="15.75" customHeight="1" x14ac:dyDescent="0.35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ht="15.75" customHeight="1" x14ac:dyDescent="0.35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ht="15.75" customHeight="1" x14ac:dyDescent="0.3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ht="15.75" customHeight="1" x14ac:dyDescent="0.35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ht="15.75" customHeight="1" x14ac:dyDescent="0.35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ht="15.75" customHeight="1" x14ac:dyDescent="0.35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ht="15.75" customHeight="1" x14ac:dyDescent="0.35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ht="15.75" customHeight="1" x14ac:dyDescent="0.35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ht="15.75" customHeight="1" x14ac:dyDescent="0.35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ht="15.75" customHeight="1" x14ac:dyDescent="0.35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ht="15.75" customHeight="1" x14ac:dyDescent="0.35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ht="15.75" customHeight="1" x14ac:dyDescent="0.35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ht="15.75" customHeight="1" x14ac:dyDescent="0.3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ht="15.75" customHeight="1" x14ac:dyDescent="0.35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ht="15.75" customHeight="1" x14ac:dyDescent="0.35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ht="15.75" customHeight="1" x14ac:dyDescent="0.35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ht="15.75" customHeight="1" x14ac:dyDescent="0.35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ht="15.75" customHeight="1" x14ac:dyDescent="0.35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ht="15.75" customHeight="1" x14ac:dyDescent="0.35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ht="15.75" customHeight="1" x14ac:dyDescent="0.35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ht="15.75" customHeight="1" x14ac:dyDescent="0.35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ht="15.75" customHeight="1" x14ac:dyDescent="0.35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ht="15.75" customHeight="1" x14ac:dyDescent="0.3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ht="15.75" customHeight="1" x14ac:dyDescent="0.35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ht="15.75" customHeight="1" x14ac:dyDescent="0.35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ht="15.75" customHeight="1" x14ac:dyDescent="0.35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 ht="15.75" customHeight="1" x14ac:dyDescent="0.35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 ht="15.75" customHeight="1" x14ac:dyDescent="0.35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 ht="15.75" customHeight="1" x14ac:dyDescent="0.35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 ht="15.75" customHeight="1" x14ac:dyDescent="0.35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 ht="15.75" customHeight="1" x14ac:dyDescent="0.35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 ht="15.75" customHeight="1" x14ac:dyDescent="0.35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 ht="15.75" customHeight="1" x14ac:dyDescent="0.3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 ht="15.75" customHeight="1" x14ac:dyDescent="0.35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 ht="15.75" customHeight="1" x14ac:dyDescent="0.35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 ht="15.75" customHeight="1" x14ac:dyDescent="0.35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 ht="15.75" customHeight="1" x14ac:dyDescent="0.35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 ht="15.75" customHeight="1" x14ac:dyDescent="0.35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 ht="15.75" customHeight="1" x14ac:dyDescent="0.35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 ht="15.75" customHeight="1" x14ac:dyDescent="0.35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 ht="15.75" customHeight="1" x14ac:dyDescent="0.35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1:26" ht="15.75" customHeight="1" x14ac:dyDescent="0.35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1:26" ht="15.75" customHeight="1" x14ac:dyDescent="0.3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spans="1:26" ht="15.75" customHeight="1" x14ac:dyDescent="0.35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spans="1:26" ht="15.75" customHeight="1" x14ac:dyDescent="0.35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spans="1:26" ht="15.75" customHeight="1" x14ac:dyDescent="0.35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spans="1:26" ht="15.75" customHeight="1" x14ac:dyDescent="0.35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spans="1:26" ht="15.75" customHeight="1" x14ac:dyDescent="0.35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mergeCells count="4">
    <mergeCell ref="A4:D4"/>
    <mergeCell ref="A1:D1"/>
    <mergeCell ref="A7:D7"/>
    <mergeCell ref="A12:E12"/>
  </mergeCells>
  <hyperlinks>
    <hyperlink ref="A13" r:id="rId1" xr:uid="{594E663B-18D6-457D-9757-1B97D2D74D1B}"/>
    <hyperlink ref="A15" r:id="rId2" xr:uid="{D33087BC-9FB5-4155-9298-AA3D94C0213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F483-0F2B-413F-8636-AC52AB1E45FE}">
  <dimension ref="A1:O998"/>
  <sheetViews>
    <sheetView topLeftCell="B1" workbookViewId="0">
      <selection activeCell="D3" sqref="D3"/>
    </sheetView>
  </sheetViews>
  <sheetFormatPr defaultColWidth="14.453125" defaultRowHeight="15" customHeight="1" x14ac:dyDescent="0.35"/>
  <cols>
    <col min="1" max="1" width="3.7265625" style="37" bestFit="1" customWidth="1"/>
    <col min="2" max="2" width="18.7265625" style="146" bestFit="1" customWidth="1"/>
    <col min="3" max="3" width="13.6328125" style="102" bestFit="1" customWidth="1"/>
    <col min="4" max="15" width="11" style="35" bestFit="1" customWidth="1"/>
    <col min="16" max="20" width="8.7265625" style="35" customWidth="1"/>
    <col min="21" max="16384" width="14.453125" style="35"/>
  </cols>
  <sheetData>
    <row r="1" spans="1:15" s="34" customFormat="1" ht="14.25" customHeight="1" thickBot="1" x14ac:dyDescent="0.4">
      <c r="A1" s="33" t="s">
        <v>101</v>
      </c>
      <c r="B1" s="145" t="s">
        <v>1</v>
      </c>
      <c r="C1" s="101">
        <v>2011</v>
      </c>
      <c r="D1" s="34">
        <v>2019</v>
      </c>
      <c r="E1" s="34">
        <v>2020</v>
      </c>
      <c r="F1" s="34">
        <v>2021</v>
      </c>
      <c r="G1" s="34">
        <v>2022</v>
      </c>
      <c r="H1" s="34">
        <v>2023</v>
      </c>
      <c r="I1" s="34">
        <v>2024</v>
      </c>
      <c r="J1" s="34">
        <v>2025</v>
      </c>
      <c r="K1" s="34">
        <v>2026</v>
      </c>
      <c r="L1" s="34">
        <v>2027</v>
      </c>
      <c r="M1" s="34">
        <v>2028</v>
      </c>
      <c r="N1" s="34">
        <v>2029</v>
      </c>
      <c r="O1" s="34">
        <v>2030</v>
      </c>
    </row>
    <row r="2" spans="1:15" ht="14.25" customHeight="1" x14ac:dyDescent="0.35">
      <c r="A2" s="36">
        <v>1</v>
      </c>
      <c r="B2" s="146" t="s">
        <v>59</v>
      </c>
      <c r="C2" s="102">
        <v>400004</v>
      </c>
      <c r="D2" s="122">
        <f>$C2*POWER(Variables!$C$7 +1, D$1 - $C$1)</f>
        <v>482442.94573535857</v>
      </c>
      <c r="E2" s="122">
        <f>$C2*POWER(Variables!$C$7 +1, E$1 - $C$1)</f>
        <v>493876.84354928654</v>
      </c>
      <c r="F2" s="122">
        <f>$C2*POWER(Variables!$C$7 +1, F$1 - $C$1)</f>
        <v>505581.7247414047</v>
      </c>
      <c r="G2" s="122">
        <f>$C2*POWER(Variables!$C$7 +1, G$1 - $C$1)</f>
        <v>517564.01161777606</v>
      </c>
      <c r="H2" s="122">
        <f>$C2*POWER(Variables!$C$7 +1, H$1 - $C$1)</f>
        <v>529830.27869311743</v>
      </c>
      <c r="I2" s="122">
        <f>$C2*POWER(Variables!$C$7 +1, I$1 - $C$1)</f>
        <v>542387.25629814435</v>
      </c>
      <c r="J2" s="122">
        <f>$C2*POWER(Variables!$C$7 +1, J$1 - $C$1)</f>
        <v>555241.83427241049</v>
      </c>
      <c r="K2" s="122">
        <f>$C2*POWER(Variables!$C$7 +1, K$1 - $C$1)</f>
        <v>568401.06574466662</v>
      </c>
      <c r="L2" s="122">
        <f>$C2*POWER(Variables!$C$7 +1, L$1 - $C$1)</f>
        <v>581872.17100281536</v>
      </c>
      <c r="M2" s="122">
        <f>$C2*POWER(Variables!$C$7 +1, M$1 - $C$1)</f>
        <v>595662.54145558202</v>
      </c>
      <c r="N2" s="122">
        <f>$C2*POWER(Variables!$C$7 +1, N$1 - $C$1)</f>
        <v>609779.74368807941</v>
      </c>
      <c r="O2" s="122">
        <f>$C2*POWER(Variables!$C$7 +1, O$1 - $C$1)</f>
        <v>624231.52361348702</v>
      </c>
    </row>
    <row r="3" spans="1:15" ht="14.25" customHeight="1" x14ac:dyDescent="0.35">
      <c r="A3" s="36">
        <v>2</v>
      </c>
      <c r="B3" s="146" t="s">
        <v>60</v>
      </c>
      <c r="C3" s="102">
        <v>293416</v>
      </c>
      <c r="D3" s="122">
        <f>$C3*POWER(Variables!$C$7 +1, D$1 - $C$1)</f>
        <v>353887.65953811951</v>
      </c>
      <c r="E3" s="122">
        <f>$C3*POWER(Variables!$C$7 +1, E$1 - $C$1)</f>
        <v>362274.79706917296</v>
      </c>
      <c r="F3" s="122">
        <f>$C3*POWER(Variables!$C$7 +1, F$1 - $C$1)</f>
        <v>370860.70975971239</v>
      </c>
      <c r="G3" s="122">
        <f>$C3*POWER(Variables!$C$7 +1, G$1 - $C$1)</f>
        <v>379650.10858101764</v>
      </c>
      <c r="H3" s="122">
        <f>$C3*POWER(Variables!$C$7 +1, H$1 - $C$1)</f>
        <v>388647.81615438784</v>
      </c>
      <c r="I3" s="122">
        <f>$C3*POWER(Variables!$C$7 +1, I$1 - $C$1)</f>
        <v>397858.76939724683</v>
      </c>
      <c r="J3" s="122">
        <f>$C3*POWER(Variables!$C$7 +1, J$1 - $C$1)</f>
        <v>407288.0222319616</v>
      </c>
      <c r="K3" s="122">
        <f>$C3*POWER(Variables!$C$7 +1, K$1 - $C$1)</f>
        <v>416940.74835885921</v>
      </c>
      <c r="L3" s="122">
        <f>$C3*POWER(Variables!$C$7 +1, L$1 - $C$1)</f>
        <v>426822.24409496418</v>
      </c>
      <c r="M3" s="122">
        <f>$C3*POWER(Variables!$C$7 +1, M$1 - $C$1)</f>
        <v>436937.93128001486</v>
      </c>
      <c r="N3" s="122">
        <f>$C3*POWER(Variables!$C$7 +1, N$1 - $C$1)</f>
        <v>447293.36025135126</v>
      </c>
      <c r="O3" s="122">
        <f>$C3*POWER(Variables!$C$7 +1, O$1 - $C$1)</f>
        <v>457894.21288930834</v>
      </c>
    </row>
    <row r="4" spans="1:15" ht="14.25" customHeight="1" x14ac:dyDescent="0.35">
      <c r="A4" s="36">
        <v>3</v>
      </c>
      <c r="B4" s="146" t="s">
        <v>61</v>
      </c>
      <c r="C4" s="102">
        <v>8443675</v>
      </c>
      <c r="D4" s="122">
        <f>$C4*POWER(Variables!$C$7 +1, D$1 - $C$1)</f>
        <v>10183876.760812402</v>
      </c>
      <c r="E4" s="122">
        <f>$C4*POWER(Variables!$C$7 +1, E$1 - $C$1)</f>
        <v>10425234.640043655</v>
      </c>
      <c r="F4" s="122">
        <f>$C4*POWER(Variables!$C$7 +1, F$1 - $C$1)</f>
        <v>10672312.70101269</v>
      </c>
      <c r="G4" s="122">
        <f>$C4*POWER(Variables!$C$7 +1, G$1 - $C$1)</f>
        <v>10925246.512026692</v>
      </c>
      <c r="H4" s="122">
        <f>$C4*POWER(Variables!$C$7 +1, H$1 - $C$1)</f>
        <v>11184174.854361728</v>
      </c>
      <c r="I4" s="122">
        <f>$C4*POWER(Variables!$C$7 +1, I$1 - $C$1)</f>
        <v>11449239.798410101</v>
      </c>
      <c r="J4" s="122">
        <f>$C4*POWER(Variables!$C$7 +1, J$1 - $C$1)</f>
        <v>11720586.781632422</v>
      </c>
      <c r="K4" s="122">
        <f>$C4*POWER(Variables!$C$7 +1, K$1 - $C$1)</f>
        <v>11998364.688357111</v>
      </c>
      <c r="L4" s="122">
        <f>$C4*POWER(Variables!$C$7 +1, L$1 - $C$1)</f>
        <v>12282725.931471176</v>
      </c>
      <c r="M4" s="122">
        <f>$C4*POWER(Variables!$C$7 +1, M$1 - $C$1)</f>
        <v>12573826.536047043</v>
      </c>
      <c r="N4" s="122">
        <f>$C4*POWER(Variables!$C$7 +1, N$1 - $C$1)</f>
        <v>12871826.22495136</v>
      </c>
      <c r="O4" s="122">
        <f>$C4*POWER(Variables!$C$7 +1, O$1 - $C$1)</f>
        <v>13176888.506482709</v>
      </c>
    </row>
    <row r="5" spans="1:15" ht="14.25" customHeight="1" x14ac:dyDescent="0.35">
      <c r="A5" s="36">
        <v>4</v>
      </c>
      <c r="B5" s="146" t="s">
        <v>62</v>
      </c>
      <c r="C5" s="102">
        <v>1798218</v>
      </c>
      <c r="D5" s="122">
        <f>$C5*POWER(Variables!$C$7 +1, D$1 - $C$1)</f>
        <v>2168822.2842630199</v>
      </c>
      <c r="E5" s="122">
        <f>$C5*POWER(Variables!$C$7 +1, E$1 - $C$1)</f>
        <v>2220223.3724000533</v>
      </c>
      <c r="F5" s="122">
        <f>$C5*POWER(Variables!$C$7 +1, F$1 - $C$1)</f>
        <v>2272842.6663259347</v>
      </c>
      <c r="G5" s="122">
        <f>$C5*POWER(Variables!$C$7 +1, G$1 - $C$1)</f>
        <v>2326709.0375178596</v>
      </c>
      <c r="H5" s="122">
        <f>$C5*POWER(Variables!$C$7 +1, H$1 - $C$1)</f>
        <v>2381852.0417070338</v>
      </c>
      <c r="I5" s="122">
        <f>$C5*POWER(Variables!$C$7 +1, I$1 - $C$1)</f>
        <v>2438301.9350954904</v>
      </c>
      <c r="J5" s="122">
        <f>$C5*POWER(Variables!$C$7 +1, J$1 - $C$1)</f>
        <v>2496089.6909572538</v>
      </c>
      <c r="K5" s="122">
        <f>$C5*POWER(Variables!$C$7 +1, K$1 - $C$1)</f>
        <v>2555247.0166329411</v>
      </c>
      <c r="L5" s="122">
        <f>$C5*POWER(Variables!$C$7 +1, L$1 - $C$1)</f>
        <v>2615806.370927142</v>
      </c>
      <c r="M5" s="122">
        <f>$C5*POWER(Variables!$C$7 +1, M$1 - $C$1)</f>
        <v>2677800.9819181152</v>
      </c>
      <c r="N5" s="122">
        <f>$C5*POWER(Variables!$C$7 +1, N$1 - $C$1)</f>
        <v>2741264.8651895751</v>
      </c>
      <c r="O5" s="122">
        <f>$C5*POWER(Variables!$C$7 +1, O$1 - $C$1)</f>
        <v>2806232.8424945683</v>
      </c>
    </row>
    <row r="6" spans="1:15" ht="14.25" customHeight="1" x14ac:dyDescent="0.35">
      <c r="A6" s="36">
        <v>5</v>
      </c>
      <c r="B6" s="146" t="s">
        <v>63</v>
      </c>
      <c r="C6" s="102">
        <v>843402</v>
      </c>
      <c r="D6" s="122">
        <f>$C6*POWER(Variables!$C$7 +1, D$1 - $C$1)</f>
        <v>1017223.1910658216</v>
      </c>
      <c r="E6" s="122">
        <f>$C6*POWER(Variables!$C$7 +1, E$1 - $C$1)</f>
        <v>1041331.3806940814</v>
      </c>
      <c r="F6" s="122">
        <f>$C6*POWER(Variables!$C$7 +1, F$1 - $C$1)</f>
        <v>1066010.9344165314</v>
      </c>
      <c r="G6" s="122">
        <f>$C6*POWER(Variables!$C$7 +1, G$1 - $C$1)</f>
        <v>1091275.3935622033</v>
      </c>
      <c r="H6" s="122">
        <f>$C6*POWER(Variables!$C$7 +1, H$1 - $C$1)</f>
        <v>1117138.6203896278</v>
      </c>
      <c r="I6" s="122">
        <f>$C6*POWER(Variables!$C$7 +1, I$1 - $C$1)</f>
        <v>1143614.8056928618</v>
      </c>
      <c r="J6" s="122">
        <f>$C6*POWER(Variables!$C$7 +1, J$1 - $C$1)</f>
        <v>1170718.4765877828</v>
      </c>
      <c r="K6" s="122">
        <f>$C6*POWER(Variables!$C$7 +1, K$1 - $C$1)</f>
        <v>1198464.5044829135</v>
      </c>
      <c r="L6" s="122">
        <f>$C6*POWER(Variables!$C$7 +1, L$1 - $C$1)</f>
        <v>1226868.1132391586</v>
      </c>
      <c r="M6" s="122">
        <f>$C6*POWER(Variables!$C$7 +1, M$1 - $C$1)</f>
        <v>1255944.8875229268</v>
      </c>
      <c r="N6" s="122">
        <f>$C6*POWER(Variables!$C$7 +1, N$1 - $C$1)</f>
        <v>1285710.7813572201</v>
      </c>
      <c r="O6" s="122">
        <f>$C6*POWER(Variables!$C$7 +1, O$1 - $C$1)</f>
        <v>1316182.1268753866</v>
      </c>
    </row>
    <row r="7" spans="1:15" ht="14.25" customHeight="1" x14ac:dyDescent="0.35">
      <c r="A7" s="36">
        <v>6</v>
      </c>
      <c r="B7" s="146" t="s">
        <v>64</v>
      </c>
      <c r="C7" s="102">
        <v>961587</v>
      </c>
      <c r="D7" s="122">
        <f>$C7*POWER(Variables!$C$7 +1, D$1 - $C$1)</f>
        <v>1159765.5644964206</v>
      </c>
      <c r="E7" s="122">
        <f>$C7*POWER(Variables!$C$7 +1, E$1 - $C$1)</f>
        <v>1187252.0083749858</v>
      </c>
      <c r="F7" s="122">
        <f>$C7*POWER(Variables!$C$7 +1, F$1 - $C$1)</f>
        <v>1215389.880973473</v>
      </c>
      <c r="G7" s="122">
        <f>$C7*POWER(Variables!$C$7 +1, G$1 - $C$1)</f>
        <v>1244194.6211525444</v>
      </c>
      <c r="H7" s="122">
        <f>$C7*POWER(Variables!$C$7 +1, H$1 - $C$1)</f>
        <v>1273682.0336738601</v>
      </c>
      <c r="I7" s="122">
        <f>$C7*POWER(Variables!$C$7 +1, I$1 - $C$1)</f>
        <v>1303868.2978719305</v>
      </c>
      <c r="J7" s="122">
        <f>$C7*POWER(Variables!$C$7 +1, J$1 - $C$1)</f>
        <v>1334769.9765314956</v>
      </c>
      <c r="K7" s="122">
        <f>$C7*POWER(Variables!$C$7 +1, K$1 - $C$1)</f>
        <v>1366404.0249752922</v>
      </c>
      <c r="L7" s="122">
        <f>$C7*POWER(Variables!$C$7 +1, L$1 - $C$1)</f>
        <v>1398787.8003672068</v>
      </c>
      <c r="M7" s="122">
        <f>$C7*POWER(Variables!$C$7 +1, M$1 - $C$1)</f>
        <v>1431939.0712359096</v>
      </c>
      <c r="N7" s="122">
        <f>$C7*POWER(Variables!$C$7 +1, N$1 - $C$1)</f>
        <v>1465876.0272242008</v>
      </c>
      <c r="O7" s="122">
        <f>$C7*POWER(Variables!$C$7 +1, O$1 - $C$1)</f>
        <v>1500617.2890694146</v>
      </c>
    </row>
    <row r="8" spans="1:15" ht="14.25" customHeight="1" x14ac:dyDescent="0.35">
      <c r="A8" s="36">
        <v>7</v>
      </c>
      <c r="B8" s="146" t="s">
        <v>65</v>
      </c>
      <c r="C8" s="102">
        <v>4646732</v>
      </c>
      <c r="D8" s="122">
        <f>$C8*POWER(Variables!$C$7 +1, D$1 - $C$1)</f>
        <v>5604401.6412904728</v>
      </c>
      <c r="E8" s="122">
        <f>$C8*POWER(Variables!$C$7 +1, E$1 - $C$1)</f>
        <v>5737225.9601890566</v>
      </c>
      <c r="F8" s="122">
        <f>$C8*POWER(Variables!$C$7 +1, F$1 - $C$1)</f>
        <v>5873198.2154455381</v>
      </c>
      <c r="G8" s="122">
        <f>$C8*POWER(Variables!$C$7 +1, G$1 - $C$1)</f>
        <v>6012393.0131515982</v>
      </c>
      <c r="H8" s="122">
        <f>$C8*POWER(Variables!$C$7 +1, H$1 - $C$1)</f>
        <v>6154886.7275632918</v>
      </c>
      <c r="I8" s="122">
        <f>$C8*POWER(Variables!$C$7 +1, I$1 - $C$1)</f>
        <v>6300757.5430065421</v>
      </c>
      <c r="J8" s="122">
        <f>$C8*POWER(Variables!$C$7 +1, J$1 - $C$1)</f>
        <v>6450085.4967757976</v>
      </c>
      <c r="K8" s="122">
        <f>$C8*POWER(Variables!$C$7 +1, K$1 - $C$1)</f>
        <v>6602952.5230493853</v>
      </c>
      <c r="L8" s="122">
        <f>$C8*POWER(Variables!$C$7 +1, L$1 - $C$1)</f>
        <v>6759442.4978456562</v>
      </c>
      <c r="M8" s="122">
        <f>$C8*POWER(Variables!$C$7 +1, M$1 - $C$1)</f>
        <v>6919641.2850445984</v>
      </c>
      <c r="N8" s="122">
        <f>$C8*POWER(Variables!$C$7 +1, N$1 - $C$1)</f>
        <v>7083636.7835001564</v>
      </c>
      <c r="O8" s="122">
        <f>$C8*POWER(Variables!$C$7 +1, O$1 - $C$1)</f>
        <v>7251518.9752691109</v>
      </c>
    </row>
    <row r="9" spans="1:15" ht="14.25" customHeight="1" x14ac:dyDescent="0.35">
      <c r="A9" s="36">
        <v>8</v>
      </c>
      <c r="B9" s="146" t="s">
        <v>66</v>
      </c>
      <c r="C9" s="102">
        <v>44282</v>
      </c>
      <c r="D9" s="122">
        <f>$C9*POWER(Variables!$C$7 +1, D$1 - $C$1)</f>
        <v>53408.312224510621</v>
      </c>
      <c r="E9" s="122">
        <f>$C9*POWER(Variables!$C$7 +1, E$1 - $C$1)</f>
        <v>54674.089224231524</v>
      </c>
      <c r="F9" s="122">
        <f>$C9*POWER(Variables!$C$7 +1, F$1 - $C$1)</f>
        <v>55969.865138845817</v>
      </c>
      <c r="G9" s="122">
        <f>$C9*POWER(Variables!$C$7 +1, G$1 - $C$1)</f>
        <v>57296.350942636469</v>
      </c>
      <c r="H9" s="122">
        <f>$C9*POWER(Variables!$C$7 +1, H$1 - $C$1)</f>
        <v>58654.274459976965</v>
      </c>
      <c r="I9" s="122">
        <f>$C9*POWER(Variables!$C$7 +1, I$1 - $C$1)</f>
        <v>60044.380764678419</v>
      </c>
      <c r="J9" s="122">
        <f>$C9*POWER(Variables!$C$7 +1, J$1 - $C$1)</f>
        <v>61467.432588801312</v>
      </c>
      <c r="K9" s="122">
        <f>$C9*POWER(Variables!$C$7 +1, K$1 - $C$1)</f>
        <v>62924.210741155912</v>
      </c>
      <c r="L9" s="122">
        <f>$C9*POWER(Variables!$C$7 +1, L$1 - $C$1)</f>
        <v>64415.514535721311</v>
      </c>
      <c r="M9" s="122">
        <f>$C9*POWER(Variables!$C$7 +1, M$1 - $C$1)</f>
        <v>65942.162230217902</v>
      </c>
      <c r="N9" s="122">
        <f>$C9*POWER(Variables!$C$7 +1, N$1 - $C$1)</f>
        <v>67504.991475074072</v>
      </c>
      <c r="O9" s="122">
        <f>$C9*POWER(Variables!$C$7 +1, O$1 - $C$1)</f>
        <v>69104.859773033342</v>
      </c>
    </row>
    <row r="10" spans="1:15" ht="14.25" customHeight="1" x14ac:dyDescent="0.35">
      <c r="A10" s="36">
        <v>9</v>
      </c>
      <c r="B10" s="146" t="s">
        <v>67</v>
      </c>
      <c r="C10" s="102">
        <v>569578</v>
      </c>
      <c r="D10" s="122">
        <f>$C10*POWER(Variables!$C$7 +1, D$1 - $C$1)</f>
        <v>686965.35071162798</v>
      </c>
      <c r="E10" s="122">
        <f>$C10*POWER(Variables!$C$7 +1, E$1 - $C$1)</f>
        <v>703246.42952349363</v>
      </c>
      <c r="F10" s="122">
        <f>$C10*POWER(Variables!$C$7 +1, F$1 - $C$1)</f>
        <v>719913.36990320042</v>
      </c>
      <c r="G10" s="122">
        <f>$C10*POWER(Variables!$C$7 +1, G$1 - $C$1)</f>
        <v>736975.31676990644</v>
      </c>
      <c r="H10" s="122">
        <f>$C10*POWER(Variables!$C$7 +1, H$1 - $C$1)</f>
        <v>754441.63177735335</v>
      </c>
      <c r="I10" s="122">
        <f>$C10*POWER(Variables!$C$7 +1, I$1 - $C$1)</f>
        <v>772321.89845047658</v>
      </c>
      <c r="J10" s="122">
        <f>$C10*POWER(Variables!$C$7 +1, J$1 - $C$1)</f>
        <v>790625.927443753</v>
      </c>
      <c r="K10" s="122">
        <f>$C10*POWER(Variables!$C$7 +1, K$1 - $C$1)</f>
        <v>809363.76192417007</v>
      </c>
      <c r="L10" s="122">
        <f>$C10*POWER(Variables!$C$7 +1, L$1 - $C$1)</f>
        <v>828545.68308177299</v>
      </c>
      <c r="M10" s="122">
        <f>$C10*POWER(Variables!$C$7 +1, M$1 - $C$1)</f>
        <v>848182.21577081108</v>
      </c>
      <c r="N10" s="122">
        <f>$C10*POWER(Variables!$C$7 +1, N$1 - $C$1)</f>
        <v>868284.13428457931</v>
      </c>
      <c r="O10" s="122">
        <f>$C10*POWER(Variables!$C$7 +1, O$1 - $C$1)</f>
        <v>888862.46826712403</v>
      </c>
    </row>
    <row r="11" spans="1:15" ht="14.25" customHeight="1" x14ac:dyDescent="0.35">
      <c r="A11" s="36">
        <v>10</v>
      </c>
      <c r="B11" s="146" t="s">
        <v>68</v>
      </c>
      <c r="C11" s="102">
        <v>528563</v>
      </c>
      <c r="D11" s="122">
        <f>$C11*POWER(Variables!$C$7 +1, D$1 - $C$1)</f>
        <v>637497.35184327734</v>
      </c>
      <c r="E11" s="122">
        <f>$C11*POWER(Variables!$C$7 +1, E$1 - $C$1)</f>
        <v>652606.03908196301</v>
      </c>
      <c r="F11" s="122">
        <f>$C11*POWER(Variables!$C$7 +1, F$1 - $C$1)</f>
        <v>668072.80220820569</v>
      </c>
      <c r="G11" s="122">
        <f>$C11*POWER(Variables!$C$7 +1, G$1 - $C$1)</f>
        <v>683906.12762054021</v>
      </c>
      <c r="H11" s="122">
        <f>$C11*POWER(Variables!$C$7 +1, H$1 - $C$1)</f>
        <v>700114.70284514711</v>
      </c>
      <c r="I11" s="122">
        <f>$C11*POWER(Variables!$C$7 +1, I$1 - $C$1)</f>
        <v>716707.42130257713</v>
      </c>
      <c r="J11" s="122">
        <f>$C11*POWER(Variables!$C$7 +1, J$1 - $C$1)</f>
        <v>733693.38718744833</v>
      </c>
      <c r="K11" s="122">
        <f>$C11*POWER(Variables!$C$7 +1, K$1 - $C$1)</f>
        <v>751081.920463791</v>
      </c>
      <c r="L11" s="122">
        <f>$C11*POWER(Variables!$C$7 +1, L$1 - $C$1)</f>
        <v>768882.56197878288</v>
      </c>
      <c r="M11" s="122">
        <f>$C11*POWER(Variables!$C$7 +1, M$1 - $C$1)</f>
        <v>787105.07869768003</v>
      </c>
      <c r="N11" s="122">
        <f>$C11*POWER(Variables!$C$7 +1, N$1 - $C$1)</f>
        <v>805759.46906281519</v>
      </c>
      <c r="O11" s="122">
        <f>$C11*POWER(Variables!$C$7 +1, O$1 - $C$1)</f>
        <v>824855.96847960399</v>
      </c>
    </row>
    <row r="12" spans="1:15" ht="14.25" customHeight="1" x14ac:dyDescent="0.35">
      <c r="A12" s="36">
        <v>11</v>
      </c>
      <c r="B12" s="146" t="s">
        <v>69</v>
      </c>
      <c r="C12" s="102">
        <v>206167</v>
      </c>
      <c r="D12" s="122">
        <f>$C12*POWER(Variables!$C$7 +1, D$1 - $C$1)</f>
        <v>248657.05041305005</v>
      </c>
      <c r="E12" s="122">
        <f>$C12*POWER(Variables!$C$7 +1, E$1 - $C$1)</f>
        <v>254550.22250783932</v>
      </c>
      <c r="F12" s="122">
        <f>$C12*POWER(Variables!$C$7 +1, F$1 - $C$1)</f>
        <v>260583.06278127513</v>
      </c>
      <c r="G12" s="122">
        <f>$C12*POWER(Variables!$C$7 +1, G$1 - $C$1)</f>
        <v>266758.8813691914</v>
      </c>
      <c r="H12" s="122">
        <f>$C12*POWER(Variables!$C$7 +1, H$1 - $C$1)</f>
        <v>273081.06685764127</v>
      </c>
      <c r="I12" s="122">
        <f>$C12*POWER(Variables!$C$7 +1, I$1 - $C$1)</f>
        <v>279553.08814216737</v>
      </c>
      <c r="J12" s="122">
        <f>$C12*POWER(Variables!$C$7 +1, J$1 - $C$1)</f>
        <v>286178.49633113679</v>
      </c>
      <c r="K12" s="122">
        <f>$C12*POWER(Variables!$C$7 +1, K$1 - $C$1)</f>
        <v>292960.92669418477</v>
      </c>
      <c r="L12" s="122">
        <f>$C12*POWER(Variables!$C$7 +1, L$1 - $C$1)</f>
        <v>299904.10065683699</v>
      </c>
      <c r="M12" s="122">
        <f>$C12*POWER(Variables!$C$7 +1, M$1 - $C$1)</f>
        <v>307011.82784240402</v>
      </c>
      <c r="N12" s="122">
        <f>$C12*POWER(Variables!$C$7 +1, N$1 - $C$1)</f>
        <v>314288.00816226902</v>
      </c>
      <c r="O12" s="122">
        <f>$C12*POWER(Variables!$C$7 +1, O$1 - $C$1)</f>
        <v>321736.63395571487</v>
      </c>
    </row>
    <row r="13" spans="1:15" ht="14.25" customHeight="1" x14ac:dyDescent="0.35">
      <c r="A13" s="36">
        <v>12</v>
      </c>
      <c r="B13" s="146" t="s">
        <v>70</v>
      </c>
      <c r="C13" s="102">
        <v>100286</v>
      </c>
      <c r="D13" s="122">
        <f>$C13*POWER(Variables!$C$7 +1, D$1 - $C$1)</f>
        <v>120954.47359530447</v>
      </c>
      <c r="E13" s="122">
        <f>$C13*POWER(Variables!$C$7 +1, E$1 - $C$1)</f>
        <v>123821.09461951318</v>
      </c>
      <c r="F13" s="122">
        <f>$C13*POWER(Variables!$C$7 +1, F$1 - $C$1)</f>
        <v>126755.65456199566</v>
      </c>
      <c r="G13" s="122">
        <f>$C13*POWER(Variables!$C$7 +1, G$1 - $C$1)</f>
        <v>129759.76357511496</v>
      </c>
      <c r="H13" s="122">
        <f>$C13*POWER(Variables!$C$7 +1, H$1 - $C$1)</f>
        <v>132835.06997184522</v>
      </c>
      <c r="I13" s="122">
        <f>$C13*POWER(Variables!$C$7 +1, I$1 - $C$1)</f>
        <v>135983.26113017794</v>
      </c>
      <c r="J13" s="122">
        <f>$C13*POWER(Variables!$C$7 +1, J$1 - $C$1)</f>
        <v>139206.06441896319</v>
      </c>
      <c r="K13" s="122">
        <f>$C13*POWER(Variables!$C$7 +1, K$1 - $C$1)</f>
        <v>142505.24814569263</v>
      </c>
      <c r="L13" s="122">
        <f>$C13*POWER(Variables!$C$7 +1, L$1 - $C$1)</f>
        <v>145882.62252674557</v>
      </c>
      <c r="M13" s="122">
        <f>$C13*POWER(Variables!$C$7 +1, M$1 - $C$1)</f>
        <v>149340.04068062943</v>
      </c>
      <c r="N13" s="122">
        <f>$C13*POWER(Variables!$C$7 +1, N$1 - $C$1)</f>
        <v>152879.39964476039</v>
      </c>
      <c r="O13" s="122">
        <f>$C13*POWER(Variables!$C$7 +1, O$1 - $C$1)</f>
        <v>156502.64141634121</v>
      </c>
    </row>
    <row r="14" spans="1:15" ht="14.25" customHeight="1" x14ac:dyDescent="0.35">
      <c r="A14" s="36">
        <v>13</v>
      </c>
      <c r="B14" s="146" t="s">
        <v>71</v>
      </c>
      <c r="C14" s="102">
        <v>6731790</v>
      </c>
      <c r="D14" s="122">
        <f>$C14*POWER(Variables!$C$7 +1, D$1 - $C$1)</f>
        <v>8119180.3023765497</v>
      </c>
      <c r="E14" s="122">
        <f>$C14*POWER(Variables!$C$7 +1, E$1 - $C$1)</f>
        <v>8311604.8755428735</v>
      </c>
      <c r="F14" s="122">
        <f>$C14*POWER(Variables!$C$7 +1, F$1 - $C$1)</f>
        <v>8508589.9110932406</v>
      </c>
      <c r="G14" s="122">
        <f>$C14*POWER(Variables!$C$7 +1, G$1 - $C$1)</f>
        <v>8710243.4919861518</v>
      </c>
      <c r="H14" s="122">
        <f>$C14*POWER(Variables!$C$7 +1, H$1 - $C$1)</f>
        <v>8916676.262746226</v>
      </c>
      <c r="I14" s="122">
        <f>$C14*POWER(Variables!$C$7 +1, I$1 - $C$1)</f>
        <v>9128001.49017331</v>
      </c>
      <c r="J14" s="122">
        <f>$C14*POWER(Variables!$C$7 +1, J$1 - $C$1)</f>
        <v>9344335.1254904196</v>
      </c>
      <c r="K14" s="122">
        <f>$C14*POWER(Variables!$C$7 +1, K$1 - $C$1)</f>
        <v>9565795.8679645434</v>
      </c>
      <c r="L14" s="122">
        <f>$C14*POWER(Variables!$C$7 +1, L$1 - $C$1)</f>
        <v>9792505.230035305</v>
      </c>
      <c r="M14" s="122">
        <f>$C14*POWER(Variables!$C$7 +1, M$1 - $C$1)</f>
        <v>10024587.603987142</v>
      </c>
      <c r="N14" s="122">
        <f>$C14*POWER(Variables!$C$7 +1, N$1 - $C$1)</f>
        <v>10262170.330201637</v>
      </c>
      <c r="O14" s="122">
        <f>$C14*POWER(Variables!$C$7 +1, O$1 - $C$1)</f>
        <v>10505383.767027419</v>
      </c>
    </row>
    <row r="15" spans="1:15" ht="14.25" customHeight="1" x14ac:dyDescent="0.35">
      <c r="A15" s="36">
        <v>14</v>
      </c>
      <c r="B15" s="146" t="s">
        <v>72</v>
      </c>
      <c r="C15" s="102">
        <v>268243</v>
      </c>
      <c r="D15" s="122">
        <f>$C15*POWER(Variables!$C$7 +1, D$1 - $C$1)</f>
        <v>323526.6224659998</v>
      </c>
      <c r="E15" s="122">
        <f>$C15*POWER(Variables!$C$7 +1, E$1 - $C$1)</f>
        <v>331194.20341844397</v>
      </c>
      <c r="F15" s="122">
        <f>$C15*POWER(Variables!$C$7 +1, F$1 - $C$1)</f>
        <v>339043.50603946112</v>
      </c>
      <c r="G15" s="122">
        <f>$C15*POWER(Variables!$C$7 +1, G$1 - $C$1)</f>
        <v>347078.83713259641</v>
      </c>
      <c r="H15" s="122">
        <f>$C15*POWER(Variables!$C$7 +1, H$1 - $C$1)</f>
        <v>355304.60557263903</v>
      </c>
      <c r="I15" s="122">
        <f>$C15*POWER(Variables!$C$7 +1, I$1 - $C$1)</f>
        <v>363725.32472471055</v>
      </c>
      <c r="J15" s="122">
        <f>$C15*POWER(Variables!$C$7 +1, J$1 - $C$1)</f>
        <v>372345.61492068629</v>
      </c>
      <c r="K15" s="122">
        <f>$C15*POWER(Variables!$C$7 +1, K$1 - $C$1)</f>
        <v>381170.2059943066</v>
      </c>
      <c r="L15" s="122">
        <f>$C15*POWER(Variables!$C$7 +1, L$1 - $C$1)</f>
        <v>390203.9398763717</v>
      </c>
      <c r="M15" s="122">
        <f>$C15*POWER(Variables!$C$7 +1, M$1 - $C$1)</f>
        <v>399451.77325144171</v>
      </c>
      <c r="N15" s="122">
        <f>$C15*POWER(Variables!$C$7 +1, N$1 - $C$1)</f>
        <v>408918.78027750092</v>
      </c>
      <c r="O15" s="122">
        <f>$C15*POWER(Variables!$C$7 +1, O$1 - $C$1)</f>
        <v>418610.15537007776</v>
      </c>
    </row>
    <row r="16" spans="1:15" ht="14.25" customHeight="1" x14ac:dyDescent="0.35">
      <c r="A16" s="36">
        <v>15</v>
      </c>
      <c r="B16" s="146" t="s">
        <v>73</v>
      </c>
      <c r="C16" s="102">
        <v>59490</v>
      </c>
      <c r="D16" s="122">
        <f>$C16*POWER(Variables!$C$7 +1, D$1 - $C$1)</f>
        <v>71750.609598395211</v>
      </c>
      <c r="E16" s="122">
        <f>$C16*POWER(Variables!$C$7 +1, E$1 - $C$1)</f>
        <v>73451.099045877185</v>
      </c>
      <c r="F16" s="122">
        <f>$C16*POWER(Variables!$C$7 +1, F$1 - $C$1)</f>
        <v>75191.890093264476</v>
      </c>
      <c r="G16" s="122">
        <f>$C16*POWER(Variables!$C$7 +1, G$1 - $C$1)</f>
        <v>76973.937888474858</v>
      </c>
      <c r="H16" s="122">
        <f>$C16*POWER(Variables!$C$7 +1, H$1 - $C$1)</f>
        <v>78798.220216431728</v>
      </c>
      <c r="I16" s="122">
        <f>$C16*POWER(Variables!$C$7 +1, I$1 - $C$1)</f>
        <v>80665.738035561153</v>
      </c>
      <c r="J16" s="122">
        <f>$C16*POWER(Variables!$C$7 +1, J$1 - $C$1)</f>
        <v>82577.516027003978</v>
      </c>
      <c r="K16" s="122">
        <f>$C16*POWER(Variables!$C$7 +1, K$1 - $C$1)</f>
        <v>84534.603156843979</v>
      </c>
      <c r="L16" s="122">
        <f>$C16*POWER(Variables!$C$7 +1, L$1 - $C$1)</f>
        <v>86538.07325166119</v>
      </c>
      <c r="M16" s="122">
        <f>$C16*POWER(Variables!$C$7 +1, M$1 - $C$1)</f>
        <v>88589.025587725555</v>
      </c>
      <c r="N16" s="122">
        <f>$C16*POWER(Variables!$C$7 +1, N$1 - $C$1)</f>
        <v>90688.585494154671</v>
      </c>
      <c r="O16" s="122">
        <f>$C16*POWER(Variables!$C$7 +1, O$1 - $C$1)</f>
        <v>92837.904970366144</v>
      </c>
    </row>
    <row r="17" spans="1:15" ht="14.25" customHeight="1" x14ac:dyDescent="0.35">
      <c r="A17" s="36">
        <v>16</v>
      </c>
      <c r="B17" s="146" t="s">
        <v>74</v>
      </c>
      <c r="C17" s="102">
        <v>3046163</v>
      </c>
      <c r="D17" s="122">
        <f>$C17*POWER(Variables!$C$7 +1, D$1 - $C$1)</f>
        <v>3673962.8876462663</v>
      </c>
      <c r="E17" s="122">
        <f>$C17*POWER(Variables!$C$7 +1, E$1 - $C$1)</f>
        <v>3761035.8080834826</v>
      </c>
      <c r="F17" s="122">
        <f>$C17*POWER(Variables!$C$7 +1, F$1 - $C$1)</f>
        <v>3850172.3567350614</v>
      </c>
      <c r="G17" s="122">
        <f>$C17*POWER(Variables!$C$7 +1, G$1 - $C$1)</f>
        <v>3941421.4415896828</v>
      </c>
      <c r="H17" s="122">
        <f>$C17*POWER(Variables!$C$7 +1, H$1 - $C$1)</f>
        <v>4034833.1297553591</v>
      </c>
      <c r="I17" s="122">
        <f>$C17*POWER(Variables!$C$7 +1, I$1 - $C$1)</f>
        <v>4130458.6749305613</v>
      </c>
      <c r="J17" s="122">
        <f>$C17*POWER(Variables!$C$7 +1, J$1 - $C$1)</f>
        <v>4228350.545526416</v>
      </c>
      <c r="K17" s="122">
        <f>$C17*POWER(Variables!$C$7 +1, K$1 - $C$1)</f>
        <v>4328562.4534553932</v>
      </c>
      <c r="L17" s="122">
        <f>$C17*POWER(Variables!$C$7 +1, L$1 - $C$1)</f>
        <v>4431149.3836022858</v>
      </c>
      <c r="M17" s="122">
        <f>$C17*POWER(Variables!$C$7 +1, M$1 - $C$1)</f>
        <v>4536167.6239936603</v>
      </c>
      <c r="N17" s="122">
        <f>$C17*POWER(Variables!$C$7 +1, N$1 - $C$1)</f>
        <v>4643674.7966823103</v>
      </c>
      <c r="O17" s="122">
        <f>$C17*POWER(Variables!$C$7 +1, O$1 - $C$1)</f>
        <v>4753729.8893636819</v>
      </c>
    </row>
    <row r="18" spans="1:15" ht="14.25" customHeight="1" x14ac:dyDescent="0.35">
      <c r="A18" s="36">
        <v>17</v>
      </c>
      <c r="B18" s="146" t="s">
        <v>75</v>
      </c>
      <c r="C18" s="102">
        <v>11210</v>
      </c>
      <c r="D18" s="122">
        <f>$C18*POWER(Variables!$C$7 +1, D$1 - $C$1)</f>
        <v>13520.328350949914</v>
      </c>
      <c r="E18" s="122">
        <f>$C18*POWER(Variables!$C$7 +1, E$1 - $C$1)</f>
        <v>13840.760132867426</v>
      </c>
      <c r="F18" s="122">
        <f>$C18*POWER(Variables!$C$7 +1, F$1 - $C$1)</f>
        <v>14168.786148016387</v>
      </c>
      <c r="G18" s="122">
        <f>$C18*POWER(Variables!$C$7 +1, G$1 - $C$1)</f>
        <v>14504.586379724376</v>
      </c>
      <c r="H18" s="122">
        <f>$C18*POWER(Variables!$C$7 +1, H$1 - $C$1)</f>
        <v>14848.345076923848</v>
      </c>
      <c r="I18" s="122">
        <f>$C18*POWER(Variables!$C$7 +1, I$1 - $C$1)</f>
        <v>15200.250855246943</v>
      </c>
      <c r="J18" s="122">
        <f>$C18*POWER(Variables!$C$7 +1, J$1 - $C$1)</f>
        <v>15560.496800516297</v>
      </c>
      <c r="K18" s="122">
        <f>$C18*POWER(Variables!$C$7 +1, K$1 - $C$1)</f>
        <v>15929.280574688535</v>
      </c>
      <c r="L18" s="122">
        <f>$C18*POWER(Variables!$C$7 +1, L$1 - $C$1)</f>
        <v>16306.804524308656</v>
      </c>
      <c r="M18" s="122">
        <f>$C18*POWER(Variables!$C$7 +1, M$1 - $C$1)</f>
        <v>16693.275791534772</v>
      </c>
      <c r="N18" s="122">
        <f>$C18*POWER(Variables!$C$7 +1, N$1 - $C$1)</f>
        <v>17088.906427794147</v>
      </c>
      <c r="O18" s="122">
        <f>$C18*POWER(Variables!$C$7 +1, O$1 - $C$1)</f>
        <v>17493.913510132872</v>
      </c>
    </row>
    <row r="19" spans="1:15" ht="14.25" customHeight="1" x14ac:dyDescent="0.35">
      <c r="A19" s="36">
        <v>18</v>
      </c>
      <c r="B19" s="146" t="s">
        <v>76</v>
      </c>
      <c r="C19" s="102">
        <v>99039</v>
      </c>
      <c r="D19" s="122">
        <f>$C19*POWER(Variables!$C$7 +1, D$1 - $C$1)</f>
        <v>119450.47275198292</v>
      </c>
      <c r="E19" s="122">
        <f>$C19*POWER(Variables!$C$7 +1, E$1 - $C$1)</f>
        <v>122281.44895620491</v>
      </c>
      <c r="F19" s="122">
        <f>$C19*POWER(Variables!$C$7 +1, F$1 - $C$1)</f>
        <v>125179.51929646698</v>
      </c>
      <c r="G19" s="122">
        <f>$C19*POWER(Variables!$C$7 +1, G$1 - $C$1)</f>
        <v>128146.27390379326</v>
      </c>
      <c r="H19" s="122">
        <f>$C19*POWER(Variables!$C$7 +1, H$1 - $C$1)</f>
        <v>131183.3405953132</v>
      </c>
      <c r="I19" s="122">
        <f>$C19*POWER(Variables!$C$7 +1, I$1 - $C$1)</f>
        <v>134292.38576742212</v>
      </c>
      <c r="J19" s="122">
        <f>$C19*POWER(Variables!$C$7 +1, J$1 - $C$1)</f>
        <v>137475.11531011004</v>
      </c>
      <c r="K19" s="122">
        <f>$C19*POWER(Variables!$C$7 +1, K$1 - $C$1)</f>
        <v>140733.27554295966</v>
      </c>
      <c r="L19" s="122">
        <f>$C19*POWER(Variables!$C$7 +1, L$1 - $C$1)</f>
        <v>144068.65417332784</v>
      </c>
      <c r="M19" s="122">
        <f>$C19*POWER(Variables!$C$7 +1, M$1 - $C$1)</f>
        <v>147483.0812772357</v>
      </c>
      <c r="N19" s="122">
        <f>$C19*POWER(Variables!$C$7 +1, N$1 - $C$1)</f>
        <v>150978.4303035062</v>
      </c>
      <c r="O19" s="122">
        <f>$C19*POWER(Variables!$C$7 +1, O$1 - $C$1)</f>
        <v>154556.61910169933</v>
      </c>
    </row>
    <row r="20" spans="1:15" ht="14.25" customHeight="1" x14ac:dyDescent="0.35">
      <c r="A20" s="36">
        <v>19</v>
      </c>
      <c r="B20" s="146" t="s">
        <v>77</v>
      </c>
      <c r="C20" s="102">
        <v>4496694</v>
      </c>
      <c r="D20" s="122">
        <f>$C20*POWER(Variables!$C$7 +1, D$1 - $C$1)</f>
        <v>5423441.5141611397</v>
      </c>
      <c r="E20" s="122">
        <f>$C20*POWER(Variables!$C$7 +1, E$1 - $C$1)</f>
        <v>5551977.0780467587</v>
      </c>
      <c r="F20" s="122">
        <f>$C20*POWER(Variables!$C$7 +1, F$1 - $C$1)</f>
        <v>5683558.9347964674</v>
      </c>
      <c r="G20" s="122">
        <f>$C20*POWER(Variables!$C$7 +1, G$1 - $C$1)</f>
        <v>5818259.2815511441</v>
      </c>
      <c r="H20" s="122">
        <f>$C20*POWER(Variables!$C$7 +1, H$1 - $C$1)</f>
        <v>5956152.0265239077</v>
      </c>
      <c r="I20" s="122">
        <f>$C20*POWER(Variables!$C$7 +1, I$1 - $C$1)</f>
        <v>6097312.8295525238</v>
      </c>
      <c r="J20" s="122">
        <f>$C20*POWER(Variables!$C$7 +1, J$1 - $C$1)</f>
        <v>6241819.1436129194</v>
      </c>
      <c r="K20" s="122">
        <f>$C20*POWER(Variables!$C$7 +1, K$1 - $C$1)</f>
        <v>6389750.2573165465</v>
      </c>
      <c r="L20" s="122">
        <f>$C20*POWER(Variables!$C$7 +1, L$1 - $C$1)</f>
        <v>6541187.3384149494</v>
      </c>
      <c r="M20" s="122">
        <f>$C20*POWER(Variables!$C$7 +1, M$1 - $C$1)</f>
        <v>6696213.4783353843</v>
      </c>
      <c r="N20" s="122">
        <f>$C20*POWER(Variables!$C$7 +1, N$1 - $C$1)</f>
        <v>6854913.737771933</v>
      </c>
      <c r="O20" s="122">
        <f>$C20*POWER(Variables!$C$7 +1, O$1 - $C$1)</f>
        <v>7017375.1933571296</v>
      </c>
    </row>
    <row r="21" spans="1:15" ht="14.25" customHeight="1" x14ac:dyDescent="0.35">
      <c r="A21" s="36">
        <v>20</v>
      </c>
      <c r="B21" s="146" t="s">
        <v>78</v>
      </c>
      <c r="C21" s="102">
        <v>2817105</v>
      </c>
      <c r="D21" s="122">
        <f>$C21*POWER(Variables!$C$7 +1, D$1 - $C$1)</f>
        <v>3397697.1096434216</v>
      </c>
      <c r="E21" s="122">
        <f>$C21*POWER(Variables!$C$7 +1, E$1 - $C$1)</f>
        <v>3478222.5311419708</v>
      </c>
      <c r="F21" s="122">
        <f>$C21*POWER(Variables!$C$7 +1, F$1 - $C$1)</f>
        <v>3560656.4051300357</v>
      </c>
      <c r="G21" s="122">
        <f>$C21*POWER(Variables!$C$7 +1, G$1 - $C$1)</f>
        <v>3645043.9619316179</v>
      </c>
      <c r="H21" s="122">
        <f>$C21*POWER(Variables!$C$7 +1, H$1 - $C$1)</f>
        <v>3731431.5038293982</v>
      </c>
      <c r="I21" s="122">
        <f>$C21*POWER(Variables!$C$7 +1, I$1 - $C$1)</f>
        <v>3819866.4304701551</v>
      </c>
      <c r="J21" s="122">
        <f>$C21*POWER(Variables!$C$7 +1, J$1 - $C$1)</f>
        <v>3910397.2648722981</v>
      </c>
      <c r="K21" s="122">
        <f>$C21*POWER(Variables!$C$7 +1, K$1 - $C$1)</f>
        <v>4003073.6800497724</v>
      </c>
      <c r="L21" s="122">
        <f>$C21*POWER(Variables!$C$7 +1, L$1 - $C$1)</f>
        <v>4097946.5262669525</v>
      </c>
      <c r="M21" s="122">
        <f>$C21*POWER(Variables!$C$7 +1, M$1 - $C$1)</f>
        <v>4195067.8589394791</v>
      </c>
      <c r="N21" s="122">
        <f>$C21*POWER(Variables!$C$7 +1, N$1 - $C$1)</f>
        <v>4294490.9671963453</v>
      </c>
      <c r="O21" s="122">
        <f>$C21*POWER(Variables!$C$7 +1, O$1 - $C$1)</f>
        <v>4396270.4031188991</v>
      </c>
    </row>
    <row r="22" spans="1:15" ht="14.25" customHeight="1" x14ac:dyDescent="0.35">
      <c r="A22" s="36">
        <v>21</v>
      </c>
      <c r="B22" s="147" t="s">
        <v>79</v>
      </c>
      <c r="C22" s="102">
        <v>12442373</v>
      </c>
      <c r="D22" s="122">
        <f>$C22*POWER(Variables!$C$7 +1, D$1 - $C$1)</f>
        <v>15006687.638268843</v>
      </c>
      <c r="E22" s="122">
        <f>$C22*POWER(Variables!$C$7 +1, E$1 - $C$1)</f>
        <v>15362346.135295814</v>
      </c>
      <c r="F22" s="122">
        <f>$C22*POWER(Variables!$C$7 +1, F$1 - $C$1)</f>
        <v>15726433.738702327</v>
      </c>
      <c r="G22" s="122">
        <f>$C22*POWER(Variables!$C$7 +1, G$1 - $C$1)</f>
        <v>16099150.218309574</v>
      </c>
      <c r="H22" s="122">
        <f>$C22*POWER(Variables!$C$7 +1, H$1 - $C$1)</f>
        <v>16480700.078483514</v>
      </c>
      <c r="I22" s="122">
        <f>$C22*POWER(Variables!$C$7 +1, I$1 - $C$1)</f>
        <v>16871292.670343574</v>
      </c>
      <c r="J22" s="122">
        <f>$C22*POWER(Variables!$C$7 +1, J$1 - $C$1)</f>
        <v>17271142.306630719</v>
      </c>
      <c r="K22" s="122">
        <f>$C22*POWER(Variables!$C$7 +1, K$1 - $C$1)</f>
        <v>17680468.379297871</v>
      </c>
      <c r="L22" s="122">
        <f>$C22*POWER(Variables!$C$7 +1, L$1 - $C$1)</f>
        <v>18099495.479887232</v>
      </c>
      <c r="M22" s="122">
        <f>$C22*POWER(Variables!$C$7 +1, M$1 - $C$1)</f>
        <v>18528453.522760559</v>
      </c>
      <c r="N22" s="122">
        <f>$C22*POWER(Variables!$C$7 +1, N$1 - $C$1)</f>
        <v>18967577.871249985</v>
      </c>
      <c r="O22" s="122">
        <f>$C22*POWER(Variables!$C$7 +1, O$1 - $C$1)</f>
        <v>19417109.466798615</v>
      </c>
    </row>
    <row r="23" spans="1:15" ht="14.25" customHeight="1" x14ac:dyDescent="0.35">
      <c r="A23" s="36">
        <v>22</v>
      </c>
      <c r="B23" s="146" t="s">
        <v>80</v>
      </c>
      <c r="C23" s="102">
        <v>11034555</v>
      </c>
      <c r="D23" s="122">
        <f>$C23*POWER(Variables!$C$7 +1, D$1 - $C$1)</f>
        <v>13308724.96044747</v>
      </c>
      <c r="E23" s="122">
        <f>$C23*POWER(Variables!$C$7 +1, E$1 - $C$1)</f>
        <v>13624141.742010074</v>
      </c>
      <c r="F23" s="122">
        <f>$C23*POWER(Variables!$C$7 +1, F$1 - $C$1)</f>
        <v>13947033.901295714</v>
      </c>
      <c r="G23" s="122">
        <f>$C23*POWER(Variables!$C$7 +1, G$1 - $C$1)</f>
        <v>14277578.604756424</v>
      </c>
      <c r="H23" s="122">
        <f>$C23*POWER(Variables!$C$7 +1, H$1 - $C$1)</f>
        <v>14615957.217689155</v>
      </c>
      <c r="I23" s="122">
        <f>$C23*POWER(Variables!$C$7 +1, I$1 - $C$1)</f>
        <v>14962355.403748387</v>
      </c>
      <c r="J23" s="122">
        <f>$C23*POWER(Variables!$C$7 +1, J$1 - $C$1)</f>
        <v>15316963.226817226</v>
      </c>
      <c r="K23" s="122">
        <f>$C23*POWER(Variables!$C$7 +1, K$1 - $C$1)</f>
        <v>15679975.255292797</v>
      </c>
      <c r="L23" s="122">
        <f>$C23*POWER(Variables!$C$7 +1, L$1 - $C$1)</f>
        <v>16051590.668843238</v>
      </c>
      <c r="M23" s="122">
        <f>$C23*POWER(Variables!$C$7 +1, M$1 - $C$1)</f>
        <v>16432013.367694823</v>
      </c>
      <c r="N23" s="122">
        <f>$C23*POWER(Variables!$C$7 +1, N$1 - $C$1)</f>
        <v>16821452.08450919</v>
      </c>
      <c r="O23" s="122">
        <f>$C23*POWER(Variables!$C$7 +1, O$1 - $C$1)</f>
        <v>17220120.498912062</v>
      </c>
    </row>
    <row r="24" spans="1:15" ht="14.25" customHeight="1" x14ac:dyDescent="0.35">
      <c r="A24" s="36">
        <v>23</v>
      </c>
      <c r="B24" s="146" t="s">
        <v>81</v>
      </c>
      <c r="C24" s="102">
        <v>40017</v>
      </c>
      <c r="D24" s="122">
        <f>$C24*POWER(Variables!$C$7 +1, D$1 - $C$1)</f>
        <v>48264.315755572054</v>
      </c>
      <c r="E24" s="122">
        <f>$C24*POWER(Variables!$C$7 +1, E$1 - $C$1)</f>
        <v>49408.18003897911</v>
      </c>
      <c r="F24" s="122">
        <f>$C24*POWER(Variables!$C$7 +1, F$1 - $C$1)</f>
        <v>50579.153905902916</v>
      </c>
      <c r="G24" s="122">
        <f>$C24*POWER(Variables!$C$7 +1, G$1 - $C$1)</f>
        <v>51777.879853472827</v>
      </c>
      <c r="H24" s="122">
        <f>$C24*POWER(Variables!$C$7 +1, H$1 - $C$1)</f>
        <v>53005.015606000139</v>
      </c>
      <c r="I24" s="122">
        <f>$C24*POWER(Variables!$C$7 +1, I$1 - $C$1)</f>
        <v>54261.234475862344</v>
      </c>
      <c r="J24" s="122">
        <f>$C24*POWER(Variables!$C$7 +1, J$1 - $C$1)</f>
        <v>55547.225732940293</v>
      </c>
      <c r="K24" s="122">
        <f>$C24*POWER(Variables!$C$7 +1, K$1 - $C$1)</f>
        <v>56863.694982810986</v>
      </c>
      <c r="L24" s="122">
        <f>$C24*POWER(Variables!$C$7 +1, L$1 - $C$1)</f>
        <v>58211.364553903608</v>
      </c>
      <c r="M24" s="122">
        <f>$C24*POWER(Variables!$C$7 +1, M$1 - $C$1)</f>
        <v>59590.973893831127</v>
      </c>
      <c r="N24" s="122">
        <f>$C24*POWER(Variables!$C$7 +1, N$1 - $C$1)</f>
        <v>61003.279975114929</v>
      </c>
      <c r="O24" s="122">
        <f>$C24*POWER(Variables!$C$7 +1, O$1 - $C$1)</f>
        <v>62449.057710525165</v>
      </c>
    </row>
    <row r="25" spans="1:15" ht="14.25" customHeight="1" x14ac:dyDescent="0.35">
      <c r="A25" s="36">
        <v>24</v>
      </c>
      <c r="B25" s="146" t="s">
        <v>82</v>
      </c>
      <c r="C25" s="102">
        <v>1684222</v>
      </c>
      <c r="D25" s="122">
        <f>$C25*POWER(Variables!$C$7 +1, D$1 - $C$1)</f>
        <v>2031332.2440583021</v>
      </c>
      <c r="E25" s="122">
        <f>$C25*POWER(Variables!$C$7 +1, E$1 - $C$1)</f>
        <v>2079474.8182424838</v>
      </c>
      <c r="F25" s="122">
        <f>$C25*POWER(Variables!$C$7 +1, F$1 - $C$1)</f>
        <v>2128758.3714348311</v>
      </c>
      <c r="G25" s="122">
        <f>$C25*POWER(Variables!$C$7 +1, G$1 - $C$1)</f>
        <v>2179209.9448378365</v>
      </c>
      <c r="H25" s="122">
        <f>$C25*POWER(Variables!$C$7 +1, H$1 - $C$1)</f>
        <v>2230857.2205304937</v>
      </c>
      <c r="I25" s="122">
        <f>$C25*POWER(Variables!$C$7 +1, I$1 - $C$1)</f>
        <v>2283728.5366570666</v>
      </c>
      <c r="J25" s="122">
        <f>$C25*POWER(Variables!$C$7 +1, J$1 - $C$1)</f>
        <v>2337852.9029758396</v>
      </c>
      <c r="K25" s="122">
        <f>$C25*POWER(Variables!$C$7 +1, K$1 - $C$1)</f>
        <v>2393260.0167763671</v>
      </c>
      <c r="L25" s="122">
        <f>$C25*POWER(Variables!$C$7 +1, L$1 - $C$1)</f>
        <v>2449980.2791739674</v>
      </c>
      <c r="M25" s="122">
        <f>$C25*POWER(Variables!$C$7 +1, M$1 - $C$1)</f>
        <v>2508044.8117903904</v>
      </c>
      <c r="N25" s="122">
        <f>$C25*POWER(Variables!$C$7 +1, N$1 - $C$1)</f>
        <v>2567485.4738298226</v>
      </c>
      <c r="O25" s="122">
        <f>$C25*POWER(Variables!$C$7 +1, O$1 - $C$1)</f>
        <v>2628334.87955959</v>
      </c>
    </row>
    <row r="26" spans="1:15" ht="14.25" customHeight="1" x14ac:dyDescent="0.35">
      <c r="A26" s="36">
        <v>25</v>
      </c>
      <c r="B26" s="146" t="s">
        <v>83</v>
      </c>
      <c r="C26" s="102">
        <v>241773</v>
      </c>
      <c r="D26" s="122">
        <f>$C26*POWER(Variables!$C$7 +1, D$1 - $C$1)</f>
        <v>291601.27978538926</v>
      </c>
      <c r="E26" s="122">
        <f>$C26*POWER(Variables!$C$7 +1, E$1 - $C$1)</f>
        <v>298512.23011630296</v>
      </c>
      <c r="F26" s="122">
        <f>$C26*POWER(Variables!$C$7 +1, F$1 - $C$1)</f>
        <v>305586.96997005941</v>
      </c>
      <c r="G26" s="122">
        <f>$C26*POWER(Variables!$C$7 +1, G$1 - $C$1)</f>
        <v>312829.38115834986</v>
      </c>
      <c r="H26" s="122">
        <f>$C26*POWER(Variables!$C$7 +1, H$1 - $C$1)</f>
        <v>320243.43749180279</v>
      </c>
      <c r="I26" s="122">
        <f>$C26*POWER(Variables!$C$7 +1, I$1 - $C$1)</f>
        <v>327833.20696035854</v>
      </c>
      <c r="J26" s="122">
        <f>$C26*POWER(Variables!$C$7 +1, J$1 - $C$1)</f>
        <v>335602.85396531905</v>
      </c>
      <c r="K26" s="122">
        <f>$C26*POWER(Variables!$C$7 +1, K$1 - $C$1)</f>
        <v>343556.64160429715</v>
      </c>
      <c r="L26" s="122">
        <f>$C26*POWER(Variables!$C$7 +1, L$1 - $C$1)</f>
        <v>351698.93401031906</v>
      </c>
      <c r="M26" s="122">
        <f>$C26*POWER(Variables!$C$7 +1, M$1 - $C$1)</f>
        <v>360034.19874636363</v>
      </c>
      <c r="N26" s="122">
        <f>$C26*POWER(Variables!$C$7 +1, N$1 - $C$1)</f>
        <v>368567.0092566525</v>
      </c>
      <c r="O26" s="122">
        <f>$C26*POWER(Variables!$C$7 +1, O$1 - $C$1)</f>
        <v>377302.04737603519</v>
      </c>
    </row>
    <row r="27" spans="1:15" ht="14.25" customHeight="1" x14ac:dyDescent="0.35">
      <c r="A27" s="36">
        <v>26</v>
      </c>
      <c r="B27" s="146" t="s">
        <v>84</v>
      </c>
      <c r="C27" s="102">
        <v>100186</v>
      </c>
      <c r="D27" s="122">
        <f>$C27*POWER(Variables!$C$7 +1, D$1 - $C$1)</f>
        <v>120833.86406496594</v>
      </c>
      <c r="E27" s="122">
        <f>$C27*POWER(Variables!$C$7 +1, E$1 - $C$1)</f>
        <v>123697.62664330562</v>
      </c>
      <c r="F27" s="122">
        <f>$C27*POWER(Variables!$C$7 +1, F$1 - $C$1)</f>
        <v>126629.26039475198</v>
      </c>
      <c r="G27" s="122">
        <f>$C27*POWER(Variables!$C$7 +1, G$1 - $C$1)</f>
        <v>129630.37386610762</v>
      </c>
      <c r="H27" s="122">
        <f>$C27*POWER(Variables!$C$7 +1, H$1 - $C$1)</f>
        <v>132702.61372673439</v>
      </c>
      <c r="I27" s="122">
        <f>$C27*POWER(Variables!$C$7 +1, I$1 - $C$1)</f>
        <v>135847.66567205801</v>
      </c>
      <c r="J27" s="122">
        <f>$C27*POWER(Variables!$C$7 +1, J$1 - $C$1)</f>
        <v>139067.25534848581</v>
      </c>
      <c r="K27" s="122">
        <f>$C27*POWER(Variables!$C$7 +1, K$1 - $C$1)</f>
        <v>142363.14930024493</v>
      </c>
      <c r="L27" s="122">
        <f>$C27*POWER(Variables!$C$7 +1, L$1 - $C$1)</f>
        <v>145737.15593866076</v>
      </c>
      <c r="M27" s="122">
        <f>$C27*POWER(Variables!$C$7 +1, M$1 - $C$1)</f>
        <v>149191.126534407</v>
      </c>
      <c r="N27" s="122">
        <f>$C27*POWER(Variables!$C$7 +1, N$1 - $C$1)</f>
        <v>152726.95623327247</v>
      </c>
      <c r="O27" s="122">
        <f>$C27*POWER(Variables!$C$7 +1, O$1 - $C$1)</f>
        <v>156346.58509600104</v>
      </c>
    </row>
    <row r="28" spans="1:15" ht="14.25" customHeight="1" x14ac:dyDescent="0.35">
      <c r="A28" s="36">
        <v>27</v>
      </c>
      <c r="B28" s="146" t="s">
        <v>85</v>
      </c>
      <c r="C28" s="102">
        <v>1010433</v>
      </c>
      <c r="D28" s="122">
        <f>$C28*POWER(Variables!$C$7 +1, D$1 - $C$1)</f>
        <v>1218678.495685582</v>
      </c>
      <c r="E28" s="122">
        <f>$C28*POWER(Variables!$C$7 +1, E$1 - $C$1)</f>
        <v>1247561.1760333304</v>
      </c>
      <c r="F28" s="122">
        <f>$C28*POWER(Variables!$C$7 +1, F$1 - $C$1)</f>
        <v>1277128.3759053203</v>
      </c>
      <c r="G28" s="122">
        <f>$C28*POWER(Variables!$C$7 +1, G$1 - $C$1)</f>
        <v>1307396.3184142767</v>
      </c>
      <c r="H28" s="122">
        <f>$C28*POWER(Variables!$C$7 +1, H$1 - $C$1)</f>
        <v>1338381.6111606953</v>
      </c>
      <c r="I28" s="122">
        <f>$C28*POWER(Variables!$C$7 +1, I$1 - $C$1)</f>
        <v>1370101.2553452037</v>
      </c>
      <c r="J28" s="122">
        <f>$C28*POWER(Variables!$C$7 +1, J$1 - $C$1)</f>
        <v>1402572.6550968853</v>
      </c>
      <c r="K28" s="122">
        <f>$C28*POWER(Variables!$C$7 +1, K$1 - $C$1)</f>
        <v>1435813.6270226818</v>
      </c>
      <c r="L28" s="122">
        <f>$C28*POWER(Variables!$C$7 +1, L$1 - $C$1)</f>
        <v>1469842.4099831195</v>
      </c>
      <c r="M28" s="122">
        <f>$C28*POWER(Variables!$C$7 +1, M$1 - $C$1)</f>
        <v>1504677.6750997193</v>
      </c>
      <c r="N28" s="122">
        <f>$C28*POWER(Variables!$C$7 +1, N$1 - $C$1)</f>
        <v>1540338.5359995828</v>
      </c>
      <c r="O28" s="122">
        <f>$C28*POWER(Variables!$C$7 +1, O$1 - $C$1)</f>
        <v>1576844.5593027731</v>
      </c>
    </row>
    <row r="29" spans="1:15" ht="14.25" customHeight="1" x14ac:dyDescent="0.35">
      <c r="A29" s="36">
        <v>28</v>
      </c>
      <c r="B29" s="146" t="s">
        <v>86</v>
      </c>
      <c r="C29" s="102">
        <v>1073427</v>
      </c>
      <c r="D29" s="122">
        <f>$C29*POWER(Variables!$C$7 +1, D$1 - $C$1)</f>
        <v>1294655.2632270395</v>
      </c>
      <c r="E29" s="122">
        <f>$C29*POWER(Variables!$C$7 +1, E$1 - $C$1)</f>
        <v>1325338.5929655205</v>
      </c>
      <c r="F29" s="122">
        <f>$C29*POWER(Variables!$C$7 +1, F$1 - $C$1)</f>
        <v>1356749.1176188034</v>
      </c>
      <c r="G29" s="122">
        <f>$C29*POWER(Variables!$C$7 +1, G$1 - $C$1)</f>
        <v>1388904.0717063691</v>
      </c>
      <c r="H29" s="122">
        <f>$C29*POWER(Variables!$C$7 +1, H$1 - $C$1)</f>
        <v>1421821.0982058104</v>
      </c>
      <c r="I29" s="122">
        <f>$C29*POWER(Variables!$C$7 +1, I$1 - $C$1)</f>
        <v>1455518.2582332881</v>
      </c>
      <c r="J29" s="122">
        <f>$C29*POWER(Variables!$C$7 +1, J$1 - $C$1)</f>
        <v>1490014.0409534173</v>
      </c>
      <c r="K29" s="122">
        <f>$C29*POWER(Variables!$C$7 +1, K$1 - $C$1)</f>
        <v>1525327.3737240136</v>
      </c>
      <c r="L29" s="122">
        <f>$C29*POWER(Variables!$C$7 +1, L$1 - $C$1)</f>
        <v>1561477.6324812728</v>
      </c>
      <c r="M29" s="122">
        <f>$C29*POWER(Variables!$C$7 +1, M$1 - $C$1)</f>
        <v>1598484.652371079</v>
      </c>
      <c r="N29" s="122">
        <f>$C29*POWER(Variables!$C$7 +1, N$1 - $C$1)</f>
        <v>1636368.7386322736</v>
      </c>
      <c r="O29" s="122">
        <f>$C29*POWER(Variables!$C$7 +1, O$1 - $C$1)</f>
        <v>1675150.6777378588</v>
      </c>
    </row>
    <row r="30" spans="1:15" ht="14.25" customHeight="1" x14ac:dyDescent="0.35">
      <c r="A30" s="36">
        <v>29</v>
      </c>
      <c r="B30" s="146" t="s">
        <v>87</v>
      </c>
      <c r="C30" s="102">
        <v>143229</v>
      </c>
      <c r="D30" s="122">
        <f>$C30*POWER(Variables!$C$7 +1, D$1 - $C$1)</f>
        <v>172747.82420858208</v>
      </c>
      <c r="E30" s="122">
        <f>$C30*POWER(Variables!$C$7 +1, E$1 - $C$1)</f>
        <v>176841.94764232548</v>
      </c>
      <c r="F30" s="122">
        <f>$C30*POWER(Variables!$C$7 +1, F$1 - $C$1)</f>
        <v>181033.10180144862</v>
      </c>
      <c r="G30" s="122">
        <f>$C30*POWER(Variables!$C$7 +1, G$1 - $C$1)</f>
        <v>185323.58631414297</v>
      </c>
      <c r="H30" s="122">
        <f>$C30*POWER(Variables!$C$7 +1, H$1 - $C$1)</f>
        <v>189715.75530978819</v>
      </c>
      <c r="I30" s="122">
        <f>$C30*POWER(Variables!$C$7 +1, I$1 - $C$1)</f>
        <v>194212.01871063019</v>
      </c>
      <c r="J30" s="122">
        <f>$C30*POWER(Variables!$C$7 +1, J$1 - $C$1)</f>
        <v>198814.84355407214</v>
      </c>
      <c r="K30" s="122">
        <f>$C30*POWER(Variables!$C$7 +1, K$1 - $C$1)</f>
        <v>203526.75534630369</v>
      </c>
      <c r="L30" s="122">
        <f>$C30*POWER(Variables!$C$7 +1, L$1 - $C$1)</f>
        <v>208350.3394480111</v>
      </c>
      <c r="M30" s="122">
        <f>$C30*POWER(Variables!$C$7 +1, M$1 - $C$1)</f>
        <v>213288.24249292898</v>
      </c>
      <c r="N30" s="122">
        <f>$C30*POWER(Variables!$C$7 +1, N$1 - $C$1)</f>
        <v>218343.17384001141</v>
      </c>
      <c r="O30" s="122">
        <f>$C30*POWER(Variables!$C$7 +1, O$1 - $C$1)</f>
        <v>223517.9070600197</v>
      </c>
    </row>
    <row r="31" spans="1:15" ht="14.25" customHeight="1" x14ac:dyDescent="0.35">
      <c r="A31" s="36">
        <v>30</v>
      </c>
      <c r="B31" s="146" t="s">
        <v>88</v>
      </c>
      <c r="C31" s="102">
        <v>98265</v>
      </c>
      <c r="D31" s="122">
        <f>$C31*POWER(Variables!$C$7 +1, D$1 - $C$1)</f>
        <v>118516.95498716265</v>
      </c>
      <c r="E31" s="122">
        <f>$C31*POWER(Variables!$C$7 +1, E$1 - $C$1)</f>
        <v>121325.8068203584</v>
      </c>
      <c r="F31" s="122">
        <f>$C31*POWER(Variables!$C$7 +1, F$1 - $C$1)</f>
        <v>124201.22844200091</v>
      </c>
      <c r="G31" s="122">
        <f>$C31*POWER(Variables!$C$7 +1, G$1 - $C$1)</f>
        <v>127144.79755607634</v>
      </c>
      <c r="H31" s="122">
        <f>$C31*POWER(Variables!$C$7 +1, H$1 - $C$1)</f>
        <v>130158.12925815539</v>
      </c>
      <c r="I31" s="122">
        <f>$C31*POWER(Variables!$C$7 +1, I$1 - $C$1)</f>
        <v>133242.87692157365</v>
      </c>
      <c r="J31" s="122">
        <f>$C31*POWER(Variables!$C$7 +1, J$1 - $C$1)</f>
        <v>136400.73310461498</v>
      </c>
      <c r="K31" s="122">
        <f>$C31*POWER(Variables!$C$7 +1, K$1 - $C$1)</f>
        <v>139633.43047919439</v>
      </c>
      <c r="L31" s="122">
        <f>$C31*POWER(Variables!$C$7 +1, L$1 - $C$1)</f>
        <v>142942.74278155129</v>
      </c>
      <c r="M31" s="122">
        <f>$C31*POWER(Variables!$C$7 +1, M$1 - $C$1)</f>
        <v>146330.48578547407</v>
      </c>
      <c r="N31" s="122">
        <f>$C31*POWER(Variables!$C$7 +1, N$1 - $C$1)</f>
        <v>149798.51829858983</v>
      </c>
      <c r="O31" s="122">
        <f>$C31*POWER(Variables!$C$7 +1, O$1 - $C$1)</f>
        <v>153348.74318226642</v>
      </c>
    </row>
    <row r="32" spans="1:15" ht="14.25" customHeight="1" x14ac:dyDescent="0.35">
      <c r="A32" s="36">
        <v>31</v>
      </c>
      <c r="B32" s="146" t="s">
        <v>89</v>
      </c>
      <c r="C32" s="102">
        <v>169578</v>
      </c>
      <c r="D32" s="122">
        <f>$C32*POWER(Variables!$C$7 +1, D$1 - $C$1)</f>
        <v>204527.22935748301</v>
      </c>
      <c r="E32" s="122">
        <f>$C32*POWER(Variables!$C$7 +1, E$1 - $C$1)</f>
        <v>209374.52469325534</v>
      </c>
      <c r="F32" s="122">
        <f>$C32*POWER(Variables!$C$7 +1, F$1 - $C$1)</f>
        <v>214336.70092848552</v>
      </c>
      <c r="G32" s="122">
        <f>$C32*POWER(Variables!$C$7 +1, G$1 - $C$1)</f>
        <v>219416.48074049066</v>
      </c>
      <c r="H32" s="122">
        <f>$C32*POWER(Variables!$C$7 +1, H$1 - $C$1)</f>
        <v>224616.65133404033</v>
      </c>
      <c r="I32" s="122">
        <f>$C32*POWER(Variables!$C$7 +1, I$1 - $C$1)</f>
        <v>229940.0659706571</v>
      </c>
      <c r="J32" s="122">
        <f>$C32*POWER(Variables!$C$7 +1, J$1 - $C$1)</f>
        <v>235389.64553416171</v>
      </c>
      <c r="K32" s="122">
        <f>$C32*POWER(Variables!$C$7 +1, K$1 - $C$1)</f>
        <v>240968.38013332136</v>
      </c>
      <c r="L32" s="122">
        <f>$C32*POWER(Variables!$C$7 +1, L$1 - $C$1)</f>
        <v>246679.33074248111</v>
      </c>
      <c r="M32" s="122">
        <f>$C32*POWER(Variables!$C$7 +1, M$1 - $C$1)</f>
        <v>252525.63088107793</v>
      </c>
      <c r="N32" s="122">
        <f>$C32*POWER(Variables!$C$7 +1, N$1 - $C$1)</f>
        <v>258510.48833295947</v>
      </c>
      <c r="O32" s="122">
        <f>$C32*POWER(Variables!$C$7 +1, O$1 - $C$1)</f>
        <v>264637.18690645066</v>
      </c>
    </row>
    <row r="33" spans="1:15" ht="14.25" customHeight="1" x14ac:dyDescent="0.35">
      <c r="A33" s="36">
        <v>32</v>
      </c>
      <c r="B33" s="146" t="s">
        <v>90</v>
      </c>
      <c r="C33" s="102">
        <v>1180570</v>
      </c>
      <c r="D33" s="122">
        <f>$C33*POWER(Variables!$C$7 +1, D$1 - $C$1)</f>
        <v>1423879.9323176574</v>
      </c>
      <c r="E33" s="122">
        <f>$C33*POWER(Variables!$C$7 +1, E$1 - $C$1)</f>
        <v>1457625.8867135858</v>
      </c>
      <c r="F33" s="122">
        <f>$C33*POWER(Variables!$C$7 +1, F$1 - $C$1)</f>
        <v>1492171.620228698</v>
      </c>
      <c r="G33" s="122">
        <f>$C33*POWER(Variables!$C$7 +1, G$1 - $C$1)</f>
        <v>1527536.0876281185</v>
      </c>
      <c r="H33" s="122">
        <f>$C33*POWER(Variables!$C$7 +1, H$1 - $C$1)</f>
        <v>1563738.6929049052</v>
      </c>
      <c r="I33" s="122">
        <f>$C33*POWER(Variables!$C$7 +1, I$1 - $C$1)</f>
        <v>1600799.2999267513</v>
      </c>
      <c r="J33" s="122">
        <f>$C33*POWER(Variables!$C$7 +1, J$1 - $C$1)</f>
        <v>1638738.2433350156</v>
      </c>
      <c r="K33" s="122">
        <f>$C33*POWER(Variables!$C$7 +1, K$1 - $C$1)</f>
        <v>1677576.3397020558</v>
      </c>
      <c r="L33" s="122">
        <f>$C33*POWER(Variables!$C$7 +1, L$1 - $C$1)</f>
        <v>1717334.8989529947</v>
      </c>
      <c r="M33" s="122">
        <f>$C33*POWER(Variables!$C$7 +1, M$1 - $C$1)</f>
        <v>1758035.7360581807</v>
      </c>
      <c r="N33" s="122">
        <f>$C33*POWER(Variables!$C$7 +1, N$1 - $C$1)</f>
        <v>1799701.1830027597</v>
      </c>
      <c r="O33" s="122">
        <f>$C33*POWER(Variables!$C$7 +1, O$1 - $C$1)</f>
        <v>1842354.1010399254</v>
      </c>
    </row>
    <row r="34" spans="1:15" ht="14.25" customHeight="1" x14ac:dyDescent="0.35">
      <c r="A34" s="36">
        <v>33</v>
      </c>
      <c r="B34" s="146" t="s">
        <v>91</v>
      </c>
      <c r="C34" s="102">
        <v>743691</v>
      </c>
      <c r="D34" s="122">
        <f>$C34*POWER(Variables!$C$7 +1, D$1 - $C$1)</f>
        <v>896962.22226996359</v>
      </c>
      <c r="E34" s="122">
        <f>$C34*POWER(Variables!$C$7 +1, E$1 - $C$1)</f>
        <v>918220.22693776176</v>
      </c>
      <c r="F34" s="122">
        <f>$C34*POWER(Variables!$C$7 +1, F$1 - $C$1)</f>
        <v>939982.04631618678</v>
      </c>
      <c r="G34" s="122">
        <f>$C34*POWER(Variables!$C$7 +1, G$1 - $C$1)</f>
        <v>962259.62081388058</v>
      </c>
      <c r="H34" s="122">
        <f>$C34*POWER(Variables!$C$7 +1, H$1 - $C$1)</f>
        <v>985065.1738271697</v>
      </c>
      <c r="I34" s="122">
        <f>$C34*POWER(Variables!$C$7 +1, I$1 - $C$1)</f>
        <v>1008411.2184468737</v>
      </c>
      <c r="J34" s="122">
        <f>$C34*POWER(Variables!$C$7 +1, J$1 - $C$1)</f>
        <v>1032310.5643240648</v>
      </c>
      <c r="K34" s="122">
        <f>$C34*POWER(Variables!$C$7 +1, K$1 - $C$1)</f>
        <v>1056776.3246985453</v>
      </c>
      <c r="L34" s="122">
        <f>$C34*POWER(Variables!$C$7 +1, L$1 - $C$1)</f>
        <v>1081821.9235939009</v>
      </c>
      <c r="M34" s="122">
        <f>$C34*POWER(Variables!$C$7 +1, M$1 - $C$1)</f>
        <v>1107461.1031830763</v>
      </c>
      <c r="N34" s="122">
        <f>$C34*POWER(Variables!$C$7 +1, N$1 - $C$1)</f>
        <v>1133707.9313285153</v>
      </c>
      <c r="O34" s="122">
        <f>$C34*POWER(Variables!$C$7 +1, O$1 - $C$1)</f>
        <v>1160576.8093010013</v>
      </c>
    </row>
    <row r="35" spans="1:15" ht="14.25" customHeight="1" x14ac:dyDescent="0.35">
      <c r="A35" s="37">
        <v>34</v>
      </c>
      <c r="B35" s="146" t="s">
        <v>92</v>
      </c>
      <c r="C35" s="102">
        <v>430214</v>
      </c>
      <c r="D35" s="122">
        <f>$C35*POWER(Variables!$C$7 +1, D$1 - $C$1)</f>
        <v>518879.08485063037</v>
      </c>
      <c r="E35" s="122">
        <f>$C35*POWER(Variables!$C$7 +1, E$1 - $C$1)</f>
        <v>531176.51916159026</v>
      </c>
      <c r="F35" s="122">
        <f>$C35*POWER(Variables!$C$7 +1, F$1 - $C$1)</f>
        <v>543765.40266572009</v>
      </c>
      <c r="G35" s="122">
        <f>$C35*POWER(Variables!$C$7 +1, G$1 - $C$1)</f>
        <v>556652.64270889771</v>
      </c>
      <c r="H35" s="122">
        <f>$C35*POWER(Variables!$C$7 +1, H$1 - $C$1)</f>
        <v>569845.3103410987</v>
      </c>
      <c r="I35" s="122">
        <f>$C35*POWER(Variables!$C$7 +1, I$1 - $C$1)</f>
        <v>583350.64419618272</v>
      </c>
      <c r="J35" s="122">
        <f>$C35*POWER(Variables!$C$7 +1, J$1 - $C$1)</f>
        <v>597176.05446363229</v>
      </c>
      <c r="K35" s="122">
        <f>$C35*POWER(Variables!$C$7 +1, K$1 - $C$1)</f>
        <v>611329.12695442047</v>
      </c>
      <c r="L35" s="122">
        <f>$C35*POWER(Variables!$C$7 +1, L$1 - $C$1)</f>
        <v>625817.62726324028</v>
      </c>
      <c r="M35" s="122">
        <f>$C35*POWER(Variables!$C$7 +1, M$1 - $C$1)</f>
        <v>640649.50502937916</v>
      </c>
      <c r="N35" s="122">
        <f>$C35*POWER(Variables!$C$7 +1, N$1 - $C$1)</f>
        <v>655832.89829857543</v>
      </c>
      <c r="O35" s="122">
        <f>$C35*POWER(Variables!$C$7 +1, O$1 - $C$1)</f>
        <v>671376.13798825187</v>
      </c>
    </row>
    <row r="36" spans="1:15" ht="14.25" customHeight="1" x14ac:dyDescent="0.35">
      <c r="A36" s="37">
        <v>35</v>
      </c>
      <c r="B36" s="146" t="s">
        <v>93</v>
      </c>
      <c r="C36" s="102">
        <v>183282</v>
      </c>
      <c r="D36" s="122">
        <f>$C36*POWER(Variables!$C$7 +1, D$1 - $C$1)</f>
        <v>221055.55939507601</v>
      </c>
      <c r="E36" s="122">
        <f>$C36*POWER(Variables!$C$7 +1, E$1 - $C$1)</f>
        <v>226294.57615273932</v>
      </c>
      <c r="F36" s="122">
        <f>$C36*POWER(Variables!$C$7 +1, F$1 - $C$1)</f>
        <v>231657.75760755927</v>
      </c>
      <c r="G36" s="122">
        <f>$C36*POWER(Variables!$C$7 +1, G$1 - $C$1)</f>
        <v>237148.04646285845</v>
      </c>
      <c r="H36" s="122">
        <f>$C36*POWER(Variables!$C$7 +1, H$1 - $C$1)</f>
        <v>242768.45516402824</v>
      </c>
      <c r="I36" s="122">
        <f>$C36*POWER(Variables!$C$7 +1, I$1 - $C$1)</f>
        <v>248522.0675514157</v>
      </c>
      <c r="J36" s="122">
        <f>$C36*POWER(Variables!$C$7 +1, J$1 - $C$1)</f>
        <v>254412.04055238431</v>
      </c>
      <c r="K36" s="122">
        <f>$C36*POWER(Variables!$C$7 +1, K$1 - $C$1)</f>
        <v>260441.60591347585</v>
      </c>
      <c r="L36" s="122">
        <f>$C36*POWER(Variables!$C$7 +1, L$1 - $C$1)</f>
        <v>266614.07197362528</v>
      </c>
      <c r="M36" s="122">
        <f>$C36*POWER(Variables!$C$7 +1, M$1 - $C$1)</f>
        <v>272932.82547940017</v>
      </c>
      <c r="N36" s="122">
        <f>$C36*POWER(Variables!$C$7 +1, N$1 - $C$1)</f>
        <v>279401.33344326197</v>
      </c>
      <c r="O36" s="122">
        <f>$C36*POWER(Variables!$C$7 +1, O$1 - $C$1)</f>
        <v>286023.14504586736</v>
      </c>
    </row>
    <row r="37" spans="1:15" ht="14.25" customHeight="1" x14ac:dyDescent="0.35">
      <c r="A37" s="37">
        <v>36</v>
      </c>
      <c r="B37" s="146" t="s">
        <v>94</v>
      </c>
      <c r="C37" s="102">
        <v>1175116</v>
      </c>
      <c r="D37" s="122">
        <f>$C37*POWER(Variables!$C$7 +1, D$1 - $C$1)</f>
        <v>1417301.8885329936</v>
      </c>
      <c r="E37" s="122">
        <f>$C37*POWER(Variables!$C$7 +1, E$1 - $C$1)</f>
        <v>1450891.9432912257</v>
      </c>
      <c r="F37" s="122">
        <f>$C37*POWER(Variables!$C$7 +1, F$1 - $C$1)</f>
        <v>1485278.0823472277</v>
      </c>
      <c r="G37" s="122">
        <f>$C37*POWER(Variables!$C$7 +1, G$1 - $C$1)</f>
        <v>1520479.1728988574</v>
      </c>
      <c r="H37" s="122">
        <f>$C37*POWER(Variables!$C$7 +1, H$1 - $C$1)</f>
        <v>1556514.5292965604</v>
      </c>
      <c r="I37" s="122">
        <f>$C37*POWER(Variables!$C$7 +1, I$1 - $C$1)</f>
        <v>1593403.9236408891</v>
      </c>
      <c r="J37" s="122">
        <f>$C37*POWER(Variables!$C$7 +1, J$1 - $C$1)</f>
        <v>1631167.5966311784</v>
      </c>
      <c r="K37" s="122">
        <f>$C37*POWER(Variables!$C$7 +1, K$1 - $C$1)</f>
        <v>1669826.2686713375</v>
      </c>
      <c r="L37" s="122">
        <f>$C37*POWER(Variables!$C$7 +1, L$1 - $C$1)</f>
        <v>1709401.1512388485</v>
      </c>
      <c r="M37" s="122">
        <f>$C37*POWER(Variables!$C$7 +1, M$1 - $C$1)</f>
        <v>1749913.9585232092</v>
      </c>
      <c r="N37" s="122">
        <f>$C37*POWER(Variables!$C$7 +1, N$1 - $C$1)</f>
        <v>1791386.9193402093</v>
      </c>
      <c r="O37" s="122">
        <f>$C37*POWER(Variables!$C$7 +1, O$1 - $C$1)</f>
        <v>1833842.7893285726</v>
      </c>
    </row>
    <row r="38" spans="1:15" ht="14.25" customHeight="1" x14ac:dyDescent="0.35">
      <c r="A38" s="37">
        <v>37</v>
      </c>
      <c r="B38" s="146" t="s">
        <v>95</v>
      </c>
      <c r="C38" s="102">
        <v>196057</v>
      </c>
      <c r="D38" s="122">
        <f>$C38*POWER(Variables!$C$7 +1, D$1 - $C$1)</f>
        <v>236463.42689582403</v>
      </c>
      <c r="E38" s="122">
        <f>$C38*POWER(Variables!$C$7 +1, E$1 - $C$1)</f>
        <v>242067.61011325504</v>
      </c>
      <c r="F38" s="122">
        <f>$C38*POWER(Variables!$C$7 +1, F$1 - $C$1)</f>
        <v>247804.61247293922</v>
      </c>
      <c r="G38" s="122">
        <f>$C38*POWER(Variables!$C$7 +1, G$1 - $C$1)</f>
        <v>253677.58178854792</v>
      </c>
      <c r="H38" s="122">
        <f>$C38*POWER(Variables!$C$7 +1, H$1 - $C$1)</f>
        <v>259689.74047693654</v>
      </c>
      <c r="I38" s="122">
        <f>$C38*POWER(Variables!$C$7 +1, I$1 - $C$1)</f>
        <v>265844.38732623996</v>
      </c>
      <c r="J38" s="122">
        <f>$C38*POWER(Variables!$C$7 +1, J$1 - $C$1)</f>
        <v>272144.89930587186</v>
      </c>
      <c r="K38" s="122">
        <f>$C38*POWER(Variables!$C$7 +1, K$1 - $C$1)</f>
        <v>278594.73341942107</v>
      </c>
      <c r="L38" s="122">
        <f>$C38*POWER(Variables!$C$7 +1, L$1 - $C$1)</f>
        <v>285197.4286014614</v>
      </c>
      <c r="M38" s="122">
        <f>$C38*POWER(Variables!$C$7 +1, M$1 - $C$1)</f>
        <v>291956.60765931604</v>
      </c>
      <c r="N38" s="122">
        <f>$C38*POWER(Variables!$C$7 +1, N$1 - $C$1)</f>
        <v>298875.97926084185</v>
      </c>
      <c r="O38" s="122">
        <f>$C38*POWER(Variables!$C$7 +1, O$1 - $C$1)</f>
        <v>305959.33996932383</v>
      </c>
    </row>
    <row r="39" spans="1:15" ht="14.25" customHeight="1" x14ac:dyDescent="0.35">
      <c r="A39" s="37">
        <v>38</v>
      </c>
      <c r="B39" s="146" t="s">
        <v>96</v>
      </c>
      <c r="C39" s="102">
        <v>862196</v>
      </c>
      <c r="D39" s="122">
        <f>$C39*POWER(Variables!$C$7 +1, D$1 - $C$1)</f>
        <v>1039890.5461976461</v>
      </c>
      <c r="E39" s="122">
        <f>$C39*POWER(Variables!$C$7 +1, E$1 - $C$1)</f>
        <v>1064535.9521425301</v>
      </c>
      <c r="F39" s="122">
        <f>$C39*POWER(Variables!$C$7 +1, F$1 - $C$1)</f>
        <v>1089765.4542083084</v>
      </c>
      <c r="G39" s="122">
        <f>$C39*POWER(Variables!$C$7 +1, G$1 - $C$1)</f>
        <v>1115592.8954730453</v>
      </c>
      <c r="H39" s="122">
        <f>$C39*POWER(Variables!$C$7 +1, H$1 - $C$1)</f>
        <v>1142032.4470957567</v>
      </c>
      <c r="I39" s="122">
        <f>$C39*POWER(Variables!$C$7 +1, I$1 - $C$1)</f>
        <v>1169098.6160919261</v>
      </c>
      <c r="J39" s="122">
        <f>$C39*POWER(Variables!$C$7 +1, J$1 - $C$1)</f>
        <v>1196806.2532933049</v>
      </c>
      <c r="K39" s="122">
        <f>$C39*POWER(Variables!$C$7 +1, K$1 - $C$1)</f>
        <v>1225170.5614963565</v>
      </c>
      <c r="L39" s="122">
        <f>$C39*POWER(Variables!$C$7 +1, L$1 - $C$1)</f>
        <v>1254207.1038038204</v>
      </c>
      <c r="M39" s="122">
        <f>$C39*POWER(Variables!$C$7 +1, M$1 - $C$1)</f>
        <v>1283931.8121639709</v>
      </c>
      <c r="N39" s="122">
        <f>$C39*POWER(Variables!$C$7 +1, N$1 - $C$1)</f>
        <v>1314360.996112257</v>
      </c>
      <c r="O39" s="122">
        <f>$C39*POWER(Variables!$C$7 +1, O$1 - $C$1)</f>
        <v>1345511.3517201177</v>
      </c>
    </row>
    <row r="40" spans="1:15" ht="14.25" customHeight="1" x14ac:dyDescent="0.35">
      <c r="A40" s="37">
        <v>39</v>
      </c>
      <c r="B40" s="146" t="s">
        <v>97</v>
      </c>
      <c r="C40" s="102">
        <v>70980</v>
      </c>
      <c r="D40" s="122">
        <f>$C40*POWER(Variables!$C$7 +1, D$1 - $C$1)</f>
        <v>85608.644634293029</v>
      </c>
      <c r="E40" s="122">
        <f>$C40*POWER(Variables!$C$7 +1, E$1 - $C$1)</f>
        <v>87637.569512125774</v>
      </c>
      <c r="F40" s="122">
        <f>$C40*POWER(Variables!$C$7 +1, F$1 - $C$1)</f>
        <v>89714.579909563166</v>
      </c>
      <c r="G40" s="122">
        <f>$C40*POWER(Variables!$C$7 +1, G$1 - $C$1)</f>
        <v>91840.815453419826</v>
      </c>
      <c r="H40" s="122">
        <f>$C40*POWER(Variables!$C$7 +1, H$1 - $C$1)</f>
        <v>94017.4427796659</v>
      </c>
      <c r="I40" s="122">
        <f>$C40*POWER(Variables!$C$7 +1, I$1 - $C$1)</f>
        <v>96245.656173543975</v>
      </c>
      <c r="J40" s="122">
        <f>$C40*POWER(Variables!$C$7 +1, J$1 - $C$1)</f>
        <v>98526.67822485698</v>
      </c>
      <c r="K40" s="122">
        <f>$C40*POWER(Variables!$C$7 +1, K$1 - $C$1)</f>
        <v>100861.76049878611</v>
      </c>
      <c r="L40" s="122">
        <f>$C40*POWER(Variables!$C$7 +1, L$1 - $C$1)</f>
        <v>103252.18422260735</v>
      </c>
      <c r="M40" s="122">
        <f>$C40*POWER(Variables!$C$7 +1, M$1 - $C$1)</f>
        <v>105699.26098868315</v>
      </c>
      <c r="N40" s="122">
        <f>$C40*POWER(Variables!$C$7 +1, N$1 - $C$1)</f>
        <v>108204.33347411494</v>
      </c>
      <c r="O40" s="122">
        <f>$C40*POWER(Variables!$C$7 +1, O$1 - $C$1)</f>
        <v>110768.77617745149</v>
      </c>
    </row>
    <row r="41" spans="1:15" ht="14.25" customHeight="1" x14ac:dyDescent="0.35">
      <c r="A41" s="37">
        <v>40</v>
      </c>
      <c r="B41" s="146" t="s">
        <v>98</v>
      </c>
      <c r="C41" s="102">
        <v>126736</v>
      </c>
      <c r="D41" s="122">
        <f>$C41*POWER(Variables!$C$7 +1, D$1 - $C$1)</f>
        <v>152855.6943698473</v>
      </c>
      <c r="E41" s="122">
        <f>$C41*POWER(Variables!$C$7 +1, E$1 - $C$1)</f>
        <v>156478.37432641268</v>
      </c>
      <c r="F41" s="122">
        <f>$C41*POWER(Variables!$C$7 +1, F$1 - $C$1)</f>
        <v>160186.91179794868</v>
      </c>
      <c r="G41" s="122">
        <f>$C41*POWER(Variables!$C$7 +1, G$1 - $C$1)</f>
        <v>163983.34160756008</v>
      </c>
      <c r="H41" s="122">
        <f>$C41*POWER(Variables!$C$7 +1, H$1 - $C$1)</f>
        <v>167869.74680365931</v>
      </c>
      <c r="I41" s="122">
        <f>$C41*POWER(Variables!$C$7 +1, I$1 - $C$1)</f>
        <v>171848.25980290602</v>
      </c>
      <c r="J41" s="122">
        <f>$C41*POWER(Variables!$C$7 +1, J$1 - $C$1)</f>
        <v>175921.06356023491</v>
      </c>
      <c r="K41" s="122">
        <f>$C41*POWER(Variables!$C$7 +1, K$1 - $C$1)</f>
        <v>180090.39276661252</v>
      </c>
      <c r="L41" s="122">
        <f>$C41*POWER(Variables!$C$7 +1, L$1 - $C$1)</f>
        <v>184358.53507518125</v>
      </c>
      <c r="M41" s="122">
        <f>$C41*POWER(Variables!$C$7 +1, M$1 - $C$1)</f>
        <v>188727.83235646304</v>
      </c>
      <c r="N41" s="122">
        <f>$C41*POWER(Variables!$C$7 +1, N$1 - $C$1)</f>
        <v>193200.68198331125</v>
      </c>
      <c r="O41" s="122">
        <f>$C41*POWER(Variables!$C$7 +1, O$1 - $C$1)</f>
        <v>197779.53814631575</v>
      </c>
    </row>
    <row r="42" spans="1:15" ht="14.25" customHeight="1" x14ac:dyDescent="0.35">
      <c r="A42" s="37">
        <v>41</v>
      </c>
      <c r="B42" s="146" t="s">
        <v>99</v>
      </c>
      <c r="C42" s="102">
        <v>61000</v>
      </c>
      <c r="D42" s="122">
        <f>$C42*POWER(Variables!$C$7 +1, D$1 - $C$1)</f>
        <v>73571.813506507111</v>
      </c>
      <c r="E42" s="122">
        <f>$C42*POWER(Variables!$C$7 +1, E$1 - $C$1)</f>
        <v>75315.465486611327</v>
      </c>
      <c r="F42" s="122">
        <f>$C42*POWER(Variables!$C$7 +1, F$1 - $C$1)</f>
        <v>77100.442018644026</v>
      </c>
      <c r="G42" s="122">
        <f>$C42*POWER(Variables!$C$7 +1, G$1 - $C$1)</f>
        <v>78927.722494485904</v>
      </c>
      <c r="H42" s="122">
        <f>$C42*POWER(Variables!$C$7 +1, H$1 - $C$1)</f>
        <v>80798.30951760523</v>
      </c>
      <c r="I42" s="122">
        <f>$C42*POWER(Variables!$C$7 +1, I$1 - $C$1)</f>
        <v>82713.229453172476</v>
      </c>
      <c r="J42" s="122">
        <f>$C42*POWER(Variables!$C$7 +1, J$1 - $C$1)</f>
        <v>84673.532991212676</v>
      </c>
      <c r="K42" s="122">
        <f>$C42*POWER(Variables!$C$7 +1, K$1 - $C$1)</f>
        <v>86680.295723104427</v>
      </c>
      <c r="L42" s="122">
        <f>$C42*POWER(Variables!$C$7 +1, L$1 - $C$1)</f>
        <v>88734.618731742012</v>
      </c>
      <c r="M42" s="122">
        <f>$C42*POWER(Variables!$C$7 +1, M$1 - $C$1)</f>
        <v>90837.629195684305</v>
      </c>
      <c r="N42" s="122">
        <f>$C42*POWER(Variables!$C$7 +1, N$1 - $C$1)</f>
        <v>92990.481007622031</v>
      </c>
      <c r="O42" s="122">
        <f>$C42*POWER(Variables!$C$7 +1, O$1 - $C$1)</f>
        <v>95194.355407502691</v>
      </c>
    </row>
    <row r="43" spans="1:15" ht="14.25" customHeight="1" x14ac:dyDescent="0.35">
      <c r="A43" s="37">
        <v>42</v>
      </c>
      <c r="B43" s="146" t="s">
        <v>100</v>
      </c>
      <c r="C43" s="102">
        <v>75540</v>
      </c>
      <c r="D43" s="122">
        <f>$C43*POWER(Variables!$C$7 +1, D$1 - $C$1)</f>
        <v>91108.43921773028</v>
      </c>
      <c r="E43" s="122">
        <f>$C43*POWER(Variables!$C$7 +1, E$1 - $C$1)</f>
        <v>93267.709227190498</v>
      </c>
      <c r="F43" s="122">
        <f>$C43*POWER(Variables!$C$7 +1, F$1 - $C$1)</f>
        <v>95478.153935874914</v>
      </c>
      <c r="G43" s="122">
        <f>$C43*POWER(Variables!$C$7 +1, G$1 - $C$1)</f>
        <v>97740.986184155161</v>
      </c>
      <c r="H43" s="122">
        <f>$C43*POWER(Variables!$C$7 +1, H$1 - $C$1)</f>
        <v>100057.44755671966</v>
      </c>
      <c r="I43" s="122">
        <f>$C43*POWER(Variables!$C$7 +1, I$1 - $C$1)</f>
        <v>102428.80906381391</v>
      </c>
      <c r="J43" s="122">
        <f>$C43*POWER(Variables!$C$7 +1, J$1 - $C$1)</f>
        <v>104856.37183862632</v>
      </c>
      <c r="K43" s="122">
        <f>$C43*POWER(Variables!$C$7 +1, K$1 - $C$1)</f>
        <v>107341.46785120179</v>
      </c>
      <c r="L43" s="122">
        <f>$C43*POWER(Variables!$C$7 +1, L$1 - $C$1)</f>
        <v>109885.46063927528</v>
      </c>
      <c r="M43" s="122">
        <f>$C43*POWER(Variables!$C$7 +1, M$1 - $C$1)</f>
        <v>112489.7460564261</v>
      </c>
      <c r="N43" s="122">
        <f>$C43*POWER(Variables!$C$7 +1, N$1 - $C$1)</f>
        <v>115155.75303796341</v>
      </c>
      <c r="O43" s="122">
        <f>$C43*POWER(Variables!$C$7 +1, O$1 - $C$1)</f>
        <v>117884.94438496316</v>
      </c>
    </row>
    <row r="44" spans="1:15" ht="14.25" customHeight="1" x14ac:dyDescent="0.35"/>
    <row r="45" spans="1:15" ht="14.25" customHeight="1" x14ac:dyDescent="0.35"/>
    <row r="46" spans="1:15" ht="14.25" customHeight="1" x14ac:dyDescent="0.35"/>
    <row r="47" spans="1:15" ht="14.25" customHeight="1" x14ac:dyDescent="0.35"/>
    <row r="48" spans="1:15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</sheetData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765C3-C787-4048-92CA-8D3E2EE7DBA9}">
  <dimension ref="A1:Q1048575"/>
  <sheetViews>
    <sheetView workbookViewId="0">
      <selection activeCell="D36" sqref="D36"/>
    </sheetView>
  </sheetViews>
  <sheetFormatPr defaultColWidth="14.453125" defaultRowHeight="14.5" x14ac:dyDescent="0.35"/>
  <cols>
    <col min="1" max="1" width="3.7265625" style="128" bestFit="1" customWidth="1"/>
    <col min="2" max="2" width="18.7265625" style="129" bestFit="1" customWidth="1"/>
    <col min="3" max="3" width="20.81640625" style="132" bestFit="1" customWidth="1"/>
    <col min="4" max="4" width="18.08984375" style="132" bestFit="1" customWidth="1"/>
    <col min="5" max="5" width="11.90625" style="133" bestFit="1" customWidth="1"/>
    <col min="6" max="6" width="25.08984375" style="141" customWidth="1"/>
    <col min="7" max="7" width="9.08984375" style="131" bestFit="1" customWidth="1"/>
    <col min="8" max="17" width="14.54296875" style="131" bestFit="1" customWidth="1"/>
    <col min="18" max="16384" width="14.453125" style="131"/>
  </cols>
  <sheetData>
    <row r="1" spans="1:17" s="127" customFormat="1" ht="44" thickBot="1" x14ac:dyDescent="0.4">
      <c r="A1" s="123" t="s">
        <v>101</v>
      </c>
      <c r="B1" s="124" t="s">
        <v>1</v>
      </c>
      <c r="C1" s="125" t="s">
        <v>109</v>
      </c>
      <c r="D1" s="125" t="s">
        <v>134</v>
      </c>
      <c r="E1" s="126" t="s">
        <v>136</v>
      </c>
      <c r="F1" s="148" t="s">
        <v>4</v>
      </c>
      <c r="G1" s="127">
        <v>2020</v>
      </c>
      <c r="H1" s="127">
        <v>2021</v>
      </c>
      <c r="I1" s="127">
        <v>2022</v>
      </c>
      <c r="J1" s="127">
        <v>2023</v>
      </c>
      <c r="K1" s="127">
        <v>2024</v>
      </c>
      <c r="L1" s="127">
        <v>2025</v>
      </c>
      <c r="M1" s="127">
        <v>2026</v>
      </c>
      <c r="N1" s="127">
        <v>2027</v>
      </c>
      <c r="O1" s="127">
        <v>2028</v>
      </c>
      <c r="P1" s="127">
        <v>2029</v>
      </c>
      <c r="Q1" s="127">
        <v>2030</v>
      </c>
    </row>
    <row r="2" spans="1:17" x14ac:dyDescent="0.35">
      <c r="A2" s="128">
        <v>1</v>
      </c>
      <c r="B2" s="129" t="s">
        <v>59</v>
      </c>
      <c r="C2" s="130">
        <f>Variables!$C$14</f>
        <v>-1.4E-2</v>
      </c>
      <c r="D2" s="142">
        <v>76</v>
      </c>
      <c r="E2" s="142">
        <f>Population!D2/(Population!C2/D2*(1+Area!C2)^(2019-2011))</f>
        <v>102.60768729895828</v>
      </c>
      <c r="F2" s="143" t="s">
        <v>110</v>
      </c>
      <c r="G2" s="131">
        <f>Population!D2/((Population!D2/E2)*(1+C2))</f>
        <v>104.06459158109358</v>
      </c>
      <c r="H2" s="131">
        <f>Population!E2/((Population!E2/G2)*(1+C2))</f>
        <v>105.54218213092655</v>
      </c>
      <c r="I2" s="131">
        <f>Population!F2/((Population!F2/H2)*(1+C2))</f>
        <v>107.04075266828251</v>
      </c>
      <c r="J2" s="131">
        <f>Population!G2/((Population!G2/I2)*(1+C2))</f>
        <v>108.56060108345082</v>
      </c>
      <c r="K2" s="131">
        <f>Population!H2/((Population!H2/J2)*(1+C2))</f>
        <v>110.10202949640043</v>
      </c>
      <c r="L2" s="131">
        <f>Population!I2/((Population!I2/K2)*(1+C2))</f>
        <v>111.66534431683614</v>
      </c>
      <c r="M2" s="131">
        <f>Population!J2/((Population!J2/L2)*(1+C2))</f>
        <v>113.25085630510765</v>
      </c>
      <c r="N2" s="131">
        <f>Population!K2/((Population!K2/M2)*(1+C2))</f>
        <v>114.85888063398342</v>
      </c>
      <c r="O2" s="131">
        <f>Population!L2/((Population!L2/N2)*(1+C2))</f>
        <v>116.48973695130164</v>
      </c>
      <c r="P2" s="131">
        <f>Population!M2/((Population!M2/O2)*(1+C2))</f>
        <v>118.1437494435108</v>
      </c>
      <c r="Q2" s="131">
        <f>Population!N2/((Population!N2/P2)*(1+C2))</f>
        <v>119.82124690011237</v>
      </c>
    </row>
    <row r="3" spans="1:17" x14ac:dyDescent="0.35">
      <c r="A3" s="128">
        <v>2</v>
      </c>
      <c r="B3" s="129" t="s">
        <v>60</v>
      </c>
      <c r="C3" s="130">
        <f>Variables!$C$14</f>
        <v>-1.4E-2</v>
      </c>
      <c r="D3" s="142">
        <v>457</v>
      </c>
      <c r="E3" s="142">
        <f>Population!D3/(Population!C3/D3*(1+Area!C3)^(2019-2011))</f>
        <v>616.99622494242021</v>
      </c>
      <c r="F3" s="143" t="s">
        <v>110</v>
      </c>
      <c r="G3" s="131">
        <f>Population!D3/((Population!D3/E3)*(1+C3))</f>
        <v>625.756820428418</v>
      </c>
      <c r="H3" s="131">
        <f>Population!E3/((Population!E3/G3)*(1+C3))</f>
        <v>634.64180570833469</v>
      </c>
      <c r="I3" s="131">
        <f>Population!F3/((Population!F3/H3)*(1+C3))</f>
        <v>643.6529469658567</v>
      </c>
      <c r="J3" s="131">
        <f>Population!G3/((Population!G3/I3)*(1+C3))</f>
        <v>652.79203546232918</v>
      </c>
      <c r="K3" s="131">
        <f>Population!H3/((Population!H3/J3)*(1+C3))</f>
        <v>662.06088789282887</v>
      </c>
      <c r="L3" s="131">
        <f>Population!I3/((Population!I3/K3)*(1+C3))</f>
        <v>671.46134674729103</v>
      </c>
      <c r="M3" s="131">
        <f>Population!J3/((Population!J3/L3)*(1+C3))</f>
        <v>680.99528067676579</v>
      </c>
      <c r="N3" s="131">
        <f>Population!K3/((Population!K3/M3)*(1+C3))</f>
        <v>690.66458486487409</v>
      </c>
      <c r="O3" s="131">
        <f>Population!L3/((Population!L3/N3)*(1+C3))</f>
        <v>700.47118140453767</v>
      </c>
      <c r="P3" s="131">
        <f>Population!M3/((Population!M3/O3)*(1+C3))</f>
        <v>710.4170196800585</v>
      </c>
      <c r="Q3" s="131">
        <f>Population!N3/((Population!N3/P3)*(1+C3))</f>
        <v>720.50407675462316</v>
      </c>
    </row>
    <row r="4" spans="1:17" x14ac:dyDescent="0.35">
      <c r="A4" s="128">
        <v>3</v>
      </c>
      <c r="B4" s="129" t="s">
        <v>61</v>
      </c>
      <c r="C4" s="130">
        <f>Variables!$C$14</f>
        <v>-1.4E-2</v>
      </c>
      <c r="D4" s="142">
        <v>539</v>
      </c>
      <c r="E4" s="142">
        <f>Population!D4/(Population!C4/D4*(1+Area!C4)^(2019-2011))</f>
        <v>727.7045191334015</v>
      </c>
      <c r="F4" s="143" t="s">
        <v>110</v>
      </c>
      <c r="G4" s="131">
        <f>Population!D4/((Population!D4/E4)*(1+C4))</f>
        <v>738.03703766065064</v>
      </c>
      <c r="H4" s="131">
        <f>Population!E4/((Population!E4/G4)*(1+C4))</f>
        <v>748.51626537591346</v>
      </c>
      <c r="I4" s="131">
        <f>Population!F4/((Population!F4/H4)*(1+C4))</f>
        <v>759.14428537110905</v>
      </c>
      <c r="J4" s="131">
        <f>Population!G4/((Population!G4/I4)*(1+C4))</f>
        <v>769.92321031552638</v>
      </c>
      <c r="K4" s="131">
        <f>Population!H4/((Population!H4/J4)*(1+C4))</f>
        <v>780.85518287578748</v>
      </c>
      <c r="L4" s="131">
        <f>Population!I4/((Population!I4/K4)*(1+C4))</f>
        <v>791.94237614177223</v>
      </c>
      <c r="M4" s="131">
        <f>Population!J4/((Population!J4/L4)*(1+C4))</f>
        <v>803.18699405859252</v>
      </c>
      <c r="N4" s="131">
        <f>Population!K4/((Population!K4/M4)*(1+C4))</f>
        <v>814.59127186469834</v>
      </c>
      <c r="O4" s="131">
        <f>Population!L4/((Population!L4/N4)*(1+C4))</f>
        <v>826.15747653620519</v>
      </c>
      <c r="P4" s="131">
        <f>Population!M4/((Population!M4/O4)*(1+C4))</f>
        <v>837.88790723753061</v>
      </c>
      <c r="Q4" s="131">
        <f>Population!N4/((Population!N4/P4)*(1+C4))</f>
        <v>849.78489577842856</v>
      </c>
    </row>
    <row r="5" spans="1:17" x14ac:dyDescent="0.35">
      <c r="A5" s="128">
        <v>4</v>
      </c>
      <c r="B5" s="129" t="s">
        <v>62</v>
      </c>
      <c r="C5" s="130">
        <f>Variables!$C$14</f>
        <v>-1.4E-2</v>
      </c>
      <c r="D5" s="142">
        <v>298</v>
      </c>
      <c r="E5" s="142">
        <f>Population!D5/(Population!C5/D5*(1+Area!C5)^(2019-2011))</f>
        <v>402.33014230381013</v>
      </c>
      <c r="F5" s="143" t="s">
        <v>110</v>
      </c>
      <c r="G5" s="131">
        <f>Population!D5/((Population!D5/E5)*(1+C5))</f>
        <v>408.04274067323541</v>
      </c>
      <c r="H5" s="131">
        <f>Population!E5/((Population!E5/G5)*(1+C5))</f>
        <v>413.83645098705415</v>
      </c>
      <c r="I5" s="131">
        <f>Population!F5/((Population!F5/H5)*(1+C5))</f>
        <v>419.71242493616046</v>
      </c>
      <c r="J5" s="131">
        <f>Population!G5/((Population!G5/I5)*(1+C5))</f>
        <v>425.6718305640573</v>
      </c>
      <c r="K5" s="131">
        <f>Population!H5/((Population!H5/J5)*(1+C5))</f>
        <v>431.71585249904393</v>
      </c>
      <c r="L5" s="131">
        <f>Population!I5/((Population!I5/K5)*(1+C5))</f>
        <v>437.84569218969966</v>
      </c>
      <c r="M5" s="131">
        <f>Population!J5/((Population!J5/L5)*(1+C5))</f>
        <v>444.06256814371164</v>
      </c>
      <c r="N5" s="131">
        <f>Population!K5/((Population!K5/M5)*(1+C5))</f>
        <v>450.36771617009293</v>
      </c>
      <c r="O5" s="131">
        <f>Population!L5/((Population!L5/N5)*(1+C5))</f>
        <v>456.76238962484069</v>
      </c>
      <c r="P5" s="131">
        <f>Population!M5/((Population!M5/O5)*(1+C5))</f>
        <v>463.24785966008182</v>
      </c>
      <c r="Q5" s="131">
        <f>Population!N5/((Population!N5/P5)*(1+C5))</f>
        <v>469.8254154767564</v>
      </c>
    </row>
    <row r="6" spans="1:17" x14ac:dyDescent="0.35">
      <c r="A6" s="128">
        <v>5</v>
      </c>
      <c r="B6" s="129" t="s">
        <v>63</v>
      </c>
      <c r="C6" s="130">
        <f>Variables!$C$14</f>
        <v>-1.4E-2</v>
      </c>
      <c r="D6" s="142">
        <v>135</v>
      </c>
      <c r="E6" s="142">
        <f>Population!D6/(Population!C6/D6*(1+Area!C6)^(2019-2011))</f>
        <v>182.26365507051798</v>
      </c>
      <c r="F6" s="143" t="s">
        <v>110</v>
      </c>
      <c r="G6" s="131">
        <f>Population!D6/((Population!D6/E6)*(1+C6))</f>
        <v>184.85157715062675</v>
      </c>
      <c r="H6" s="131">
        <f>Population!E6/((Population!E6/G6)*(1+C6))</f>
        <v>187.47624457467219</v>
      </c>
      <c r="I6" s="131">
        <f>Population!F6/((Population!F6/H6)*(1+C6))</f>
        <v>190.13817908181767</v>
      </c>
      <c r="J6" s="131">
        <f>Population!G6/((Population!G6/I6)*(1+C6))</f>
        <v>192.83790981928769</v>
      </c>
      <c r="K6" s="131">
        <f>Population!H6/((Population!H6/J6)*(1+C6))</f>
        <v>195.57597344755345</v>
      </c>
      <c r="L6" s="131">
        <f>Population!I6/((Population!I6/K6)*(1+C6))</f>
        <v>198.35291424701163</v>
      </c>
      <c r="M6" s="131">
        <f>Population!J6/((Population!J6/L6)*(1+C6))</f>
        <v>201.16928422617812</v>
      </c>
      <c r="N6" s="131">
        <f>Population!K6/((Population!K6/M6)*(1+C6))</f>
        <v>204.02564323141797</v>
      </c>
      <c r="O6" s="131">
        <f>Population!L6/((Population!L6/N6)*(1+C6))</f>
        <v>206.92255905823325</v>
      </c>
      <c r="P6" s="131">
        <f>Population!M6/((Population!M6/O6)*(1+C6))</f>
        <v>209.8606075641311</v>
      </c>
      <c r="Q6" s="131">
        <f>Population!N6/((Population!N6/P6)*(1+C6))</f>
        <v>212.84037278309444</v>
      </c>
    </row>
    <row r="7" spans="1:17" x14ac:dyDescent="0.35">
      <c r="A7" s="128">
        <v>6</v>
      </c>
      <c r="B7" s="129" t="s">
        <v>64</v>
      </c>
      <c r="C7" s="130">
        <f>Variables!$C$14</f>
        <v>-1.4E-2</v>
      </c>
      <c r="D7" s="144">
        <v>157</v>
      </c>
      <c r="E7" s="144">
        <v>157</v>
      </c>
      <c r="F7" s="143" t="s">
        <v>126</v>
      </c>
      <c r="G7" s="131">
        <f>Population!D7/((Population!D7/E7)*(1+C7))</f>
        <v>159.22920892494929</v>
      </c>
      <c r="H7" s="131">
        <f>Population!E7/((Population!E7/G7)*(1+C7))</f>
        <v>161.4900699035997</v>
      </c>
      <c r="I7" s="131">
        <f>Population!F7/((Population!F7/H7)*(1+C7))</f>
        <v>163.78303235659197</v>
      </c>
      <c r="J7" s="131">
        <f>Population!G7/((Population!G7/I7)*(1+C7))</f>
        <v>166.10855208579306</v>
      </c>
      <c r="K7" s="131">
        <f>Population!H7/((Population!H7/J7)*(1+C7))</f>
        <v>168.46709136490171</v>
      </c>
      <c r="L7" s="131">
        <f>Population!I7/((Population!I7/K7)*(1+C7))</f>
        <v>170.85911903134047</v>
      </c>
      <c r="M7" s="131">
        <f>Population!J7/((Population!J7/L7)*(1+C7))</f>
        <v>173.28511057945281</v>
      </c>
      <c r="N7" s="131">
        <f>Population!K7/((Population!K7/M7)*(1+C7))</f>
        <v>175.74554825502315</v>
      </c>
      <c r="O7" s="131">
        <f>Population!L7/((Population!L7/N7)*(1+C7))</f>
        <v>178.24092115113908</v>
      </c>
      <c r="P7" s="131">
        <f>Population!M7/((Population!M7/O7)*(1+C7))</f>
        <v>180.77172530541489</v>
      </c>
      <c r="Q7" s="131">
        <f>Population!N7/((Population!N7/P7)*(1+C7))</f>
        <v>183.33846379859523</v>
      </c>
    </row>
    <row r="8" spans="1:17" x14ac:dyDescent="0.35">
      <c r="A8" s="128">
        <v>7</v>
      </c>
      <c r="B8" s="129" t="s">
        <v>65</v>
      </c>
      <c r="C8" s="130">
        <f>Variables!$C$14</f>
        <v>-1.4E-2</v>
      </c>
      <c r="D8" s="142">
        <v>788</v>
      </c>
      <c r="E8" s="142">
        <f>Population!D8/(Population!C8/D8*(1+Area!C8)^(2019-2011))</f>
        <v>1063.879705152357</v>
      </c>
      <c r="F8" s="143" t="s">
        <v>110</v>
      </c>
      <c r="G8" s="131">
        <f>Population!D8/((Population!D8/E8)*(1+C8))</f>
        <v>1078.9855021829178</v>
      </c>
      <c r="H8" s="131">
        <f>Population!E8/((Population!E8/G8)*(1+C8))</f>
        <v>1094.3057831469755</v>
      </c>
      <c r="I8" s="131">
        <f>Population!F8/((Population!F8/H8)*(1+C8))</f>
        <v>1109.8435934553504</v>
      </c>
      <c r="J8" s="131">
        <f>Population!G8/((Population!G8/I8)*(1+C8))</f>
        <v>1125.6020217599903</v>
      </c>
      <c r="K8" s="131">
        <f>Population!H8/((Population!H8/J8)*(1+C8))</f>
        <v>1141.5842005679415</v>
      </c>
      <c r="L8" s="131">
        <f>Population!I8/((Population!I8/K8)*(1+C8))</f>
        <v>1157.793306864038</v>
      </c>
      <c r="M8" s="131">
        <f>Population!J8/((Population!J8/L8)*(1+C8))</f>
        <v>1174.232562742432</v>
      </c>
      <c r="N8" s="131">
        <f>Population!K8/((Population!K8/M8)*(1+C8))</f>
        <v>1190.9052360470914</v>
      </c>
      <c r="O8" s="131">
        <f>Population!L8/((Population!L8/N8)*(1+C8))</f>
        <v>1207.814641021391</v>
      </c>
      <c r="P8" s="131">
        <f>Population!M8/((Population!M8/O8)*(1+C8))</f>
        <v>1224.9641389669282</v>
      </c>
      <c r="Q8" s="131">
        <f>Population!N8/((Population!N8/P8)*(1+C8))</f>
        <v>1242.3571389116919</v>
      </c>
    </row>
    <row r="9" spans="1:17" x14ac:dyDescent="0.35">
      <c r="A9" s="128">
        <v>8</v>
      </c>
      <c r="B9" s="129" t="s">
        <v>66</v>
      </c>
      <c r="C9" s="130">
        <f>Variables!$C$14</f>
        <v>-1.4E-2</v>
      </c>
      <c r="D9" s="142">
        <v>111</v>
      </c>
      <c r="E9" s="142">
        <f>Population!D9/(Population!C9/D9*(1+Area!C9)^(2019-2011))</f>
        <v>149.86122750242589</v>
      </c>
      <c r="F9" s="143" t="s">
        <v>110</v>
      </c>
      <c r="G9" s="131">
        <f>Population!D9/((Population!D9/E9)*(1+C9))</f>
        <v>151.9890745460709</v>
      </c>
      <c r="H9" s="131">
        <f>Population!E9/((Population!E9/G9)*(1+C9))</f>
        <v>154.14713442806377</v>
      </c>
      <c r="I9" s="131">
        <f>Population!F9/((Population!F9/H9)*(1+C9))</f>
        <v>156.3358361339389</v>
      </c>
      <c r="J9" s="131">
        <f>Population!G9/((Population!G9/I9)*(1+C9))</f>
        <v>158.55561474030316</v>
      </c>
      <c r="K9" s="131">
        <f>Population!H9/((Population!H9/J9)*(1+C9))</f>
        <v>160.80691150132165</v>
      </c>
      <c r="L9" s="131">
        <f>Population!I9/((Population!I9/K9)*(1+C9))</f>
        <v>163.09017393643171</v>
      </c>
      <c r="M9" s="131">
        <f>Population!J9/((Population!J9/L9)*(1+C9))</f>
        <v>165.40585591930196</v>
      </c>
      <c r="N9" s="131">
        <f>Population!K9/((Population!K9/M9)*(1+C9))</f>
        <v>167.75441776805471</v>
      </c>
      <c r="O9" s="131">
        <f>Population!L9/((Population!L9/N9)*(1+C9))</f>
        <v>170.13632633676949</v>
      </c>
      <c r="P9" s="131">
        <f>Population!M9/((Population!M9/O9)*(1+C9))</f>
        <v>172.55205510828549</v>
      </c>
      <c r="Q9" s="131">
        <f>Population!N9/((Population!N9/P9)*(1+C9))</f>
        <v>175.00208428832201</v>
      </c>
    </row>
    <row r="10" spans="1:17" x14ac:dyDescent="0.35">
      <c r="A10" s="128">
        <v>9</v>
      </c>
      <c r="B10" s="129" t="s">
        <v>67</v>
      </c>
      <c r="C10" s="130">
        <f>Variables!$C$14</f>
        <v>-1.4E-2</v>
      </c>
      <c r="D10" s="142">
        <v>300</v>
      </c>
      <c r="E10" s="142">
        <f>Population!D10/(Population!C10/D10*(1+Area!C10)^(2019-2011))</f>
        <v>405.03034460115111</v>
      </c>
      <c r="F10" s="143" t="s">
        <v>110</v>
      </c>
      <c r="G10" s="131">
        <f>Population!D10/((Population!D10/E10)*(1+C10))</f>
        <v>410.78128255694838</v>
      </c>
      <c r="H10" s="131">
        <f>Population!E10/((Population!E10/G10)*(1+C10))</f>
        <v>416.61387683260489</v>
      </c>
      <c r="I10" s="131">
        <f>Population!F10/((Population!F10/H10)*(1+C10))</f>
        <v>422.52928684848365</v>
      </c>
      <c r="J10" s="131">
        <f>Population!G10/((Population!G10/I10)*(1+C10))</f>
        <v>428.52868848730594</v>
      </c>
      <c r="K10" s="131">
        <f>Population!H10/((Population!H10/J10)*(1+C10))</f>
        <v>434.61327432789653</v>
      </c>
      <c r="L10" s="131">
        <f>Population!I10/((Population!I10/K10)*(1+C10))</f>
        <v>440.78425388224798</v>
      </c>
      <c r="M10" s="131">
        <f>Population!J10/((Population!J10/L10)*(1+C10))</f>
        <v>447.04285383595129</v>
      </c>
      <c r="N10" s="131">
        <f>Population!K10/((Population!K10/M10)*(1+C10))</f>
        <v>453.39031829203986</v>
      </c>
      <c r="O10" s="131">
        <f>Population!L10/((Population!L10/N10)*(1+C10))</f>
        <v>459.82790901829605</v>
      </c>
      <c r="P10" s="131">
        <f>Population!M10/((Population!M10/O10)*(1+C10))</f>
        <v>466.35690569806906</v>
      </c>
      <c r="Q10" s="131">
        <f>Population!N10/((Population!N10/P10)*(1+C10))</f>
        <v>472.97860618465421</v>
      </c>
    </row>
    <row r="11" spans="1:17" x14ac:dyDescent="0.35">
      <c r="A11" s="128">
        <v>10</v>
      </c>
      <c r="B11" s="129" t="s">
        <v>68</v>
      </c>
      <c r="C11" s="130">
        <f>Variables!$C$14</f>
        <v>-1.4E-2</v>
      </c>
      <c r="D11" s="144">
        <v>120</v>
      </c>
      <c r="E11" s="144">
        <v>120</v>
      </c>
      <c r="F11" s="143" t="s">
        <v>126</v>
      </c>
      <c r="G11" s="131">
        <f>Population!D11/((Population!D11/E11)*(1+C11))</f>
        <v>121.70385395537525</v>
      </c>
      <c r="H11" s="131">
        <f>Population!E11/((Population!E11/G11)*(1+C11))</f>
        <v>123.4319005632609</v>
      </c>
      <c r="I11" s="131">
        <f>Population!F11/((Population!F11/H11)*(1+C11))</f>
        <v>125.1844833298792</v>
      </c>
      <c r="J11" s="131">
        <f>Population!G11/((Population!G11/I11)*(1+C11))</f>
        <v>126.9619506388227</v>
      </c>
      <c r="K11" s="131">
        <f>Population!H11/((Population!H11/J11)*(1+C11))</f>
        <v>128.76465582030701</v>
      </c>
      <c r="L11" s="131">
        <f>Population!I11/((Population!I11/K11)*(1+C11))</f>
        <v>130.59295722140669</v>
      </c>
      <c r="M11" s="131">
        <f>Population!J11/((Population!J11/L11)*(1+C11))</f>
        <v>132.44721827728875</v>
      </c>
      <c r="N11" s="131">
        <f>Population!K11/((Population!K11/M11)*(1+C11))</f>
        <v>134.32780758345717</v>
      </c>
      <c r="O11" s="131">
        <f>Population!L11/((Population!L11/N11)*(1+C11))</f>
        <v>136.23509896902351</v>
      </c>
      <c r="P11" s="131">
        <f>Population!M11/((Population!M11/O11)*(1+C11))</f>
        <v>138.16947157101774</v>
      </c>
      <c r="Q11" s="131">
        <f>Population!N11/((Population!N11/P11)*(1+C11))</f>
        <v>140.13130990975429</v>
      </c>
    </row>
    <row r="12" spans="1:17" x14ac:dyDescent="0.35">
      <c r="A12" s="128">
        <v>11</v>
      </c>
      <c r="B12" s="129" t="s">
        <v>69</v>
      </c>
      <c r="C12" s="130">
        <f>Variables!$C$14</f>
        <v>-1.4E-2</v>
      </c>
      <c r="D12" s="142">
        <v>114</v>
      </c>
      <c r="E12" s="142">
        <f>Population!D12/(Population!C12/D12*(1+Area!C12)^(2019-2011))</f>
        <v>153.91153094843742</v>
      </c>
      <c r="F12" s="143" t="s">
        <v>110</v>
      </c>
      <c r="G12" s="131">
        <f>Population!D12/((Population!D12/E12)*(1+C12))</f>
        <v>156.09688737164038</v>
      </c>
      <c r="H12" s="131">
        <f>Population!E12/((Population!E12/G12)*(1+C12))</f>
        <v>158.31327319638984</v>
      </c>
      <c r="I12" s="131">
        <f>Population!F12/((Population!F12/H12)*(1+C12))</f>
        <v>160.56112900242377</v>
      </c>
      <c r="J12" s="131">
        <f>Population!G12/((Population!G12/I12)*(1+C12))</f>
        <v>162.84090162517623</v>
      </c>
      <c r="K12" s="131">
        <f>Population!H12/((Population!H12/J12)*(1+C12))</f>
        <v>165.15304424460064</v>
      </c>
      <c r="L12" s="131">
        <f>Population!I12/((Population!I12/K12)*(1+C12))</f>
        <v>167.49801647525422</v>
      </c>
      <c r="M12" s="131">
        <f>Population!J12/((Population!J12/L12)*(1+C12))</f>
        <v>169.87628445766148</v>
      </c>
      <c r="N12" s="131">
        <f>Population!K12/((Population!K12/M12)*(1+C12))</f>
        <v>172.28832095097513</v>
      </c>
      <c r="O12" s="131">
        <f>Population!L12/((Population!L12/N12)*(1+C12))</f>
        <v>174.73460542695247</v>
      </c>
      <c r="P12" s="131">
        <f>Population!M12/((Population!M12/O12)*(1+C12))</f>
        <v>177.21562416526621</v>
      </c>
      <c r="Q12" s="131">
        <f>Population!N12/((Population!N12/P12)*(1+C12))</f>
        <v>179.73187035016855</v>
      </c>
    </row>
    <row r="13" spans="1:17" x14ac:dyDescent="0.35">
      <c r="A13" s="128">
        <v>12</v>
      </c>
      <c r="B13" s="129" t="s">
        <v>70</v>
      </c>
      <c r="C13" s="130">
        <f>Variables!$C$14</f>
        <v>-1.4E-2</v>
      </c>
      <c r="D13" s="142">
        <v>19</v>
      </c>
      <c r="E13" s="142">
        <f>Population!D13/(Population!C13/D13*(1+Area!C13)^(2019-2011))</f>
        <v>25.651921824739571</v>
      </c>
      <c r="F13" s="143" t="s">
        <v>110</v>
      </c>
      <c r="G13" s="131">
        <f>Population!D13/((Population!D13/E13)*(1+C13))</f>
        <v>26.016147895273399</v>
      </c>
      <c r="H13" s="131">
        <f>Population!E13/((Population!E13/G13)*(1+C13))</f>
        <v>26.385545532731644</v>
      </c>
      <c r="I13" s="131">
        <f>Population!F13/((Population!F13/H13)*(1+C13))</f>
        <v>26.760188167070634</v>
      </c>
      <c r="J13" s="131">
        <f>Population!G13/((Population!G13/I13)*(1+C13))</f>
        <v>27.140150270862708</v>
      </c>
      <c r="K13" s="131">
        <f>Population!H13/((Population!H13/J13)*(1+C13))</f>
        <v>27.525507374100108</v>
      </c>
      <c r="L13" s="131">
        <f>Population!I13/((Population!I13/K13)*(1+C13))</f>
        <v>27.916336079209039</v>
      </c>
      <c r="M13" s="131">
        <f>Population!J13/((Population!J13/L13)*(1+C13))</f>
        <v>28.312714076276915</v>
      </c>
      <c r="N13" s="131">
        <f>Population!K13/((Population!K13/M13)*(1+C13))</f>
        <v>28.714720158495858</v>
      </c>
      <c r="O13" s="131">
        <f>Population!L13/((Population!L13/N13)*(1+C13))</f>
        <v>29.122434237825413</v>
      </c>
      <c r="P13" s="131">
        <f>Population!M13/((Population!M13/O13)*(1+C13))</f>
        <v>29.5359373608777</v>
      </c>
      <c r="Q13" s="131">
        <f>Population!N13/((Population!N13/P13)*(1+C13))</f>
        <v>29.955311725028096</v>
      </c>
    </row>
    <row r="14" spans="1:17" x14ac:dyDescent="0.35">
      <c r="A14" s="128">
        <v>13</v>
      </c>
      <c r="B14" s="129" t="s">
        <v>71</v>
      </c>
      <c r="C14" s="132">
        <v>-0.01</v>
      </c>
      <c r="D14" s="142">
        <v>650</v>
      </c>
      <c r="E14" s="142">
        <f>Population!D14/(Population!C14/D14*(1+Area!C14)^(2019-2011))</f>
        <v>849.59789195702035</v>
      </c>
      <c r="F14" s="143" t="s">
        <v>110</v>
      </c>
      <c r="G14" s="131">
        <f>Population!D14/((Population!D14/E14)*(1+C14))</f>
        <v>858.17968884547497</v>
      </c>
      <c r="H14" s="131">
        <f>Population!E14/((Population!E14/G14)*(1+C14))</f>
        <v>866.84817055098495</v>
      </c>
      <c r="I14" s="131">
        <f>Population!F14/((Population!F14/H14)*(1+C14))</f>
        <v>875.60421267776258</v>
      </c>
      <c r="J14" s="131">
        <f>Population!G14/((Population!G14/I14)*(1+C14))</f>
        <v>884.44869967450757</v>
      </c>
      <c r="K14" s="131">
        <f>Population!H14/((Population!H14/J14)*(1+C14))</f>
        <v>893.382524923745</v>
      </c>
      <c r="L14" s="131">
        <f>Population!I14/((Population!I14/K14)*(1+C14))</f>
        <v>902.4065908320656</v>
      </c>
      <c r="M14" s="131">
        <f>Population!J14/((Population!J14/L14)*(1+C14))</f>
        <v>911.52180892127831</v>
      </c>
      <c r="N14" s="131">
        <f>Population!K14/((Population!K14/M14)*(1+C14))</f>
        <v>920.72909992048324</v>
      </c>
      <c r="O14" s="131">
        <f>Population!L14/((Population!L14/N14)*(1+C14))</f>
        <v>930.02939385907405</v>
      </c>
      <c r="P14" s="131">
        <f>Population!M14/((Population!M14/O14)*(1+C14))</f>
        <v>939.42363016068089</v>
      </c>
      <c r="Q14" s="131">
        <f>Population!N14/((Population!N14/P14)*(1+C14))</f>
        <v>948.9127577380616</v>
      </c>
    </row>
    <row r="15" spans="1:17" x14ac:dyDescent="0.35">
      <c r="A15" s="128">
        <v>14</v>
      </c>
      <c r="B15" s="129" t="s">
        <v>72</v>
      </c>
      <c r="C15" s="130">
        <f>Variables!$C$14</f>
        <v>-1.4E-2</v>
      </c>
      <c r="D15" s="142">
        <v>30</v>
      </c>
      <c r="E15" s="142">
        <f>Population!D15/(Population!C15/D15*(1+Area!C15)^(2019-2011))</f>
        <v>40.50303446011511</v>
      </c>
      <c r="F15" s="143" t="s">
        <v>110</v>
      </c>
      <c r="G15" s="131">
        <f>Population!D15/((Population!D15/E15)*(1+C15))</f>
        <v>41.078128255694836</v>
      </c>
      <c r="H15" s="131">
        <f>Population!E15/((Population!E15/G15)*(1+C15))</f>
        <v>41.661387683260486</v>
      </c>
      <c r="I15" s="131">
        <f>Population!F15/((Population!F15/H15)*(1+C15))</f>
        <v>42.252928684848364</v>
      </c>
      <c r="J15" s="131">
        <f>Population!G15/((Population!G15/I15)*(1+C15))</f>
        <v>42.852868848730594</v>
      </c>
      <c r="K15" s="131">
        <f>Population!H15/((Population!H15/J15)*(1+C15))</f>
        <v>43.461327432789652</v>
      </c>
      <c r="L15" s="131">
        <f>Population!I15/((Population!I15/K15)*(1+C15))</f>
        <v>44.078425388224794</v>
      </c>
      <c r="M15" s="131">
        <f>Population!J15/((Population!J15/L15)*(1+C15))</f>
        <v>44.704285383595128</v>
      </c>
      <c r="N15" s="131">
        <f>Population!K15/((Population!K15/M15)*(1+C15))</f>
        <v>45.339031829203982</v>
      </c>
      <c r="O15" s="131">
        <f>Population!L15/((Population!L15/N15)*(1+C15))</f>
        <v>45.982790901829595</v>
      </c>
      <c r="P15" s="131">
        <f>Population!M15/((Population!M15/O15)*(1+C15))</f>
        <v>46.63569056980689</v>
      </c>
      <c r="Q15" s="131">
        <f>Population!N15/((Population!N15/P15)*(1+C15))</f>
        <v>47.297860618465407</v>
      </c>
    </row>
    <row r="16" spans="1:17" x14ac:dyDescent="0.35">
      <c r="A16" s="128">
        <v>15</v>
      </c>
      <c r="B16" s="129" t="s">
        <v>73</v>
      </c>
      <c r="C16" s="130">
        <f>Variables!$C$14</f>
        <v>-1.4E-2</v>
      </c>
      <c r="D16" s="142">
        <v>167</v>
      </c>
      <c r="E16" s="142">
        <f>Population!D16/(Population!C16/D16*(1+Area!C16)^(2019-2011))</f>
        <v>225.46689182797411</v>
      </c>
      <c r="F16" s="143" t="s">
        <v>110</v>
      </c>
      <c r="G16" s="131">
        <f>Population!D16/((Population!D16/E16)*(1+C16))</f>
        <v>228.66824729003457</v>
      </c>
      <c r="H16" s="131">
        <f>Population!E16/((Population!E16/G16)*(1+C16))</f>
        <v>231.91505810348335</v>
      </c>
      <c r="I16" s="131">
        <f>Population!F16/((Population!F16/H16)*(1+C16))</f>
        <v>235.20796967898917</v>
      </c>
      <c r="J16" s="131">
        <f>Population!G16/((Population!G16/I16)*(1+C16))</f>
        <v>238.54763659126692</v>
      </c>
      <c r="K16" s="131">
        <f>Population!H16/((Population!H16/J16)*(1+C16))</f>
        <v>241.93472270919565</v>
      </c>
      <c r="L16" s="131">
        <f>Population!I16/((Population!I16/K16)*(1+C16))</f>
        <v>245.36990132778465</v>
      </c>
      <c r="M16" s="131">
        <f>Population!J16/((Population!J16/L16)*(1+C16))</f>
        <v>248.85385530201282</v>
      </c>
      <c r="N16" s="131">
        <f>Population!K16/((Population!K16/M16)*(1+C16))</f>
        <v>252.38727718256879</v>
      </c>
      <c r="O16" s="131">
        <f>Population!L16/((Population!L16/N16)*(1+C16))</f>
        <v>255.97086935351808</v>
      </c>
      <c r="P16" s="131">
        <f>Population!M16/((Population!M16/O16)*(1+C16))</f>
        <v>259.60534417192503</v>
      </c>
      <c r="Q16" s="131">
        <f>Population!N16/((Population!N16/P16)*(1+C16))</f>
        <v>263.29142410945741</v>
      </c>
    </row>
    <row r="17" spans="1:17" x14ac:dyDescent="0.35">
      <c r="A17" s="128">
        <v>16</v>
      </c>
      <c r="B17" s="129" t="s">
        <v>74</v>
      </c>
      <c r="C17" s="132">
        <v>3.5000000000000003E-2</v>
      </c>
      <c r="D17" s="142">
        <v>485</v>
      </c>
      <c r="E17" s="142">
        <f>Population!D17/(Population!C17/D17*(1+Area!C17)^(2019-2011))</f>
        <v>444.2225149751597</v>
      </c>
      <c r="F17" s="143" t="s">
        <v>110</v>
      </c>
      <c r="G17" s="131">
        <f>Population!D17/((Population!D17/E17)*(1+C17))</f>
        <v>429.20049756054078</v>
      </c>
      <c r="H17" s="131">
        <f>Population!E17/((Population!E17/G17)*(1+C17))</f>
        <v>414.68647107298631</v>
      </c>
      <c r="I17" s="131">
        <f>Population!F17/((Population!F17/H17)*(1+C17))</f>
        <v>400.66325707534907</v>
      </c>
      <c r="J17" s="131">
        <f>Population!G17/((Population!G17/I17)*(1+C17))</f>
        <v>387.1142580438156</v>
      </c>
      <c r="K17" s="131">
        <f>Population!H17/((Population!H17/J17)*(1+C17))</f>
        <v>374.02343772349337</v>
      </c>
      <c r="L17" s="131">
        <f>Population!I17/((Population!I17/K17)*(1+C17))</f>
        <v>361.37530214830281</v>
      </c>
      <c r="M17" s="131">
        <f>Population!J17/((Population!J17/L17)*(1+C17))</f>
        <v>349.15488130270802</v>
      </c>
      <c r="N17" s="131">
        <f>Population!K17/((Population!K17/M17)*(1+C17))</f>
        <v>337.34771140358259</v>
      </c>
      <c r="O17" s="131">
        <f>Population!L17/((Population!L17/N17)*(1+C17))</f>
        <v>325.93981778123924</v>
      </c>
      <c r="P17" s="131">
        <f>Population!M17/((Population!M17/O17)*(1+C17))</f>
        <v>314.91769833936161</v>
      </c>
      <c r="Q17" s="131">
        <f>Population!N17/((Population!N17/P17)*(1+C17))</f>
        <v>304.26830757426245</v>
      </c>
    </row>
    <row r="18" spans="1:17" x14ac:dyDescent="0.35">
      <c r="A18" s="128">
        <v>17</v>
      </c>
      <c r="B18" s="129" t="s">
        <v>75</v>
      </c>
      <c r="C18" s="130">
        <f>Variables!$C$14</f>
        <v>-1.4E-2</v>
      </c>
      <c r="D18" s="144">
        <v>2.61</v>
      </c>
      <c r="E18" s="144">
        <v>2.61</v>
      </c>
      <c r="F18" s="143" t="s">
        <v>126</v>
      </c>
      <c r="G18" s="131">
        <f>Population!D18/((Population!D18/E18)*(1+C18))</f>
        <v>2.6470588235294117</v>
      </c>
      <c r="H18" s="131">
        <f>Population!E18/((Population!E18/G18)*(1+C18))</f>
        <v>2.6846438372509249</v>
      </c>
      <c r="I18" s="131">
        <f>Population!F18/((Population!F18/H18)*(1+C18))</f>
        <v>2.7227625124248731</v>
      </c>
      <c r="J18" s="131">
        <f>Population!G18/((Population!G18/I18)*(1+C18))</f>
        <v>2.7614224263943949</v>
      </c>
      <c r="K18" s="131">
        <f>Population!H18/((Population!H18/J18)*(1+C18))</f>
        <v>2.8006312640916784</v>
      </c>
      <c r="L18" s="131">
        <f>Population!I18/((Population!I18/K18)*(1+C18))</f>
        <v>2.8403968195655969</v>
      </c>
      <c r="M18" s="131">
        <f>Population!J18/((Population!J18/L18)*(1+C18))</f>
        <v>2.8807269975310317</v>
      </c>
      <c r="N18" s="131">
        <f>Population!K18/((Population!K18/M18)*(1+C18))</f>
        <v>2.9216298149401947</v>
      </c>
      <c r="O18" s="131">
        <f>Population!L18/((Population!L18/N18)*(1+C18))</f>
        <v>2.9631134025762624</v>
      </c>
      <c r="P18" s="131">
        <f>Population!M18/((Population!M18/O18)*(1+C18))</f>
        <v>3.0051860066696374</v>
      </c>
      <c r="Q18" s="131">
        <f>Population!N18/((Population!N18/P18)*(1+C18))</f>
        <v>3.0478559905371578</v>
      </c>
    </row>
    <row r="19" spans="1:17" x14ac:dyDescent="0.35">
      <c r="A19" s="128">
        <v>18</v>
      </c>
      <c r="B19" s="129" t="s">
        <v>76</v>
      </c>
      <c r="C19" s="130">
        <f>Variables!$C$14</f>
        <v>-1.4E-2</v>
      </c>
      <c r="D19" s="142">
        <v>20</v>
      </c>
      <c r="E19" s="142">
        <f>Population!D19/(Population!C19/D19*(1+Area!C19)^(2019-2011))</f>
        <v>27.002022973410075</v>
      </c>
      <c r="F19" s="143" t="s">
        <v>110</v>
      </c>
      <c r="G19" s="131">
        <f>Population!D19/((Population!D19/E19)*(1+C19))</f>
        <v>27.385418837129897</v>
      </c>
      <c r="H19" s="131">
        <f>Population!E19/((Population!E19/G19)*(1+C19))</f>
        <v>27.774258455506992</v>
      </c>
      <c r="I19" s="131">
        <f>Population!F19/((Population!F19/H19)*(1+C19))</f>
        <v>28.168619123232247</v>
      </c>
      <c r="J19" s="131">
        <f>Population!G19/((Population!G19/I19)*(1+C19))</f>
        <v>28.568579232487064</v>
      </c>
      <c r="K19" s="131">
        <f>Population!H19/((Population!H19/J19)*(1+C19))</f>
        <v>28.974218288526433</v>
      </c>
      <c r="L19" s="131">
        <f>Population!I19/((Population!I19/K19)*(1+C19))</f>
        <v>29.385616925483198</v>
      </c>
      <c r="M19" s="131">
        <f>Population!J19/((Population!J19/L19)*(1+C19))</f>
        <v>29.802856922396757</v>
      </c>
      <c r="N19" s="131">
        <f>Population!K19/((Population!K19/M19)*(1+C19))</f>
        <v>30.226021219469327</v>
      </c>
      <c r="O19" s="131">
        <f>Population!L19/((Population!L19/N19)*(1+C19))</f>
        <v>30.655193934553072</v>
      </c>
      <c r="P19" s="131">
        <f>Population!M19/((Population!M19/O19)*(1+C19))</f>
        <v>31.090460379871267</v>
      </c>
      <c r="Q19" s="131">
        <f>Population!N19/((Population!N19/P19)*(1+C19))</f>
        <v>31.531907078976943</v>
      </c>
    </row>
    <row r="20" spans="1:17" x14ac:dyDescent="0.35">
      <c r="A20" s="128">
        <v>19</v>
      </c>
      <c r="B20" s="129" t="s">
        <v>77</v>
      </c>
      <c r="C20" s="132">
        <v>8.9999999999999993E-3</v>
      </c>
      <c r="D20" s="142">
        <v>1027</v>
      </c>
      <c r="E20" s="142">
        <f>Population!D20/(Population!C20/D20*(1+Area!C20)^(2019-2011))</f>
        <v>1152.98256473843</v>
      </c>
      <c r="F20" s="143" t="s">
        <v>110</v>
      </c>
      <c r="G20" s="131">
        <f>Population!D20/((Population!D20/E20)*(1+C20))</f>
        <v>1142.6982802164819</v>
      </c>
      <c r="H20" s="131">
        <f>Population!E20/((Population!E20/G20)*(1+C20))</f>
        <v>1132.5057286585547</v>
      </c>
      <c r="I20" s="131">
        <f>Population!F20/((Population!F20/H20)*(1+C20))</f>
        <v>1122.4040918320663</v>
      </c>
      <c r="J20" s="131">
        <f>Population!G20/((Population!G20/I20)*(1+C20))</f>
        <v>1112.3925588028408</v>
      </c>
      <c r="K20" s="131">
        <f>Population!H20/((Population!H20/J20)*(1+C20))</f>
        <v>1102.4703258700108</v>
      </c>
      <c r="L20" s="131">
        <f>Population!I20/((Population!I20/K20)*(1+C20))</f>
        <v>1092.6365965014975</v>
      </c>
      <c r="M20" s="131">
        <f>Population!J20/((Population!J20/L20)*(1+C20))</f>
        <v>1082.8905812700671</v>
      </c>
      <c r="N20" s="131">
        <f>Population!K20/((Population!K20/M20)*(1+C20))</f>
        <v>1073.2314977899575</v>
      </c>
      <c r="O20" s="131">
        <f>Population!L20/((Population!L20/N20)*(1+C20))</f>
        <v>1063.6585706540709</v>
      </c>
      <c r="P20" s="131">
        <f>Population!M20/((Population!M20/O20)*(1+C20))</f>
        <v>1054.1710313717253</v>
      </c>
      <c r="Q20" s="131">
        <f>Population!N20/((Population!N20/P20)*(1+C20))</f>
        <v>1044.7681183069628</v>
      </c>
    </row>
    <row r="21" spans="1:17" x14ac:dyDescent="0.35">
      <c r="A21" s="128">
        <v>20</v>
      </c>
      <c r="B21" s="129" t="s">
        <v>78</v>
      </c>
      <c r="C21" s="130">
        <f>Variables!$C$14</f>
        <v>-1.4E-2</v>
      </c>
      <c r="D21" s="142">
        <v>337</v>
      </c>
      <c r="E21" s="142">
        <f>Population!D21/(Population!C21/D21*(1+Area!C21)^(2019-2011))</f>
        <v>454.98408710195969</v>
      </c>
      <c r="F21" s="143" t="s">
        <v>110</v>
      </c>
      <c r="G21" s="131">
        <f>Population!D21/((Population!D21/E21)*(1+C21))</f>
        <v>461.4443074056386</v>
      </c>
      <c r="H21" s="131">
        <f>Population!E21/((Population!E21/G21)*(1+C21))</f>
        <v>467.99625497529269</v>
      </c>
      <c r="I21" s="131">
        <f>Population!F21/((Population!F21/H21)*(1+C21))</f>
        <v>474.64123222646322</v>
      </c>
      <c r="J21" s="131">
        <f>Population!G21/((Population!G21/I21)*(1+C21))</f>
        <v>481.38056006740692</v>
      </c>
      <c r="K21" s="131">
        <f>Population!H21/((Population!H21/J21)*(1+C21))</f>
        <v>488.21557816167029</v>
      </c>
      <c r="L21" s="131">
        <f>Population!I21/((Population!I21/K21)*(1+C21))</f>
        <v>495.14764519439183</v>
      </c>
      <c r="M21" s="131">
        <f>Population!J21/((Population!J21/L21)*(1+C21))</f>
        <v>502.17813914238519</v>
      </c>
      <c r="N21" s="131">
        <f>Population!K21/((Population!K21/M21)*(1+C21))</f>
        <v>509.30845754805802</v>
      </c>
      <c r="O21" s="131">
        <f>Population!L21/((Population!L21/N21)*(1+C21))</f>
        <v>516.54001779721909</v>
      </c>
      <c r="P21" s="131">
        <f>Population!M21/((Population!M21/O21)*(1+C21))</f>
        <v>523.87425740083074</v>
      </c>
      <c r="Q21" s="131">
        <f>Population!N21/((Population!N21/P21)*(1+C21))</f>
        <v>531.31263428076147</v>
      </c>
    </row>
    <row r="22" spans="1:17" ht="15" customHeight="1" x14ac:dyDescent="0.35">
      <c r="A22" s="128">
        <v>21</v>
      </c>
      <c r="B22" s="129" t="s">
        <v>79</v>
      </c>
      <c r="C22" s="132">
        <v>3.9E-2</v>
      </c>
      <c r="D22" s="133">
        <f>705*(1+C22)^5</f>
        <v>853.62446743758471</v>
      </c>
      <c r="E22" s="133">
        <f>705*(1+C22)^5</f>
        <v>853.62446743758471</v>
      </c>
      <c r="F22" s="143" t="s">
        <v>111</v>
      </c>
      <c r="G22" s="131">
        <f>Population!D22/((Population!D22/E22)*(1+C22))</f>
        <v>821.58274055590448</v>
      </c>
      <c r="H22" s="131">
        <f>Population!E22/((Population!E22/G22)*(1+C22))</f>
        <v>790.74373489499953</v>
      </c>
      <c r="I22" s="131">
        <f>Population!F22/((Population!F22/H22)*(1+C22))</f>
        <v>761.06230499999947</v>
      </c>
      <c r="J22" s="131">
        <f>Population!G22/((Population!G22/I22)*(1+C22))</f>
        <v>732.49499999999955</v>
      </c>
      <c r="K22" s="131">
        <f>Population!H22/((Population!H22/J22)*(1+C22))</f>
        <v>704.99999999999966</v>
      </c>
      <c r="L22" s="131">
        <f>Population!I22/((Population!I22/K22)*(1+C22))</f>
        <v>678.53705486044248</v>
      </c>
      <c r="M22" s="131">
        <f>Population!J22/((Population!J22/L22)*(1+C22))</f>
        <v>653.06742527472818</v>
      </c>
      <c r="N22" s="131">
        <f>Population!K22/((Population!K22/M22)*(1+C22))</f>
        <v>628.55382605844875</v>
      </c>
      <c r="O22" s="131">
        <f>Population!L22/((Population!L22/N22)*(1+C22))</f>
        <v>604.96037156732325</v>
      </c>
      <c r="P22" s="131">
        <f>Population!M22/((Population!M22/O22)*(1+C22))</f>
        <v>582.25252316393005</v>
      </c>
      <c r="Q22" s="131">
        <f>Population!N22/((Population!N22/P22)*(1+C22))</f>
        <v>560.39703865633305</v>
      </c>
    </row>
    <row r="23" spans="1:17" ht="15" customHeight="1" x14ac:dyDescent="0.35">
      <c r="A23" s="128">
        <v>22</v>
      </c>
      <c r="B23" s="129" t="s">
        <v>80</v>
      </c>
      <c r="C23" s="130">
        <f>Variables!$C$14</f>
        <v>-1.4E-2</v>
      </c>
      <c r="D23" s="133">
        <v>782</v>
      </c>
      <c r="E23" s="142">
        <f>Population!D23/(Population!C23/D23*(1+Area!C23)^(2019-2011))</f>
        <v>1055.7790982603337</v>
      </c>
      <c r="F23" s="143" t="s">
        <v>110</v>
      </c>
      <c r="G23" s="131">
        <f>Population!D23/((Population!D23/E23)*(1+C23))</f>
        <v>1070.7698765317787</v>
      </c>
      <c r="H23" s="131">
        <f>Population!E23/((Population!E23/G23)*(1+C23))</f>
        <v>1085.9735056103232</v>
      </c>
      <c r="I23" s="131">
        <f>Population!F23/((Population!F23/H23)*(1+C23))</f>
        <v>1101.3930077183807</v>
      </c>
      <c r="J23" s="131">
        <f>Population!G23/((Population!G23/I23)*(1+C23))</f>
        <v>1117.031447990244</v>
      </c>
      <c r="K23" s="131">
        <f>Population!H23/((Population!H23/J23)*(1+C23))</f>
        <v>1132.8919350813833</v>
      </c>
      <c r="L23" s="131">
        <f>Population!I23/((Population!I23/K23)*(1+C23))</f>
        <v>1148.9776217863928</v>
      </c>
      <c r="M23" s="131">
        <f>Population!J23/((Population!J23/L23)*(1+C23))</f>
        <v>1165.2917056657127</v>
      </c>
      <c r="N23" s="131">
        <f>Population!K23/((Population!K23/M23)*(1+C23))</f>
        <v>1181.8374296812503</v>
      </c>
      <c r="O23" s="131">
        <f>Population!L23/((Population!L23/N23)*(1+C23))</f>
        <v>1198.6180828410247</v>
      </c>
      <c r="P23" s="131">
        <f>Population!M23/((Population!M23/O23)*(1+C23))</f>
        <v>1215.6370008529664</v>
      </c>
      <c r="Q23" s="131">
        <f>Population!N23/((Population!N23/P23)*(1+C23))</f>
        <v>1232.8975667879984</v>
      </c>
    </row>
    <row r="24" spans="1:17" ht="15" customHeight="1" x14ac:dyDescent="0.35">
      <c r="A24" s="128">
        <v>23</v>
      </c>
      <c r="B24" s="129" t="s">
        <v>81</v>
      </c>
      <c r="C24" s="130">
        <f>Variables!$C$14</f>
        <v>-1.4E-2</v>
      </c>
      <c r="D24" s="134">
        <v>78.5</v>
      </c>
      <c r="E24" s="142">
        <f>Population!D24/(Population!C24/D24*(1+Area!C24)^(2019-2015))</f>
        <v>100.17137226140898</v>
      </c>
      <c r="F24" s="143" t="s">
        <v>127</v>
      </c>
      <c r="G24" s="131">
        <f>Population!D24/((Population!D24/E24)*(1+C24))</f>
        <v>101.59368383510039</v>
      </c>
      <c r="H24" s="131">
        <f>Population!E24/((Population!E24/G24)*(1+C24))</f>
        <v>103.03619050213022</v>
      </c>
      <c r="I24" s="131">
        <f>Population!F24/((Population!F24/H24)*(1+C24))</f>
        <v>104.49917900824568</v>
      </c>
      <c r="J24" s="131">
        <f>Population!G24/((Population!G24/I24)*(1+C24))</f>
        <v>105.98294017063456</v>
      </c>
      <c r="K24" s="131">
        <f>Population!H24/((Population!H24/J24)*(1+C24))</f>
        <v>107.48776893573485</v>
      </c>
      <c r="L24" s="131">
        <f>Population!I24/((Population!I24/K24)*(1+C24))</f>
        <v>109.01396443786496</v>
      </c>
      <c r="M24" s="131">
        <f>Population!J24/((Population!J24/L24)*(1+C24))</f>
        <v>110.56183005868657</v>
      </c>
      <c r="N24" s="131">
        <f>Population!K24/((Population!K24/M24)*(1+C24))</f>
        <v>112.13167348751172</v>
      </c>
      <c r="O24" s="131">
        <f>Population!L24/((Population!L24/N24)*(1+C24))</f>
        <v>113.72380678246626</v>
      </c>
      <c r="P24" s="131">
        <f>Population!M24/((Population!M24/O24)*(1+C24))</f>
        <v>115.33854643252155</v>
      </c>
      <c r="Q24" s="131">
        <f>Population!N24/((Population!N24/P24)*(1+C24))</f>
        <v>116.97621342040725</v>
      </c>
    </row>
    <row r="25" spans="1:17" ht="15" customHeight="1" x14ac:dyDescent="0.35">
      <c r="A25" s="128">
        <v>24</v>
      </c>
      <c r="B25" s="129" t="s">
        <v>82</v>
      </c>
      <c r="C25" s="130">
        <f>Variables!$C$14</f>
        <v>-1.4E-2</v>
      </c>
      <c r="D25" s="133">
        <v>76</v>
      </c>
      <c r="E25" s="142">
        <f>Population!D25/(Population!C25/D25*(1+Area!C25)^(2019-2011))</f>
        <v>102.60768729895828</v>
      </c>
      <c r="F25" s="143" t="s">
        <v>110</v>
      </c>
      <c r="G25" s="131">
        <f>Population!D25/((Population!D25/E25)*(1+C25))</f>
        <v>104.06459158109359</v>
      </c>
      <c r="H25" s="131">
        <f>Population!E25/((Population!E25/G25)*(1+C25))</f>
        <v>105.54218213092658</v>
      </c>
      <c r="I25" s="131">
        <f>Population!F25/((Population!F25/H25)*(1+C25))</f>
        <v>107.04075266828254</v>
      </c>
      <c r="J25" s="131">
        <f>Population!G25/((Population!G25/I25)*(1+C25))</f>
        <v>108.56060108345085</v>
      </c>
      <c r="K25" s="131">
        <f>Population!H25/((Population!H25/J25)*(1+C25))</f>
        <v>110.10202949640046</v>
      </c>
      <c r="L25" s="131">
        <f>Population!I25/((Population!I25/K25)*(1+C25))</f>
        <v>111.66534431683617</v>
      </c>
      <c r="M25" s="131">
        <f>Population!J25/((Population!J25/L25)*(1+C25))</f>
        <v>113.25085630510767</v>
      </c>
      <c r="N25" s="131">
        <f>Population!K25/((Population!K25/M25)*(1+C25))</f>
        <v>114.85888063398343</v>
      </c>
      <c r="O25" s="131">
        <f>Population!L25/((Population!L25/N25)*(1+C25))</f>
        <v>116.48973695130168</v>
      </c>
      <c r="P25" s="131">
        <f>Population!M25/((Population!M25/O25)*(1+C25))</f>
        <v>118.14374944351083</v>
      </c>
      <c r="Q25" s="131">
        <f>Population!N25/((Population!N25/P25)*(1+C25))</f>
        <v>119.8212469001124</v>
      </c>
    </row>
    <row r="26" spans="1:17" ht="15" customHeight="1" x14ac:dyDescent="0.35">
      <c r="A26" s="128">
        <v>25</v>
      </c>
      <c r="B26" s="129" t="s">
        <v>83</v>
      </c>
      <c r="C26" s="130">
        <f>Variables!$C$14</f>
        <v>-1.4E-2</v>
      </c>
      <c r="D26" s="133">
        <v>135</v>
      </c>
      <c r="E26" s="142">
        <f>Population!D26/(Population!C26/D26*(1+Area!C26)^(2019-2011))</f>
        <v>182.26365507051801</v>
      </c>
      <c r="F26" s="143" t="s">
        <v>110</v>
      </c>
      <c r="G26" s="131">
        <f>Population!D26/((Population!D26/E26)*(1+C26))</f>
        <v>184.85157715062678</v>
      </c>
      <c r="H26" s="131">
        <f>Population!E26/((Population!E26/G26)*(1+C26))</f>
        <v>187.47624457467219</v>
      </c>
      <c r="I26" s="131">
        <f>Population!F26/((Population!F26/H26)*(1+C26))</f>
        <v>190.13817908181764</v>
      </c>
      <c r="J26" s="131">
        <f>Population!G26/((Population!G26/I26)*(1+C26))</f>
        <v>192.83790981928766</v>
      </c>
      <c r="K26" s="131">
        <f>Population!H26/((Population!H26/J26)*(1+C26))</f>
        <v>195.57597344755342</v>
      </c>
      <c r="L26" s="131">
        <f>Population!I26/((Population!I26/K26)*(1+C26))</f>
        <v>198.3529142470116</v>
      </c>
      <c r="M26" s="131">
        <f>Population!J26/((Population!J26/L26)*(1+C26))</f>
        <v>201.16928422617809</v>
      </c>
      <c r="N26" s="131">
        <f>Population!K26/((Population!K26/M26)*(1+C26))</f>
        <v>204.02564323141792</v>
      </c>
      <c r="O26" s="131">
        <f>Population!L26/((Population!L26/N26)*(1+C26))</f>
        <v>206.92255905823316</v>
      </c>
      <c r="P26" s="131">
        <f>Population!M26/((Population!M26/O26)*(1+C26))</f>
        <v>209.86060756413102</v>
      </c>
      <c r="Q26" s="131">
        <f>Population!N26/((Population!N26/P26)*(1+C26))</f>
        <v>212.84037278309432</v>
      </c>
    </row>
    <row r="27" spans="1:17" ht="15" customHeight="1" x14ac:dyDescent="0.35">
      <c r="A27" s="128">
        <v>26</v>
      </c>
      <c r="B27" s="129" t="s">
        <v>84</v>
      </c>
      <c r="C27" s="130">
        <f>Variables!$C$14</f>
        <v>-1.4E-2</v>
      </c>
      <c r="D27" s="133">
        <v>482</v>
      </c>
      <c r="E27" s="142">
        <f>Population!D27/(Population!C27/D27*(1+Area!C27)^(2019-2011))</f>
        <v>650.74875365918274</v>
      </c>
      <c r="F27" s="143" t="s">
        <v>110</v>
      </c>
      <c r="G27" s="131">
        <f>Population!D27/((Population!D27/E27)*(1+C27))</f>
        <v>659.98859397483045</v>
      </c>
      <c r="H27" s="131">
        <f>Population!E27/((Population!E27/G27)*(1+C27))</f>
        <v>669.35962877771863</v>
      </c>
      <c r="I27" s="131">
        <f>Population!F27/((Population!F27/H27)*(1+C27))</f>
        <v>678.86372086989718</v>
      </c>
      <c r="J27" s="131">
        <f>Population!G27/((Population!G27/I27)*(1+C27))</f>
        <v>688.50275950293826</v>
      </c>
      <c r="K27" s="131">
        <f>Population!H27/((Population!H27/J27)*(1+C27))</f>
        <v>698.27866075348709</v>
      </c>
      <c r="L27" s="131">
        <f>Population!I27/((Population!I27/K27)*(1+C27))</f>
        <v>708.19336790414502</v>
      </c>
      <c r="M27" s="131">
        <f>Population!J27/((Population!J27/L27)*(1+C27))</f>
        <v>718.24885182976175</v>
      </c>
      <c r="N27" s="131">
        <f>Population!K27/((Population!K27/M27)*(1+C27))</f>
        <v>728.44711138921059</v>
      </c>
      <c r="O27" s="131">
        <f>Population!L27/((Population!L27/N27)*(1+C27))</f>
        <v>738.79017382272878</v>
      </c>
      <c r="P27" s="131">
        <f>Population!M27/((Population!M27/O27)*(1+C27))</f>
        <v>749.28009515489737</v>
      </c>
      <c r="Q27" s="131">
        <f>Population!N27/((Population!N27/P27)*(1+C27))</f>
        <v>759.91896060334409</v>
      </c>
    </row>
    <row r="28" spans="1:17" ht="15" customHeight="1" x14ac:dyDescent="0.35">
      <c r="A28" s="128">
        <v>27</v>
      </c>
      <c r="B28" s="129" t="s">
        <v>85</v>
      </c>
      <c r="C28" s="130">
        <f>Variables!$C$14</f>
        <v>-1.4E-2</v>
      </c>
      <c r="D28" s="134">
        <v>95.22</v>
      </c>
      <c r="E28" s="142">
        <f>Population!D28/(Population!C28/D28*(1+Area!C28)^(2019-2015))</f>
        <v>121.50723651887085</v>
      </c>
      <c r="F28" s="143" t="s">
        <v>128</v>
      </c>
      <c r="G28" s="131">
        <f>Population!D28/((Population!D28/E28)*(1+C28))</f>
        <v>123.23249139844914</v>
      </c>
      <c r="H28" s="131">
        <f>Population!E28/((Population!E28/G28)*(1+C28))</f>
        <v>124.98224279761575</v>
      </c>
      <c r="I28" s="131">
        <f>Population!F28/((Population!F28/H28)*(1+C28))</f>
        <v>126.75683853713566</v>
      </c>
      <c r="J28" s="131">
        <f>Population!G28/((Population!G28/I28)*(1+C28))</f>
        <v>128.55663137640533</v>
      </c>
      <c r="K28" s="131">
        <f>Population!H28/((Population!H28/J28)*(1+C28))</f>
        <v>130.3819790835754</v>
      </c>
      <c r="L28" s="131">
        <f>Population!I28/((Population!I28/K28)*(1+C28))</f>
        <v>132.23324450666877</v>
      </c>
      <c r="M28" s="131">
        <f>Population!J28/((Population!J28/L28)*(1+C28))</f>
        <v>134.11079564570872</v>
      </c>
      <c r="N28" s="131">
        <f>Population!K28/((Population!K28/M28)*(1+C28))</f>
        <v>136.01500572587091</v>
      </c>
      <c r="O28" s="131">
        <f>Population!L28/((Population!L28/N28)*(1+C28))</f>
        <v>137.94625327167438</v>
      </c>
      <c r="P28" s="131">
        <f>Population!M28/((Population!M28/O28)*(1+C28))</f>
        <v>139.90492218222553</v>
      </c>
      <c r="Q28" s="131">
        <f>Population!N28/((Population!N28/P28)*(1+C28))</f>
        <v>141.89140180753097</v>
      </c>
    </row>
    <row r="29" spans="1:17" ht="15" customHeight="1" x14ac:dyDescent="0.35">
      <c r="A29" s="128">
        <v>28</v>
      </c>
      <c r="B29" s="129" t="s">
        <v>86</v>
      </c>
      <c r="C29" s="130">
        <f>Variables!$C$14</f>
        <v>-1.4E-2</v>
      </c>
      <c r="D29" s="133">
        <v>116</v>
      </c>
      <c r="E29" s="142">
        <f>Population!D29/(Population!C29/D29*(1+Area!C29)^(2019-2011))</f>
        <v>156.6117332457784</v>
      </c>
      <c r="F29" s="143" t="s">
        <v>110</v>
      </c>
      <c r="G29" s="131">
        <f>Population!D29/((Population!D29/E29)*(1+C29))</f>
        <v>158.83542925535335</v>
      </c>
      <c r="H29" s="131">
        <f>Population!E29/((Population!E29/G29)*(1+C29))</f>
        <v>161.0906990419405</v>
      </c>
      <c r="I29" s="131">
        <f>Population!F29/((Population!F29/H29)*(1+C29))</f>
        <v>163.37799091474696</v>
      </c>
      <c r="J29" s="131">
        <f>Population!G29/((Population!G29/I29)*(1+C29))</f>
        <v>165.6977595484249</v>
      </c>
      <c r="K29" s="131">
        <f>Population!H29/((Population!H29/J29)*(1+C29))</f>
        <v>168.05046607345324</v>
      </c>
      <c r="L29" s="131">
        <f>Population!I29/((Population!I29/K29)*(1+C29))</f>
        <v>170.43657816780245</v>
      </c>
      <c r="M29" s="131">
        <f>Population!J29/((Population!J29/L29)*(1+C29))</f>
        <v>172.85657014990107</v>
      </c>
      <c r="N29" s="131">
        <f>Population!K29/((Population!K29/M29)*(1+C29))</f>
        <v>175.31092307292198</v>
      </c>
      <c r="O29" s="131">
        <f>Population!L29/((Population!L29/N29)*(1+C29))</f>
        <v>177.80012482040769</v>
      </c>
      <c r="P29" s="131">
        <f>Population!M29/((Population!M29/O29)*(1+C29))</f>
        <v>180.32467020325325</v>
      </c>
      <c r="Q29" s="131">
        <f>Population!N29/((Population!N29/P29)*(1+C29))</f>
        <v>182.88506105806621</v>
      </c>
    </row>
    <row r="30" spans="1:17" ht="15" customHeight="1" x14ac:dyDescent="0.35">
      <c r="A30" s="128">
        <v>29</v>
      </c>
      <c r="B30" s="129" t="s">
        <v>87</v>
      </c>
      <c r="C30" s="130">
        <f>Variables!$C$14</f>
        <v>-1.4E-2</v>
      </c>
      <c r="D30" s="133">
        <v>652</v>
      </c>
      <c r="E30" s="142">
        <f>Population!D30/(Population!C30/D30*(1+Area!C30)^(2019-2011))</f>
        <v>880.26594893316826</v>
      </c>
      <c r="F30" s="143" t="s">
        <v>110</v>
      </c>
      <c r="G30" s="131">
        <f>Population!D30/((Population!D30/E30)*(1+C30))</f>
        <v>892.76465409043442</v>
      </c>
      <c r="H30" s="131">
        <f>Population!E30/((Population!E30/G30)*(1+C30))</f>
        <v>905.44082564952782</v>
      </c>
      <c r="I30" s="131">
        <f>Population!F30/((Population!F30/H30)*(1+C30))</f>
        <v>918.29698341737105</v>
      </c>
      <c r="J30" s="131">
        <f>Population!G30/((Population!G30/I30)*(1+C30))</f>
        <v>931.33568297907811</v>
      </c>
      <c r="K30" s="131">
        <f>Population!H30/((Population!H30/J30)*(1+C30))</f>
        <v>944.55951620596159</v>
      </c>
      <c r="L30" s="131">
        <f>Population!I30/((Population!I30/K30)*(1+C30))</f>
        <v>957.97111177075215</v>
      </c>
      <c r="M30" s="131">
        <f>Population!J30/((Population!J30/L30)*(1+C30))</f>
        <v>971.57313567013409</v>
      </c>
      <c r="N30" s="131">
        <f>Population!K30/((Population!K30/M30)*(1+C30))</f>
        <v>985.36829175469995</v>
      </c>
      <c r="O30" s="131">
        <f>Population!L30/((Population!L30/N30)*(1+C30))</f>
        <v>999.3593222664299</v>
      </c>
      <c r="P30" s="131">
        <f>Population!M30/((Population!M30/O30)*(1+C30))</f>
        <v>1013.5490083838031</v>
      </c>
      <c r="Q30" s="131">
        <f>Population!N30/((Population!N30/P30)*(1+C30))</f>
        <v>1027.9401707746481</v>
      </c>
    </row>
    <row r="31" spans="1:17" ht="15" customHeight="1" x14ac:dyDescent="0.35">
      <c r="A31" s="128">
        <v>30</v>
      </c>
      <c r="B31" s="129" t="s">
        <v>88</v>
      </c>
      <c r="C31" s="130">
        <f>Variables!$C$14</f>
        <v>-1.4E-2</v>
      </c>
      <c r="D31" s="133">
        <v>65</v>
      </c>
      <c r="E31" s="142">
        <f>Population!D31/(Population!C31/D31*(1+Area!C31)^(2019-2011))</f>
        <v>87.75657466358274</v>
      </c>
      <c r="F31" s="143" t="s">
        <v>110</v>
      </c>
      <c r="G31" s="131">
        <f>Population!D31/((Population!D31/E31)*(1+C31))</f>
        <v>89.002611220672151</v>
      </c>
      <c r="H31" s="131">
        <f>Population!E31/((Population!E31/G31)*(1+C31))</f>
        <v>90.266339980397717</v>
      </c>
      <c r="I31" s="131">
        <f>Population!F31/((Population!F31/H31)*(1+C31))</f>
        <v>91.548012150504789</v>
      </c>
      <c r="J31" s="131">
        <f>Population!G31/((Population!G31/I31)*(1+C31))</f>
        <v>92.847882505582959</v>
      </c>
      <c r="K31" s="131">
        <f>Population!H31/((Population!H31/J31)*(1+C31))</f>
        <v>94.166209437710918</v>
      </c>
      <c r="L31" s="131">
        <f>Population!I31/((Population!I31/K31)*(1+C31))</f>
        <v>95.5032550078204</v>
      </c>
      <c r="M31" s="131">
        <f>Population!J31/((Population!J31/L31)*(1+C31))</f>
        <v>96.859284997789459</v>
      </c>
      <c r="N31" s="131">
        <f>Population!K31/((Population!K31/M31)*(1+C31))</f>
        <v>98.234568963275322</v>
      </c>
      <c r="O31" s="131">
        <f>Population!L31/((Population!L31/N31)*(1+C31))</f>
        <v>99.629380287297494</v>
      </c>
      <c r="P31" s="131">
        <f>Population!M31/((Population!M31/O31)*(1+C31))</f>
        <v>101.04399623458164</v>
      </c>
      <c r="Q31" s="131">
        <f>Population!N31/((Population!N31/P31)*(1+C31))</f>
        <v>102.4786980066751</v>
      </c>
    </row>
    <row r="32" spans="1:17" ht="15" customHeight="1" x14ac:dyDescent="0.35">
      <c r="A32" s="128">
        <v>31</v>
      </c>
      <c r="B32" s="129" t="s">
        <v>89</v>
      </c>
      <c r="C32" s="130">
        <f>Variables!$C$14</f>
        <v>-1.4E-2</v>
      </c>
      <c r="D32" s="133">
        <v>491</v>
      </c>
      <c r="E32" s="142">
        <f>Population!D32/(Population!C32/D32*(1+Area!C32)^(2019-2011))</f>
        <v>662.8996639972172</v>
      </c>
      <c r="F32" s="143" t="s">
        <v>110</v>
      </c>
      <c r="G32" s="131">
        <f>Population!D32/((Population!D32/E32)*(1+C32))</f>
        <v>672.31203245153881</v>
      </c>
      <c r="H32" s="131">
        <f>Population!E32/((Population!E32/G32)*(1+C32))</f>
        <v>681.85804508269655</v>
      </c>
      <c r="I32" s="131">
        <f>Population!F32/((Population!F32/H32)*(1+C32))</f>
        <v>691.53959947535145</v>
      </c>
      <c r="J32" s="131">
        <f>Population!G32/((Population!G32/I32)*(1+C32))</f>
        <v>701.35862015755731</v>
      </c>
      <c r="K32" s="131">
        <f>Population!H32/((Population!H32/J32)*(1+C32))</f>
        <v>711.31705898332393</v>
      </c>
      <c r="L32" s="131">
        <f>Population!I32/((Population!I32/K32)*(1+C32))</f>
        <v>721.41689552061246</v>
      </c>
      <c r="M32" s="131">
        <f>Population!J32/((Population!J32/L32)*(1+C32))</f>
        <v>731.66013744484019</v>
      </c>
      <c r="N32" s="131">
        <f>Population!K32/((Population!K32/M32)*(1+C32))</f>
        <v>742.04882093797175</v>
      </c>
      <c r="O32" s="131">
        <f>Population!L32/((Population!L32/N32)*(1+C32))</f>
        <v>752.58501109327767</v>
      </c>
      <c r="P32" s="131">
        <f>Population!M32/((Population!M32/O32)*(1+C32))</f>
        <v>763.27080232583955</v>
      </c>
      <c r="Q32" s="131">
        <f>Population!N32/((Population!N32/P32)*(1+C32))</f>
        <v>774.10831878888393</v>
      </c>
    </row>
    <row r="33" spans="1:17" ht="15" customHeight="1" x14ac:dyDescent="0.35">
      <c r="A33" s="128">
        <v>32</v>
      </c>
      <c r="B33" s="129" t="s">
        <v>90</v>
      </c>
      <c r="C33" s="130">
        <f>Variables!$C$14</f>
        <v>-1.4E-2</v>
      </c>
      <c r="D33" s="133">
        <v>29</v>
      </c>
      <c r="E33" s="142">
        <f>Population!D33/(Population!C33/D33*(1+Area!C33)^(2019-2011))</f>
        <v>39.152933311444599</v>
      </c>
      <c r="F33" s="143" t="s">
        <v>110</v>
      </c>
      <c r="G33" s="131">
        <f>Population!D33/((Population!D33/E33)*(1+C33))</f>
        <v>39.708857313838344</v>
      </c>
      <c r="H33" s="131">
        <f>Population!E33/((Population!E33/G33)*(1+C33))</f>
        <v>40.272674760485138</v>
      </c>
      <c r="I33" s="131">
        <f>Population!F33/((Population!F33/H33)*(1+C33))</f>
        <v>40.844497728686754</v>
      </c>
      <c r="J33" s="131">
        <f>Population!G33/((Population!G33/I33)*(1+C33))</f>
        <v>41.424439887106239</v>
      </c>
      <c r="K33" s="131">
        <f>Population!H33/((Population!H33/J33)*(1+C33))</f>
        <v>42.012616518363323</v>
      </c>
      <c r="L33" s="131">
        <f>Population!I33/((Population!I33/K33)*(1+C33))</f>
        <v>42.609144541950634</v>
      </c>
      <c r="M33" s="131">
        <f>Population!J33/((Population!J33/L33)*(1+C33))</f>
        <v>43.21414253747529</v>
      </c>
      <c r="N33" s="131">
        <f>Population!K33/((Population!K33/M33)*(1+C33))</f>
        <v>43.827730768230516</v>
      </c>
      <c r="O33" s="131">
        <f>Population!L33/((Population!L33/N33)*(1+C33))</f>
        <v>44.450031205101943</v>
      </c>
      <c r="P33" s="131">
        <f>Population!M33/((Population!M33/O33)*(1+C33))</f>
        <v>45.081167550813326</v>
      </c>
      <c r="Q33" s="131">
        <f>Population!N33/((Population!N33/P33)*(1+C33))</f>
        <v>45.721265264516553</v>
      </c>
    </row>
    <row r="34" spans="1:17" ht="15" customHeight="1" x14ac:dyDescent="0.35">
      <c r="A34" s="128">
        <v>33</v>
      </c>
      <c r="B34" s="129" t="s">
        <v>91</v>
      </c>
      <c r="C34" s="130">
        <f>Variables!$C$14</f>
        <v>-1.4E-2</v>
      </c>
      <c r="D34" s="133">
        <v>242</v>
      </c>
      <c r="E34" s="142">
        <f>Population!D34/(Population!C34/D34*(1+Area!C34)^(2019-2011))</f>
        <v>326.7244779782618</v>
      </c>
      <c r="F34" s="143" t="s">
        <v>110</v>
      </c>
      <c r="G34" s="131">
        <f>Population!D34/((Population!D34/E34)*(1+C34))</f>
        <v>331.3635679292716</v>
      </c>
      <c r="H34" s="131">
        <f>Population!E34/((Population!E34/G34)*(1+C34))</f>
        <v>336.06852731163451</v>
      </c>
      <c r="I34" s="131">
        <f>Population!F34/((Population!F34/H34)*(1+C34))</f>
        <v>340.84029139111004</v>
      </c>
      <c r="J34" s="131">
        <f>Population!G34/((Population!G34/I34)*(1+C34))</f>
        <v>345.67980871309334</v>
      </c>
      <c r="K34" s="131">
        <f>Population!H34/((Population!H34/J34)*(1+C34))</f>
        <v>350.5880412911697</v>
      </c>
      <c r="L34" s="131">
        <f>Population!I34/((Population!I34/K34)*(1+C34))</f>
        <v>355.56596479834656</v>
      </c>
      <c r="M34" s="131">
        <f>Population!J34/((Population!J34/L34)*(1+C34))</f>
        <v>360.61456876100056</v>
      </c>
      <c r="N34" s="131">
        <f>Population!K34/((Population!K34/M34)*(1+C34))</f>
        <v>365.73485675557868</v>
      </c>
      <c r="O34" s="131">
        <f>Population!L34/((Population!L34/N34)*(1+C34))</f>
        <v>370.92784660809195</v>
      </c>
      <c r="P34" s="131">
        <f>Population!M34/((Population!M34/O34)*(1+C34))</f>
        <v>376.19457059644219</v>
      </c>
      <c r="Q34" s="131">
        <f>Population!N34/((Population!N34/P34)*(1+C34))</f>
        <v>381.53607565562089</v>
      </c>
    </row>
    <row r="35" spans="1:17" ht="15" customHeight="1" x14ac:dyDescent="0.35">
      <c r="A35" s="128">
        <v>34</v>
      </c>
      <c r="B35" s="129" t="s">
        <v>92</v>
      </c>
      <c r="C35" s="130">
        <f>Variables!$C$14</f>
        <v>-1.4E-2</v>
      </c>
      <c r="D35" s="135">
        <v>98</v>
      </c>
      <c r="E35" s="135">
        <f>Population!C35/((Population!C35/98)*(1+C35))</f>
        <v>99.391480730223122</v>
      </c>
      <c r="F35" s="136" t="s">
        <v>112</v>
      </c>
      <c r="G35" s="131">
        <f>Population!D35/((Population!D35/E35)*(1+C35))</f>
        <v>100.80271879332975</v>
      </c>
      <c r="H35" s="131">
        <f>Population!E35/((Population!E35/G35)*(1+C35))</f>
        <v>102.23399471940137</v>
      </c>
      <c r="I35" s="131">
        <f>Population!F35/((Population!F35/H35)*(1+C35))</f>
        <v>103.68559302170523</v>
      </c>
      <c r="J35" s="131">
        <f>Population!G35/((Population!G35/I35)*(1+C35))</f>
        <v>105.15780225325075</v>
      </c>
      <c r="K35" s="131">
        <f>Population!H35/((Population!H35/J35)*(1+C35))</f>
        <v>106.65091506414885</v>
      </c>
      <c r="L35" s="131">
        <f>Population!I35/((Population!I35/K35)*(1+C35))</f>
        <v>108.16522825978586</v>
      </c>
      <c r="M35" s="131">
        <f>Population!J35/((Population!J35/L35)*(1+C35))</f>
        <v>109.7010428598234</v>
      </c>
      <c r="N35" s="131">
        <f>Population!K35/((Population!K35/M35)*(1+C35))</f>
        <v>111.25866415803591</v>
      </c>
      <c r="O35" s="131">
        <f>Population!L35/((Population!L35/N35)*(1+C35))</f>
        <v>112.83840178299789</v>
      </c>
      <c r="P35" s="131">
        <f>Population!M35/((Population!M35/O35)*(1+C35))</f>
        <v>114.44056975963275</v>
      </c>
      <c r="Q35" s="131">
        <f>Population!N35/((Population!N35/P35)*(1+C35))</f>
        <v>116.06548657163565</v>
      </c>
    </row>
    <row r="36" spans="1:17" ht="15" customHeight="1" x14ac:dyDescent="0.35">
      <c r="A36" s="128">
        <v>35</v>
      </c>
      <c r="B36" s="129" t="s">
        <v>93</v>
      </c>
      <c r="C36" s="130">
        <f>Variables!$C$14</f>
        <v>-1.4E-2</v>
      </c>
      <c r="D36" s="137">
        <v>33.799999999999997</v>
      </c>
      <c r="E36" s="137">
        <v>33.799999999999997</v>
      </c>
      <c r="F36" s="143" t="s">
        <v>126</v>
      </c>
      <c r="G36" s="131">
        <f>Population!D36/((Population!D36/E36)*(1+C36))</f>
        <v>34.279918864097361</v>
      </c>
      <c r="H36" s="131">
        <f>Population!E36/((Population!E36/G36)*(1+C36))</f>
        <v>34.766651991985157</v>
      </c>
      <c r="I36" s="131">
        <f>Population!F36/((Population!F36/H36)*(1+C36))</f>
        <v>35.260296137915979</v>
      </c>
      <c r="J36" s="131">
        <f>Population!G36/((Population!G36/I36)*(1+C36))</f>
        <v>35.760949429935067</v>
      </c>
      <c r="K36" s="131">
        <f>Population!H36/((Population!H36/J36)*(1+C36))</f>
        <v>36.268711389386475</v>
      </c>
      <c r="L36" s="131">
        <f>Population!I36/((Population!I36/K36)*(1+C36))</f>
        <v>36.783682950696225</v>
      </c>
      <c r="M36" s="131">
        <f>Population!J36/((Population!J36/L36)*(1+C36))</f>
        <v>37.305966481436329</v>
      </c>
      <c r="N36" s="131">
        <f>Population!K36/((Population!K36/M36)*(1+C36))</f>
        <v>37.835665802673759</v>
      </c>
      <c r="O36" s="131">
        <f>Population!L36/((Population!L36/N36)*(1+C36))</f>
        <v>38.372886209608275</v>
      </c>
      <c r="P36" s="131">
        <f>Population!M36/((Population!M36/O36)*(1+C36))</f>
        <v>38.917734492503321</v>
      </c>
      <c r="Q36" s="131">
        <f>Population!N36/((Population!N36/P36)*(1+C36))</f>
        <v>39.470318957914117</v>
      </c>
    </row>
    <row r="37" spans="1:17" ht="15" customHeight="1" x14ac:dyDescent="0.35">
      <c r="A37" s="128">
        <v>36</v>
      </c>
      <c r="B37" s="129" t="s">
        <v>94</v>
      </c>
      <c r="C37" s="130">
        <f>Variables!$C$14</f>
        <v>-1.4E-2</v>
      </c>
      <c r="D37" s="137">
        <v>63.3</v>
      </c>
      <c r="E37" s="137">
        <v>63.3</v>
      </c>
      <c r="F37" s="143" t="s">
        <v>126</v>
      </c>
      <c r="G37" s="131">
        <f>Population!D37/((Population!D37/E37)*(1+C37))</f>
        <v>64.198782961460452</v>
      </c>
      <c r="H37" s="131">
        <f>Population!E37/((Population!E37/G37)*(1+C37))</f>
        <v>65.110327547120136</v>
      </c>
      <c r="I37" s="131">
        <f>Population!F37/((Population!F37/H37)*(1+C37))</f>
        <v>66.034814956511298</v>
      </c>
      <c r="J37" s="131">
        <f>Population!G37/((Population!G37/I37)*(1+C37))</f>
        <v>66.972428961979006</v>
      </c>
      <c r="K37" s="131">
        <f>Population!H37/((Population!H37/J37)*(1+C37))</f>
        <v>67.923355945211981</v>
      </c>
      <c r="L37" s="131">
        <f>Population!I37/((Population!I37/K37)*(1+C37))</f>
        <v>68.887784934292071</v>
      </c>
      <c r="M37" s="131">
        <f>Population!J37/((Population!J37/L37)*(1+C37))</f>
        <v>69.865907641269843</v>
      </c>
      <c r="N37" s="131">
        <f>Population!K37/((Population!K37/M37)*(1+C37))</f>
        <v>70.857918500273669</v>
      </c>
      <c r="O37" s="131">
        <f>Population!L37/((Population!L37/N37)*(1+C37))</f>
        <v>71.864014706159907</v>
      </c>
      <c r="P37" s="131">
        <f>Population!M37/((Population!M37/O37)*(1+C37))</f>
        <v>72.884396253711884</v>
      </c>
      <c r="Q37" s="131">
        <f>Population!N37/((Population!N37/P37)*(1+C37))</f>
        <v>73.919265977395426</v>
      </c>
    </row>
    <row r="38" spans="1:17" ht="15" customHeight="1" x14ac:dyDescent="0.35">
      <c r="A38" s="128">
        <v>37</v>
      </c>
      <c r="B38" s="129" t="s">
        <v>95</v>
      </c>
      <c r="C38" s="130">
        <f>Variables!$C$14</f>
        <v>-1.4E-2</v>
      </c>
      <c r="D38" s="137">
        <v>26.6</v>
      </c>
      <c r="E38" s="137">
        <v>26.6</v>
      </c>
      <c r="F38" s="143" t="s">
        <v>126</v>
      </c>
      <c r="G38" s="131">
        <f>Population!D38/((Population!D38/E38)*(1+C38))</f>
        <v>26.977687626774848</v>
      </c>
      <c r="H38" s="131">
        <f>Population!E38/((Population!E38/G38)*(1+C38))</f>
        <v>27.3607379581895</v>
      </c>
      <c r="I38" s="131">
        <f>Population!F38/((Population!F38/H38)*(1+C38))</f>
        <v>27.749227138123228</v>
      </c>
      <c r="J38" s="131">
        <f>Population!G38/((Population!G38/I38)*(1+C38))</f>
        <v>28.143232391605704</v>
      </c>
      <c r="K38" s="131">
        <f>Population!H38/((Population!H38/J38)*(1+C38))</f>
        <v>28.542832040168062</v>
      </c>
      <c r="L38" s="131">
        <f>Population!I38/((Population!I38/K38)*(1+C38))</f>
        <v>28.948105517411829</v>
      </c>
      <c r="M38" s="131">
        <f>Population!J38/((Population!J38/L38)*(1+C38))</f>
        <v>29.359133384799016</v>
      </c>
      <c r="N38" s="131">
        <f>Population!K38/((Population!K38/M38)*(1+C38))</f>
        <v>29.775997347666344</v>
      </c>
      <c r="O38" s="131">
        <f>Population!L38/((Population!L38/N38)*(1+C38))</f>
        <v>30.19878027146688</v>
      </c>
      <c r="P38" s="131">
        <f>Population!M38/((Population!M38/O38)*(1+C38))</f>
        <v>30.62756619824227</v>
      </c>
      <c r="Q38" s="131">
        <f>Population!N38/((Population!N38/P38)*(1+C38))</f>
        <v>31.062440363328871</v>
      </c>
    </row>
    <row r="39" spans="1:17" ht="15" customHeight="1" x14ac:dyDescent="0.35">
      <c r="A39" s="128">
        <v>38</v>
      </c>
      <c r="B39" s="129" t="s">
        <v>96</v>
      </c>
      <c r="C39" s="130">
        <f>Variables!$C$14</f>
        <v>-1.4E-2</v>
      </c>
      <c r="D39" s="137">
        <v>107</v>
      </c>
      <c r="E39" s="137">
        <v>107</v>
      </c>
      <c r="F39" s="143" t="s">
        <v>126</v>
      </c>
      <c r="G39" s="131">
        <f>Population!D39/((Population!D39/E39)*(1+C39))</f>
        <v>108.51926977687629</v>
      </c>
      <c r="H39" s="131">
        <f>Population!E39/((Population!E39/G39)*(1+C39))</f>
        <v>110.06011133557433</v>
      </c>
      <c r="I39" s="131">
        <f>Population!F39/((Population!F39/H39)*(1+C39))</f>
        <v>111.62283096914231</v>
      </c>
      <c r="J39" s="131">
        <f>Population!G39/((Population!G39/I39)*(1+C39))</f>
        <v>113.20773931961695</v>
      </c>
      <c r="K39" s="131">
        <f>Population!H39/((Population!H39/J39)*(1+C39))</f>
        <v>114.81515143977377</v>
      </c>
      <c r="L39" s="131">
        <f>Population!I39/((Population!I39/K39)*(1+C39))</f>
        <v>116.44538685575434</v>
      </c>
      <c r="M39" s="131">
        <f>Population!J39/((Population!J39/L39)*(1+C39))</f>
        <v>118.0987696305825</v>
      </c>
      <c r="N39" s="131">
        <f>Population!K39/((Population!K39/M39)*(1+C39))</f>
        <v>119.77562842858266</v>
      </c>
      <c r="O39" s="131">
        <f>Population!L39/((Population!L39/N39)*(1+C39))</f>
        <v>121.47629658071266</v>
      </c>
      <c r="P39" s="131">
        <f>Population!M39/((Population!M39/O39)*(1+C39))</f>
        <v>123.2011121508242</v>
      </c>
      <c r="Q39" s="131">
        <f>Population!N39/((Population!N39/P39)*(1+C39))</f>
        <v>124.95041800286431</v>
      </c>
    </row>
    <row r="40" spans="1:17" ht="15" customHeight="1" x14ac:dyDescent="0.35">
      <c r="A40" s="138">
        <v>39</v>
      </c>
      <c r="B40" s="139" t="s">
        <v>97</v>
      </c>
      <c r="C40" s="130">
        <f>Variables!$C$14</f>
        <v>-1.4E-2</v>
      </c>
      <c r="D40" s="137">
        <v>25.5</v>
      </c>
      <c r="E40" s="137">
        <v>25.5</v>
      </c>
      <c r="F40" s="143" t="s">
        <v>126</v>
      </c>
      <c r="G40" s="131">
        <f>Population!D40/((Population!D40/E40)*(1+C40))</f>
        <v>25.862068965517242</v>
      </c>
      <c r="H40" s="131">
        <f>Population!E40/((Population!E40/G40)*(1+C40))</f>
        <v>26.229278869692944</v>
      </c>
      <c r="I40" s="131">
        <f>Population!F40/((Population!F40/H40)*(1+C40))</f>
        <v>26.601702707599337</v>
      </c>
      <c r="J40" s="131">
        <f>Population!G40/((Population!G40/I40)*(1+C40))</f>
        <v>26.979414510749837</v>
      </c>
      <c r="K40" s="131">
        <f>Population!H40/((Population!H40/J40)*(1+C40))</f>
        <v>27.36248936181525</v>
      </c>
      <c r="L40" s="131">
        <f>Population!I40/((Population!I40/K40)*(1+C40))</f>
        <v>27.751003409548932</v>
      </c>
      <c r="M40" s="131">
        <f>Population!J40/((Population!J40/L40)*(1+C40))</f>
        <v>28.145033883923865</v>
      </c>
      <c r="N40" s="131">
        <f>Population!K40/((Population!K40/M40)*(1+C40))</f>
        <v>28.544659111484652</v>
      </c>
      <c r="O40" s="131">
        <f>Population!L40/((Population!L40/N40)*(1+C40))</f>
        <v>28.949958530917499</v>
      </c>
      <c r="P40" s="131">
        <f>Population!M40/((Population!M40/O40)*(1+C40))</f>
        <v>29.36101270884128</v>
      </c>
      <c r="Q40" s="131">
        <f>Population!N40/((Population!N40/P40)*(1+C40))</f>
        <v>29.777903355822797</v>
      </c>
    </row>
    <row r="41" spans="1:17" ht="15" customHeight="1" x14ac:dyDescent="0.35">
      <c r="A41" s="138">
        <v>40</v>
      </c>
      <c r="B41" s="139" t="s">
        <v>98</v>
      </c>
      <c r="C41" s="130">
        <f>Variables!$C$14</f>
        <v>-1.4E-2</v>
      </c>
      <c r="D41" s="137">
        <v>35.6</v>
      </c>
      <c r="E41" s="137">
        <v>35.6</v>
      </c>
      <c r="F41" s="143" t="s">
        <v>126</v>
      </c>
      <c r="G41" s="131">
        <f>Population!D41/((Population!D41/E41)*(1+C41))</f>
        <v>36.105476673427994</v>
      </c>
      <c r="H41" s="131">
        <f>Population!E41/((Population!E41/G41)*(1+C41))</f>
        <v>36.61813050043407</v>
      </c>
      <c r="I41" s="131">
        <f>Population!F41/((Population!F41/H41)*(1+C41))</f>
        <v>37.138063387864165</v>
      </c>
      <c r="J41" s="131">
        <f>Population!G41/((Population!G41/I41)*(1+C41))</f>
        <v>37.665378689517411</v>
      </c>
      <c r="K41" s="131">
        <f>Population!H41/((Population!H41/J41)*(1+C41))</f>
        <v>38.200181226691093</v>
      </c>
      <c r="L41" s="131">
        <f>Population!I41/((Population!I41/K41)*(1+C41))</f>
        <v>38.742577309017335</v>
      </c>
      <c r="M41" s="131">
        <f>Population!J41/((Population!J41/L41)*(1+C41))</f>
        <v>39.292674755595677</v>
      </c>
      <c r="N41" s="131">
        <f>Population!K41/((Population!K41/M41)*(1+C41))</f>
        <v>39.850582916425637</v>
      </c>
      <c r="O41" s="131">
        <f>Population!L41/((Population!L41/N41)*(1+C41))</f>
        <v>40.416412694143645</v>
      </c>
      <c r="P41" s="131">
        <f>Population!M41/((Population!M41/O41)*(1+C41))</f>
        <v>40.990276566068601</v>
      </c>
      <c r="Q41" s="131">
        <f>Population!N41/((Population!N41/P41)*(1+C41))</f>
        <v>41.572288606560441</v>
      </c>
    </row>
    <row r="42" spans="1:17" ht="15" customHeight="1" x14ac:dyDescent="0.35">
      <c r="A42" s="138">
        <v>41</v>
      </c>
      <c r="B42" s="139" t="s">
        <v>99</v>
      </c>
      <c r="C42" s="130">
        <f>Variables!$C$14</f>
        <v>-1.4E-2</v>
      </c>
      <c r="D42" s="137">
        <v>14.2</v>
      </c>
      <c r="E42" s="137">
        <v>14.2</v>
      </c>
      <c r="F42" s="143" t="s">
        <v>126</v>
      </c>
      <c r="G42" s="131">
        <f>Population!D42/((Population!D42/E42)*(1+C42))</f>
        <v>14.401622718052739</v>
      </c>
      <c r="H42" s="131">
        <f>Population!E42/((Population!E42/G42)*(1+C42))</f>
        <v>14.606108233319206</v>
      </c>
      <c r="I42" s="131">
        <f>Population!F42/((Population!F42/H42)*(1+C42))</f>
        <v>14.813497194035707</v>
      </c>
      <c r="J42" s="131">
        <f>Population!G42/((Population!G42/I42)*(1+C42))</f>
        <v>15.023830825594022</v>
      </c>
      <c r="K42" s="131">
        <f>Population!H42/((Population!H42/J42)*(1+C42))</f>
        <v>15.237150938736331</v>
      </c>
      <c r="L42" s="131">
        <f>Population!I42/((Population!I42/K42)*(1+C42))</f>
        <v>15.453499937866463</v>
      </c>
      <c r="M42" s="131">
        <f>Population!J42/((Population!J42/L42)*(1+C42))</f>
        <v>15.672920829479173</v>
      </c>
      <c r="N42" s="131">
        <f>Population!K42/((Population!K42/M42)*(1+C42))</f>
        <v>15.8954572307091</v>
      </c>
      <c r="O42" s="131">
        <f>Population!L42/((Population!L42/N42)*(1+C42))</f>
        <v>16.121153378001114</v>
      </c>
      <c r="P42" s="131">
        <f>Population!M42/((Population!M42/O42)*(1+C42))</f>
        <v>16.350054135903768</v>
      </c>
      <c r="Q42" s="131">
        <f>Population!N42/((Population!N42/P42)*(1+C42))</f>
        <v>16.582205005987593</v>
      </c>
    </row>
    <row r="43" spans="1:17" ht="15" customHeight="1" x14ac:dyDescent="0.35">
      <c r="A43" s="140">
        <v>42</v>
      </c>
      <c r="B43" s="139" t="s">
        <v>100</v>
      </c>
      <c r="C43" s="130">
        <f>Variables!$C$14</f>
        <v>-1.4E-2</v>
      </c>
      <c r="D43" s="137">
        <v>15</v>
      </c>
      <c r="E43" s="137">
        <v>15</v>
      </c>
      <c r="F43" s="143" t="s">
        <v>126</v>
      </c>
      <c r="G43" s="131">
        <f>Population!D43/((Population!D43/E43)*(1+C43))</f>
        <v>15.212981744421906</v>
      </c>
      <c r="H43" s="131">
        <f>Population!E43/((Population!E43/G43)*(1+C43))</f>
        <v>15.428987570407614</v>
      </c>
      <c r="I43" s="131">
        <f>Population!F43/((Population!F43/H43)*(1+C43))</f>
        <v>15.648060416234902</v>
      </c>
      <c r="J43" s="131">
        <f>Population!G43/((Population!G43/I43)*(1+C43))</f>
        <v>15.870243829852841</v>
      </c>
      <c r="K43" s="131">
        <f>Population!H43/((Population!H43/J43)*(1+C43))</f>
        <v>16.09558197753838</v>
      </c>
      <c r="L43" s="131">
        <f>Population!I43/((Population!I43/K43)*(1+C43))</f>
        <v>16.324119652675844</v>
      </c>
      <c r="M43" s="131">
        <f>Population!J43/((Population!J43/L43)*(1+C43))</f>
        <v>16.555902284661098</v>
      </c>
      <c r="N43" s="131">
        <f>Population!K43/((Population!K43/M43)*(1+C43))</f>
        <v>16.790975947932147</v>
      </c>
      <c r="O43" s="131">
        <f>Population!L43/((Population!L43/N43)*(1+C43))</f>
        <v>17.029387371127939</v>
      </c>
      <c r="P43" s="131">
        <f>Population!M43/((Population!M43/O43)*(1+C43))</f>
        <v>17.271183946377221</v>
      </c>
      <c r="Q43" s="131">
        <f>Population!N43/((Population!N43/P43)*(1+C43))</f>
        <v>17.51641373871929</v>
      </c>
    </row>
    <row r="44" spans="1:17" ht="15" customHeight="1" x14ac:dyDescent="0.35">
      <c r="C44" s="130" t="s">
        <v>135</v>
      </c>
      <c r="D44" s="130"/>
      <c r="F44" s="143"/>
    </row>
    <row r="45" spans="1:17" ht="15" customHeight="1" x14ac:dyDescent="0.35">
      <c r="C45" s="130"/>
      <c r="D45" s="130"/>
      <c r="F45" s="143"/>
    </row>
    <row r="46" spans="1:17" ht="15" customHeight="1" x14ac:dyDescent="0.35"/>
    <row r="1048575" spans="3:4" ht="15" customHeight="1" x14ac:dyDescent="0.35">
      <c r="C1048575" s="130"/>
      <c r="D1048575" s="130"/>
    </row>
  </sheetData>
  <hyperlinks>
    <hyperlink ref="F35" r:id="rId1" xr:uid="{9D6D079D-C8B5-48F7-863A-55DDD3DD39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 Sheet - Open Spaces</vt:lpstr>
      <vt:lpstr>Cost Calculations</vt:lpstr>
      <vt:lpstr>Variables</vt:lpstr>
      <vt:lpstr>Land costs</vt:lpstr>
      <vt:lpstr>Existing Open Space</vt:lpstr>
      <vt:lpstr>Capital costs &amp; Budget</vt:lpstr>
      <vt:lpstr>Population</vt:lpstr>
      <vt:lpstr>Area</vt:lpstr>
    </vt:vector>
  </TitlesOfParts>
  <Company>College of William and Mary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Prakash, Mihir</dc:creator>
  <cp:lastModifiedBy>Suzanne Schadel</cp:lastModifiedBy>
  <dcterms:created xsi:type="dcterms:W3CDTF">2019-07-15T11:45:00Z</dcterms:created>
  <dcterms:modified xsi:type="dcterms:W3CDTF">2020-01-28T21:31:04Z</dcterms:modified>
</cp:coreProperties>
</file>