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uzan\OneDrive\DOCUME~1\Adulting\Jobs\AIDDAT~1\UNHABI~1\Report\INDIAB~1\"/>
    </mc:Choice>
  </mc:AlternateContent>
  <xr:revisionPtr revIDLastSave="0" documentId="8_{04920552-33C1-41EA-B7C6-8DB13F74EDEC}" xr6:coauthVersionLast="44" xr6:coauthVersionMax="44" xr10:uidLastSave="{00000000-0000-0000-0000-000000000000}"/>
  <bookViews>
    <workbookView xWindow="28680" yWindow="-120" windowWidth="19440" windowHeight="15000" tabRatio="500" firstSheet="1" activeTab="2" xr2:uid="{00000000-000D-0000-FFFF-FFFF00000000}"/>
  </bookViews>
  <sheets>
    <sheet name="Summary Sheet - Solid Waste" sheetId="3" r:id="rId1"/>
    <sheet name="Cost Calculation" sheetId="1" r:id="rId2"/>
    <sheet name="Variables" sheetId="2" r:id="rId3"/>
    <sheet name="Sanitary Landfilling" sheetId="9" state="hidden" r:id="rId4"/>
    <sheet name="Budgeting" sheetId="11" state="hidden" r:id="rId5"/>
    <sheet name="Land cost" sheetId="7" state="hidden" r:id="rId6"/>
    <sheet name="Existing landfills" sheetId="8" state="hidden" r:id="rId7"/>
    <sheet name="Population" sheetId="4" state="hidden" r:id="rId8"/>
    <sheet name="Waste per capita" sheetId="5" state="hidden" r:id="rId9"/>
  </sheets>
  <externalReferences>
    <externalReference r:id="rId10"/>
  </externalReferenc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" i="1"/>
  <c r="E45" i="7"/>
  <c r="E46" i="7"/>
  <c r="E43" i="7"/>
  <c r="E24" i="7"/>
  <c r="E18" i="7"/>
  <c r="E16" i="7"/>
  <c r="E9" i="7"/>
  <c r="E42" i="7"/>
  <c r="E40" i="7"/>
  <c r="E35" i="7"/>
  <c r="E31" i="7"/>
  <c r="E21" i="7"/>
  <c r="E22" i="7"/>
  <c r="E23" i="7"/>
  <c r="E25" i="7"/>
  <c r="E20" i="7"/>
  <c r="E17" i="7"/>
  <c r="E14" i="7"/>
  <c r="E5" i="7"/>
  <c r="E6" i="7"/>
  <c r="E7" i="7"/>
  <c r="E8" i="7"/>
  <c r="E4" i="7"/>
  <c r="E44" i="7"/>
  <c r="E41" i="7"/>
  <c r="E37" i="7"/>
  <c r="E36" i="7"/>
  <c r="E33" i="7"/>
  <c r="E34" i="7"/>
  <c r="E32" i="7"/>
  <c r="E28" i="7"/>
  <c r="E19" i="7"/>
  <c r="E15" i="7"/>
  <c r="E11" i="7"/>
  <c r="E12" i="7"/>
  <c r="E13" i="7"/>
  <c r="E10" i="7"/>
  <c r="E3" i="7"/>
  <c r="E2" i="7"/>
  <c r="L5" i="7"/>
  <c r="L4" i="7"/>
  <c r="E38" i="7"/>
  <c r="E29" i="7"/>
  <c r="E26" i="7"/>
  <c r="L3" i="7"/>
  <c r="U28" i="1" l="1"/>
  <c r="C39" i="8" l="1"/>
  <c r="C14" i="8"/>
  <c r="H46" i="7" l="1"/>
  <c r="H45" i="7"/>
  <c r="H39" i="7"/>
  <c r="G39" i="7" s="1"/>
  <c r="F39" i="7" s="1"/>
  <c r="H23" i="7"/>
  <c r="H38" i="7"/>
  <c r="H35" i="7"/>
  <c r="H33" i="7"/>
  <c r="H32" i="7"/>
  <c r="H30" i="7"/>
  <c r="G30" i="7" s="1"/>
  <c r="F30" i="7" s="1"/>
  <c r="H27" i="7"/>
  <c r="G27" i="7" s="1"/>
  <c r="F27" i="7" s="1"/>
  <c r="H26" i="7"/>
  <c r="G24" i="7" l="1"/>
  <c r="F24" i="7" s="1"/>
  <c r="H25" i="7"/>
  <c r="G25" i="7" s="1"/>
  <c r="F25" i="7" s="1"/>
  <c r="G41" i="7"/>
  <c r="F41" i="7" s="1"/>
  <c r="G37" i="7"/>
  <c r="F37" i="7" s="1"/>
  <c r="H29" i="7" l="1"/>
  <c r="G29" i="7" s="1"/>
  <c r="F29" i="7" s="1"/>
  <c r="H22" i="7"/>
  <c r="G22" i="7" s="1"/>
  <c r="F22" i="7" s="1"/>
  <c r="G23" i="7"/>
  <c r="F23" i="7" s="1"/>
  <c r="H21" i="7"/>
  <c r="G21" i="7" s="1"/>
  <c r="F21" i="7" s="1"/>
  <c r="H19" i="7"/>
  <c r="G19" i="7" s="1"/>
  <c r="F19" i="7" s="1"/>
  <c r="H17" i="7"/>
  <c r="G17" i="7" s="1"/>
  <c r="F17" i="7" s="1"/>
  <c r="H15" i="7"/>
  <c r="G15" i="7" s="1"/>
  <c r="F15" i="7" s="1"/>
  <c r="H13" i="7"/>
  <c r="G13" i="7" s="1"/>
  <c r="F13" i="7" s="1"/>
  <c r="H12" i="7"/>
  <c r="G12" i="7" s="1"/>
  <c r="F12" i="7" s="1"/>
  <c r="H9" i="7"/>
  <c r="G9" i="7" s="1"/>
  <c r="F9" i="7" s="1"/>
  <c r="H6" i="7"/>
  <c r="G6" i="7" s="1"/>
  <c r="F6" i="7" s="1"/>
  <c r="G3" i="7"/>
  <c r="F3" i="7" s="1"/>
  <c r="G4" i="7"/>
  <c r="F4" i="7" s="1"/>
  <c r="G5" i="7"/>
  <c r="F5" i="7" s="1"/>
  <c r="G7" i="7"/>
  <c r="F7" i="7" s="1"/>
  <c r="G8" i="7"/>
  <c r="F8" i="7" s="1"/>
  <c r="G10" i="7"/>
  <c r="F10" i="7" s="1"/>
  <c r="G11" i="7"/>
  <c r="F11" i="7" s="1"/>
  <c r="G14" i="7"/>
  <c r="F14" i="7" s="1"/>
  <c r="G16" i="7"/>
  <c r="F16" i="7" s="1"/>
  <c r="G18" i="7"/>
  <c r="F18" i="7" s="1"/>
  <c r="G20" i="7"/>
  <c r="F20" i="7" s="1"/>
  <c r="G26" i="7"/>
  <c r="F26" i="7" s="1"/>
  <c r="G28" i="7"/>
  <c r="F28" i="7" s="1"/>
  <c r="G31" i="7"/>
  <c r="F31" i="7" s="1"/>
  <c r="G32" i="7"/>
  <c r="F32" i="7" s="1"/>
  <c r="G33" i="7"/>
  <c r="F33" i="7" s="1"/>
  <c r="G34" i="7"/>
  <c r="F34" i="7" s="1"/>
  <c r="G35" i="7"/>
  <c r="F35" i="7" s="1"/>
  <c r="G36" i="7"/>
  <c r="F36" i="7" s="1"/>
  <c r="G38" i="7"/>
  <c r="F38" i="7" s="1"/>
  <c r="G40" i="7"/>
  <c r="F40" i="7" s="1"/>
  <c r="G42" i="7"/>
  <c r="F42" i="7" s="1"/>
  <c r="G43" i="7"/>
  <c r="F43" i="7" s="1"/>
  <c r="G44" i="7"/>
  <c r="F44" i="7" s="1"/>
  <c r="G45" i="7"/>
  <c r="F45" i="7" s="1"/>
  <c r="G46" i="7"/>
  <c r="F46" i="7" s="1"/>
  <c r="H2" i="7"/>
  <c r="G2" i="7" s="1"/>
  <c r="F2" i="7" s="1"/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6" i="1"/>
  <c r="U27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I4" i="4" l="1"/>
  <c r="E2" i="4"/>
  <c r="F2" i="4"/>
  <c r="G2" i="4"/>
  <c r="H2" i="4"/>
  <c r="I2" i="4"/>
  <c r="J2" i="4"/>
  <c r="K2" i="4"/>
  <c r="L2" i="4"/>
  <c r="M2" i="4"/>
  <c r="N2" i="4"/>
  <c r="O2" i="4"/>
  <c r="E3" i="4"/>
  <c r="F3" i="4"/>
  <c r="G3" i="4"/>
  <c r="H3" i="4"/>
  <c r="I3" i="4"/>
  <c r="J3" i="4"/>
  <c r="K3" i="4"/>
  <c r="L3" i="4"/>
  <c r="M3" i="4"/>
  <c r="N3" i="4"/>
  <c r="O3" i="4"/>
  <c r="E4" i="4"/>
  <c r="F4" i="4"/>
  <c r="G4" i="4"/>
  <c r="H4" i="4"/>
  <c r="J4" i="4"/>
  <c r="K4" i="4"/>
  <c r="L4" i="4"/>
  <c r="M4" i="4"/>
  <c r="N4" i="4"/>
  <c r="O4" i="4"/>
  <c r="E5" i="4"/>
  <c r="F5" i="4"/>
  <c r="G5" i="4"/>
  <c r="H5" i="4"/>
  <c r="I5" i="4"/>
  <c r="J5" i="4"/>
  <c r="K5" i="4"/>
  <c r="L5" i="4"/>
  <c r="M5" i="4"/>
  <c r="N5" i="4"/>
  <c r="O5" i="4"/>
  <c r="E6" i="4"/>
  <c r="F6" i="4"/>
  <c r="G6" i="4"/>
  <c r="H6" i="4"/>
  <c r="I6" i="4"/>
  <c r="J6" i="4"/>
  <c r="K6" i="4"/>
  <c r="L6" i="4"/>
  <c r="M6" i="4"/>
  <c r="N6" i="4"/>
  <c r="O6" i="4"/>
  <c r="E7" i="4"/>
  <c r="F7" i="4"/>
  <c r="G7" i="4"/>
  <c r="H7" i="4"/>
  <c r="I7" i="4"/>
  <c r="J7" i="4"/>
  <c r="K7" i="4"/>
  <c r="L7" i="4"/>
  <c r="M7" i="4"/>
  <c r="N7" i="4"/>
  <c r="O7" i="4"/>
  <c r="E8" i="4"/>
  <c r="F8" i="4"/>
  <c r="G8" i="4"/>
  <c r="H8" i="4"/>
  <c r="I8" i="4"/>
  <c r="J8" i="4"/>
  <c r="K8" i="4"/>
  <c r="L8" i="4"/>
  <c r="M8" i="4"/>
  <c r="N8" i="4"/>
  <c r="O8" i="4"/>
  <c r="E9" i="4"/>
  <c r="F9" i="4"/>
  <c r="G9" i="4"/>
  <c r="H9" i="4"/>
  <c r="I9" i="4"/>
  <c r="J9" i="4"/>
  <c r="K9" i="4"/>
  <c r="L9" i="4"/>
  <c r="M9" i="4"/>
  <c r="N9" i="4"/>
  <c r="O9" i="4"/>
  <c r="E10" i="4"/>
  <c r="F10" i="4"/>
  <c r="G10" i="4"/>
  <c r="H10" i="4"/>
  <c r="I10" i="4"/>
  <c r="J10" i="4"/>
  <c r="K10" i="4"/>
  <c r="L10" i="4"/>
  <c r="M10" i="4"/>
  <c r="N10" i="4"/>
  <c r="O10" i="4"/>
  <c r="E11" i="4"/>
  <c r="F11" i="4"/>
  <c r="G11" i="4"/>
  <c r="H11" i="4"/>
  <c r="I11" i="4"/>
  <c r="J11" i="4"/>
  <c r="K11" i="4"/>
  <c r="L11" i="4"/>
  <c r="M11" i="4"/>
  <c r="N11" i="4"/>
  <c r="O11" i="4"/>
  <c r="E12" i="4"/>
  <c r="F12" i="4"/>
  <c r="G12" i="4"/>
  <c r="H12" i="4"/>
  <c r="I12" i="4"/>
  <c r="J12" i="4"/>
  <c r="K12" i="4"/>
  <c r="L12" i="4"/>
  <c r="M12" i="4"/>
  <c r="N12" i="4"/>
  <c r="O12" i="4"/>
  <c r="E13" i="4"/>
  <c r="F13" i="4"/>
  <c r="G13" i="4"/>
  <c r="H13" i="4"/>
  <c r="I13" i="4"/>
  <c r="J13" i="4"/>
  <c r="K13" i="4"/>
  <c r="L13" i="4"/>
  <c r="M13" i="4"/>
  <c r="N13" i="4"/>
  <c r="O13" i="4"/>
  <c r="E14" i="4"/>
  <c r="F14" i="4"/>
  <c r="G14" i="4"/>
  <c r="H14" i="4"/>
  <c r="I14" i="4"/>
  <c r="J14" i="4"/>
  <c r="K14" i="4"/>
  <c r="L14" i="4"/>
  <c r="M14" i="4"/>
  <c r="N14" i="4"/>
  <c r="O14" i="4"/>
  <c r="E15" i="4"/>
  <c r="F15" i="4"/>
  <c r="G15" i="4"/>
  <c r="H15" i="4"/>
  <c r="I15" i="4"/>
  <c r="J15" i="4"/>
  <c r="K15" i="4"/>
  <c r="L15" i="4"/>
  <c r="M15" i="4"/>
  <c r="N15" i="4"/>
  <c r="O15" i="4"/>
  <c r="E16" i="4"/>
  <c r="F16" i="4"/>
  <c r="G16" i="4"/>
  <c r="H16" i="4"/>
  <c r="I16" i="4"/>
  <c r="J16" i="4"/>
  <c r="K16" i="4"/>
  <c r="L16" i="4"/>
  <c r="M16" i="4"/>
  <c r="N16" i="4"/>
  <c r="O16" i="4"/>
  <c r="E17" i="4"/>
  <c r="F17" i="4"/>
  <c r="G17" i="4"/>
  <c r="H17" i="4"/>
  <c r="I17" i="4"/>
  <c r="J17" i="4"/>
  <c r="K17" i="4"/>
  <c r="L17" i="4"/>
  <c r="M17" i="4"/>
  <c r="N17" i="4"/>
  <c r="O17" i="4"/>
  <c r="E18" i="4"/>
  <c r="F18" i="4"/>
  <c r="G18" i="4"/>
  <c r="H18" i="4"/>
  <c r="I18" i="4"/>
  <c r="J18" i="4"/>
  <c r="K18" i="4"/>
  <c r="L18" i="4"/>
  <c r="M18" i="4"/>
  <c r="N18" i="4"/>
  <c r="O18" i="4"/>
  <c r="E19" i="4"/>
  <c r="F19" i="4"/>
  <c r="G19" i="4"/>
  <c r="H19" i="4"/>
  <c r="I19" i="4"/>
  <c r="J19" i="4"/>
  <c r="K19" i="4"/>
  <c r="L19" i="4"/>
  <c r="M19" i="4"/>
  <c r="N19" i="4"/>
  <c r="O19" i="4"/>
  <c r="E20" i="4"/>
  <c r="F20" i="4"/>
  <c r="G20" i="4"/>
  <c r="H20" i="4"/>
  <c r="I20" i="4"/>
  <c r="J20" i="4"/>
  <c r="K20" i="4"/>
  <c r="L20" i="4"/>
  <c r="M20" i="4"/>
  <c r="N20" i="4"/>
  <c r="O20" i="4"/>
  <c r="E21" i="4"/>
  <c r="F21" i="4"/>
  <c r="G21" i="4"/>
  <c r="H21" i="4"/>
  <c r="I21" i="4"/>
  <c r="J21" i="4"/>
  <c r="K21" i="4"/>
  <c r="L21" i="4"/>
  <c r="M21" i="4"/>
  <c r="N21" i="4"/>
  <c r="O21" i="4"/>
  <c r="E22" i="4"/>
  <c r="F22" i="4"/>
  <c r="G22" i="4"/>
  <c r="H22" i="4"/>
  <c r="I22" i="4"/>
  <c r="J22" i="4"/>
  <c r="K22" i="4"/>
  <c r="L22" i="4"/>
  <c r="M22" i="4"/>
  <c r="N22" i="4"/>
  <c r="O22" i="4"/>
  <c r="E23" i="4"/>
  <c r="F23" i="4"/>
  <c r="G23" i="4"/>
  <c r="H23" i="4"/>
  <c r="I23" i="4"/>
  <c r="J23" i="4"/>
  <c r="K23" i="4"/>
  <c r="L23" i="4"/>
  <c r="M23" i="4"/>
  <c r="N23" i="4"/>
  <c r="O23" i="4"/>
  <c r="E24" i="4"/>
  <c r="F24" i="4"/>
  <c r="G24" i="4"/>
  <c r="H24" i="4"/>
  <c r="I24" i="4"/>
  <c r="J24" i="4"/>
  <c r="K24" i="4"/>
  <c r="L24" i="4"/>
  <c r="M24" i="4"/>
  <c r="N24" i="4"/>
  <c r="O24" i="4"/>
  <c r="E25" i="4"/>
  <c r="F25" i="4"/>
  <c r="G25" i="4"/>
  <c r="H25" i="4"/>
  <c r="I25" i="4"/>
  <c r="J25" i="4"/>
  <c r="K25" i="4"/>
  <c r="L25" i="4"/>
  <c r="M25" i="4"/>
  <c r="N25" i="4"/>
  <c r="O25" i="4"/>
  <c r="E26" i="4"/>
  <c r="F26" i="4"/>
  <c r="G26" i="4"/>
  <c r="H26" i="4"/>
  <c r="I26" i="4"/>
  <c r="J26" i="4"/>
  <c r="K26" i="4"/>
  <c r="L26" i="4"/>
  <c r="M26" i="4"/>
  <c r="N26" i="4"/>
  <c r="O26" i="4"/>
  <c r="E27" i="4"/>
  <c r="F27" i="4"/>
  <c r="G27" i="4"/>
  <c r="H27" i="4"/>
  <c r="I27" i="4"/>
  <c r="J27" i="4"/>
  <c r="K27" i="4"/>
  <c r="L27" i="4"/>
  <c r="M27" i="4"/>
  <c r="N27" i="4"/>
  <c r="O27" i="4"/>
  <c r="E28" i="4"/>
  <c r="F28" i="4"/>
  <c r="G28" i="4"/>
  <c r="H28" i="4"/>
  <c r="I28" i="4"/>
  <c r="J28" i="4"/>
  <c r="K28" i="4"/>
  <c r="L28" i="4"/>
  <c r="M28" i="4"/>
  <c r="N28" i="4"/>
  <c r="O28" i="4"/>
  <c r="E29" i="4"/>
  <c r="F29" i="4"/>
  <c r="G29" i="4"/>
  <c r="H29" i="4"/>
  <c r="I29" i="4"/>
  <c r="J29" i="4"/>
  <c r="K29" i="4"/>
  <c r="L29" i="4"/>
  <c r="M29" i="4"/>
  <c r="N29" i="4"/>
  <c r="O29" i="4"/>
  <c r="E30" i="4"/>
  <c r="F30" i="4"/>
  <c r="G30" i="4"/>
  <c r="H30" i="4"/>
  <c r="I30" i="4"/>
  <c r="J30" i="4"/>
  <c r="K30" i="4"/>
  <c r="L30" i="4"/>
  <c r="M30" i="4"/>
  <c r="N30" i="4"/>
  <c r="O30" i="4"/>
  <c r="E31" i="4"/>
  <c r="F31" i="4"/>
  <c r="G31" i="4"/>
  <c r="H31" i="4"/>
  <c r="I31" i="4"/>
  <c r="J31" i="4"/>
  <c r="K31" i="4"/>
  <c r="L31" i="4"/>
  <c r="M31" i="4"/>
  <c r="N31" i="4"/>
  <c r="O31" i="4"/>
  <c r="E32" i="4"/>
  <c r="F32" i="4"/>
  <c r="G32" i="4"/>
  <c r="H32" i="4"/>
  <c r="I32" i="4"/>
  <c r="J32" i="4"/>
  <c r="K32" i="4"/>
  <c r="L32" i="4"/>
  <c r="M32" i="4"/>
  <c r="N32" i="4"/>
  <c r="O32" i="4"/>
  <c r="E33" i="4"/>
  <c r="F33" i="4"/>
  <c r="G33" i="4"/>
  <c r="H33" i="4"/>
  <c r="I33" i="4"/>
  <c r="J33" i="4"/>
  <c r="K33" i="4"/>
  <c r="L33" i="4"/>
  <c r="M33" i="4"/>
  <c r="N33" i="4"/>
  <c r="O33" i="4"/>
  <c r="E34" i="4"/>
  <c r="F34" i="4"/>
  <c r="G34" i="4"/>
  <c r="H34" i="4"/>
  <c r="I34" i="4"/>
  <c r="J34" i="4"/>
  <c r="K34" i="4"/>
  <c r="L34" i="4"/>
  <c r="M34" i="4"/>
  <c r="N34" i="4"/>
  <c r="O34" i="4"/>
  <c r="E35" i="4"/>
  <c r="F35" i="4"/>
  <c r="G35" i="4"/>
  <c r="H35" i="4"/>
  <c r="I35" i="4"/>
  <c r="J35" i="4"/>
  <c r="K35" i="4"/>
  <c r="L35" i="4"/>
  <c r="M35" i="4"/>
  <c r="N35" i="4"/>
  <c r="O35" i="4"/>
  <c r="E36" i="4"/>
  <c r="F36" i="4"/>
  <c r="G36" i="4"/>
  <c r="H36" i="4"/>
  <c r="I36" i="4"/>
  <c r="J36" i="4"/>
  <c r="K36" i="4"/>
  <c r="L36" i="4"/>
  <c r="M36" i="4"/>
  <c r="N36" i="4"/>
  <c r="O36" i="4"/>
  <c r="E37" i="4"/>
  <c r="F37" i="4"/>
  <c r="G37" i="4"/>
  <c r="H37" i="4"/>
  <c r="I37" i="4"/>
  <c r="J37" i="4"/>
  <c r="K37" i="4"/>
  <c r="L37" i="4"/>
  <c r="M37" i="4"/>
  <c r="N37" i="4"/>
  <c r="O37" i="4"/>
  <c r="E38" i="4"/>
  <c r="F38" i="4"/>
  <c r="G38" i="4"/>
  <c r="H38" i="4"/>
  <c r="I38" i="4"/>
  <c r="J38" i="4"/>
  <c r="K38" i="4"/>
  <c r="L38" i="4"/>
  <c r="M38" i="4"/>
  <c r="N38" i="4"/>
  <c r="O38" i="4"/>
  <c r="E39" i="4"/>
  <c r="F39" i="4"/>
  <c r="G39" i="4"/>
  <c r="H39" i="4"/>
  <c r="I39" i="4"/>
  <c r="J39" i="4"/>
  <c r="K39" i="4"/>
  <c r="L39" i="4"/>
  <c r="M39" i="4"/>
  <c r="N39" i="4"/>
  <c r="O39" i="4"/>
  <c r="E40" i="4"/>
  <c r="F40" i="4"/>
  <c r="G40" i="4"/>
  <c r="H40" i="4"/>
  <c r="I40" i="4"/>
  <c r="J40" i="4"/>
  <c r="K40" i="4"/>
  <c r="L40" i="4"/>
  <c r="M40" i="4"/>
  <c r="N40" i="4"/>
  <c r="O40" i="4"/>
  <c r="E41" i="4"/>
  <c r="F41" i="4"/>
  <c r="G41" i="4"/>
  <c r="H41" i="4"/>
  <c r="I41" i="4"/>
  <c r="J41" i="4"/>
  <c r="K41" i="4"/>
  <c r="L41" i="4"/>
  <c r="M41" i="4"/>
  <c r="N41" i="4"/>
  <c r="O41" i="4"/>
  <c r="E42" i="4"/>
  <c r="F42" i="4"/>
  <c r="G42" i="4"/>
  <c r="H42" i="4"/>
  <c r="I42" i="4"/>
  <c r="J42" i="4"/>
  <c r="K42" i="4"/>
  <c r="L42" i="4"/>
  <c r="M42" i="4"/>
  <c r="N42" i="4"/>
  <c r="O42" i="4"/>
  <c r="E43" i="4"/>
  <c r="F43" i="4"/>
  <c r="G43" i="4"/>
  <c r="H43" i="4"/>
  <c r="I43" i="4"/>
  <c r="J43" i="4"/>
  <c r="K43" i="4"/>
  <c r="L43" i="4"/>
  <c r="M43" i="4"/>
  <c r="N43" i="4"/>
  <c r="O43" i="4"/>
  <c r="D8" i="4"/>
  <c r="C8" i="7" s="1"/>
  <c r="D8" i="7" s="1"/>
  <c r="D3" i="4"/>
  <c r="C3" i="7" s="1"/>
  <c r="D3" i="7" s="1"/>
  <c r="D4" i="4"/>
  <c r="D5" i="4"/>
  <c r="D6" i="4"/>
  <c r="C6" i="7" s="1"/>
  <c r="D6" i="7" s="1"/>
  <c r="D7" i="4"/>
  <c r="D9" i="4"/>
  <c r="D10" i="4"/>
  <c r="D11" i="4"/>
  <c r="D12" i="4"/>
  <c r="D13" i="4"/>
  <c r="D14" i="4"/>
  <c r="C14" i="7" s="1"/>
  <c r="D14" i="7" s="1"/>
  <c r="D15" i="4"/>
  <c r="C15" i="7" s="1"/>
  <c r="D15" i="7" s="1"/>
  <c r="D16" i="4"/>
  <c r="C16" i="7" s="1"/>
  <c r="D16" i="7" s="1"/>
  <c r="D17" i="4"/>
  <c r="D18" i="4"/>
  <c r="C18" i="7" s="1"/>
  <c r="D18" i="7" s="1"/>
  <c r="D19" i="4"/>
  <c r="C19" i="7" s="1"/>
  <c r="D19" i="7" s="1"/>
  <c r="D20" i="4"/>
  <c r="C20" i="7" s="1"/>
  <c r="D20" i="7" s="1"/>
  <c r="D21" i="4"/>
  <c r="D22" i="4"/>
  <c r="C22" i="7" s="1"/>
  <c r="D22" i="7" s="1"/>
  <c r="D23" i="4"/>
  <c r="D24" i="4"/>
  <c r="C24" i="7" s="1"/>
  <c r="D24" i="7" s="1"/>
  <c r="D25" i="4"/>
  <c r="D26" i="4"/>
  <c r="C26" i="7" s="1"/>
  <c r="D26" i="7" s="1"/>
  <c r="D27" i="4"/>
  <c r="D28" i="4"/>
  <c r="D29" i="4"/>
  <c r="D30" i="4"/>
  <c r="D31" i="4"/>
  <c r="C33" i="7" s="1"/>
  <c r="D33" i="7" s="1"/>
  <c r="D32" i="4"/>
  <c r="C34" i="7" s="1"/>
  <c r="D34" i="7" s="1"/>
  <c r="D33" i="4"/>
  <c r="D34" i="4"/>
  <c r="D35" i="4"/>
  <c r="C37" i="7" s="1"/>
  <c r="D37" i="7" s="1"/>
  <c r="D36" i="4"/>
  <c r="C38" i="7" s="1"/>
  <c r="D38" i="7" s="1"/>
  <c r="D37" i="4"/>
  <c r="D38" i="4"/>
  <c r="C41" i="7" s="1"/>
  <c r="D41" i="7" s="1"/>
  <c r="D39" i="4"/>
  <c r="D40" i="4"/>
  <c r="C43" i="7" s="1"/>
  <c r="D43" i="7" s="1"/>
  <c r="D41" i="4"/>
  <c r="D42" i="4"/>
  <c r="C45" i="7" s="1"/>
  <c r="D45" i="7" s="1"/>
  <c r="D43" i="4"/>
  <c r="D2" i="4"/>
  <c r="C2" i="7" s="1"/>
  <c r="D2" i="7" s="1"/>
  <c r="C10" i="7"/>
  <c r="D10" i="7" s="1"/>
  <c r="C36" i="7"/>
  <c r="D36" i="7" s="1"/>
  <c r="C32" i="7"/>
  <c r="D32" i="7" s="1"/>
  <c r="C4" i="7"/>
  <c r="D4" i="7" s="1"/>
  <c r="C5" i="7"/>
  <c r="D5" i="7" s="1"/>
  <c r="C7" i="7"/>
  <c r="D7" i="7" s="1"/>
  <c r="C9" i="7"/>
  <c r="D9" i="7" s="1"/>
  <c r="C11" i="7"/>
  <c r="D11" i="7" s="1"/>
  <c r="C12" i="7"/>
  <c r="D12" i="7" s="1"/>
  <c r="C13" i="7"/>
  <c r="D13" i="7" s="1"/>
  <c r="C17" i="7"/>
  <c r="D17" i="7" s="1"/>
  <c r="C21" i="7"/>
  <c r="D21" i="7" s="1"/>
  <c r="C23" i="7"/>
  <c r="D23" i="7" s="1"/>
  <c r="C25" i="7"/>
  <c r="D25" i="7" s="1"/>
  <c r="C28" i="7"/>
  <c r="D28" i="7" s="1"/>
  <c r="C29" i="7"/>
  <c r="D29" i="7" s="1"/>
  <c r="C31" i="7"/>
  <c r="D31" i="7" s="1"/>
  <c r="C35" i="7"/>
  <c r="D35" i="7" s="1"/>
  <c r="C40" i="7"/>
  <c r="D40" i="7" s="1"/>
  <c r="C42" i="7"/>
  <c r="D42" i="7" s="1"/>
  <c r="C44" i="7"/>
  <c r="D44" i="7" s="1"/>
  <c r="C46" i="7"/>
  <c r="D46" i="7" s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" i="1"/>
  <c r="D50" i="1"/>
  <c r="D51" i="1"/>
  <c r="D54" i="1"/>
  <c r="D55" i="1"/>
  <c r="D58" i="1"/>
  <c r="D59" i="1"/>
  <c r="D103" i="1"/>
  <c r="D66" i="1"/>
  <c r="D67" i="1"/>
  <c r="D111" i="1"/>
  <c r="D70" i="1"/>
  <c r="D71" i="1"/>
  <c r="D74" i="1"/>
  <c r="D75" i="1"/>
  <c r="D119" i="1"/>
  <c r="D78" i="1"/>
  <c r="D82" i="1"/>
  <c r="D83" i="1"/>
  <c r="D87" i="1"/>
  <c r="D47" i="1"/>
  <c r="D130" i="1"/>
  <c r="E4" i="1" l="1"/>
  <c r="D73" i="1"/>
  <c r="D53" i="1"/>
  <c r="D88" i="1"/>
  <c r="D69" i="1"/>
  <c r="D49" i="1"/>
  <c r="D89" i="1"/>
  <c r="D85" i="1"/>
  <c r="D61" i="1"/>
  <c r="D77" i="1"/>
  <c r="D57" i="1"/>
  <c r="D62" i="1"/>
  <c r="D123" i="1"/>
  <c r="D112" i="1"/>
  <c r="D96" i="1"/>
  <c r="D81" i="1"/>
  <c r="D65" i="1"/>
  <c r="D125" i="1"/>
  <c r="D182" i="1"/>
  <c r="D92" i="1"/>
  <c r="D86" i="1"/>
  <c r="D79" i="1"/>
  <c r="D63" i="1"/>
  <c r="D107" i="1"/>
  <c r="D52" i="1"/>
  <c r="D68" i="1"/>
  <c r="D109" i="1"/>
  <c r="D84" i="1"/>
  <c r="D80" i="1"/>
  <c r="D76" i="1"/>
  <c r="D72" i="1"/>
  <c r="D64" i="1"/>
  <c r="D60" i="1"/>
  <c r="D56" i="1"/>
  <c r="D48" i="1"/>
  <c r="D133" i="1"/>
  <c r="D127" i="1"/>
  <c r="D115" i="1"/>
  <c r="D99" i="1"/>
  <c r="D95" i="1"/>
  <c r="D91" i="1"/>
  <c r="D140" i="1"/>
  <c r="D137" i="1"/>
  <c r="D132" i="1"/>
  <c r="D126" i="1"/>
  <c r="D122" i="1"/>
  <c r="D118" i="1"/>
  <c r="D114" i="1"/>
  <c r="D106" i="1"/>
  <c r="D102" i="1"/>
  <c r="D98" i="1"/>
  <c r="D90" i="1"/>
  <c r="D141" i="1"/>
  <c r="D46" i="1"/>
  <c r="D168" i="1" l="1"/>
  <c r="D164" i="1"/>
  <c r="D148" i="1"/>
  <c r="D156" i="1"/>
  <c r="D160" i="1"/>
  <c r="D97" i="1"/>
  <c r="D101" i="1"/>
  <c r="D116" i="1"/>
  <c r="D151" i="1"/>
  <c r="D149" i="1"/>
  <c r="D121" i="1"/>
  <c r="D134" i="1"/>
  <c r="D165" i="1"/>
  <c r="D100" i="1"/>
  <c r="D224" i="1"/>
  <c r="D144" i="1"/>
  <c r="D124" i="1"/>
  <c r="D113" i="1"/>
  <c r="D117" i="1"/>
  <c r="D169" i="1"/>
  <c r="D94" i="1"/>
  <c r="D128" i="1"/>
  <c r="D167" i="1"/>
  <c r="D154" i="1"/>
  <c r="D104" i="1"/>
  <c r="D131" i="1"/>
  <c r="D174" i="1"/>
  <c r="D93" i="1"/>
  <c r="D157" i="1"/>
  <c r="D110" i="1"/>
  <c r="D179" i="1"/>
  <c r="D145" i="1"/>
  <c r="D153" i="1"/>
  <c r="D161" i="1"/>
  <c r="D175" i="1"/>
  <c r="D108" i="1"/>
  <c r="D183" i="1"/>
  <c r="D120" i="1"/>
  <c r="D129" i="1"/>
  <c r="D105" i="1"/>
  <c r="D138" i="1"/>
  <c r="D172" i="1"/>
  <c r="D180" i="1" l="1"/>
  <c r="D195" i="1"/>
  <c r="D199" i="1"/>
  <c r="D170" i="1"/>
  <c r="D186" i="1"/>
  <c r="D193" i="1"/>
  <c r="D190" i="1"/>
  <c r="D162" i="1"/>
  <c r="D203" i="1"/>
  <c r="D152" i="1"/>
  <c r="D216" i="1"/>
  <c r="D209" i="1"/>
  <c r="D211" i="1"/>
  <c r="D155" i="1"/>
  <c r="D142" i="1"/>
  <c r="D191" i="1"/>
  <c r="D198" i="1"/>
  <c r="D171" i="1"/>
  <c r="D206" i="1"/>
  <c r="D147" i="1"/>
  <c r="D225" i="1"/>
  <c r="D217" i="1"/>
  <c r="D135" i="1"/>
  <c r="D173" i="1"/>
  <c r="D196" i="1"/>
  <c r="D136" i="1"/>
  <c r="D159" i="1"/>
  <c r="D166" i="1"/>
  <c r="D163" i="1"/>
  <c r="D202" i="1"/>
  <c r="D221" i="1"/>
  <c r="D207" i="1"/>
  <c r="D143" i="1"/>
  <c r="D150" i="1"/>
  <c r="D187" i="1"/>
  <c r="D146" i="1"/>
  <c r="D266" i="1"/>
  <c r="D176" i="1"/>
  <c r="D158" i="1"/>
  <c r="D139" i="1"/>
  <c r="D210" i="1"/>
  <c r="D214" i="1"/>
  <c r="F2" i="5"/>
  <c r="C15" i="11"/>
  <c r="D15" i="11"/>
  <c r="B13" i="11"/>
  <c r="C14" i="11"/>
  <c r="D14" i="11"/>
  <c r="B14" i="11"/>
  <c r="B15" i="11" s="1"/>
  <c r="C2" i="5"/>
  <c r="C12" i="11"/>
  <c r="D12" i="11"/>
  <c r="B12" i="11"/>
  <c r="C8" i="11"/>
  <c r="D6" i="11"/>
  <c r="D13" i="11" s="1"/>
  <c r="N4" i="1" s="1"/>
  <c r="C6" i="11"/>
  <c r="C13" i="11" s="1"/>
  <c r="B6" i="11"/>
  <c r="B4" i="11"/>
  <c r="C4" i="11"/>
  <c r="D4" i="11"/>
  <c r="P13" i="1" l="1"/>
  <c r="D201" i="1"/>
  <c r="P201" i="1" s="1"/>
  <c r="D177" i="1"/>
  <c r="N177" i="1" s="1"/>
  <c r="D241" i="1"/>
  <c r="N241" i="1" s="1"/>
  <c r="D218" i="1"/>
  <c r="D185" i="1"/>
  <c r="D263" i="1"/>
  <c r="N263" i="1" s="1"/>
  <c r="D208" i="1"/>
  <c r="N208" i="1" s="1"/>
  <c r="D215" i="1"/>
  <c r="D213" i="1"/>
  <c r="N213" i="1" s="1"/>
  <c r="D197" i="1"/>
  <c r="N197" i="1" s="1"/>
  <c r="D251" i="1"/>
  <c r="P251" i="1" s="1"/>
  <c r="D235" i="1"/>
  <c r="D192" i="1"/>
  <c r="D267" i="1"/>
  <c r="P267" i="1" s="1"/>
  <c r="D240" i="1"/>
  <c r="P240" i="1" s="1"/>
  <c r="D245" i="1"/>
  <c r="D200" i="1"/>
  <c r="D188" i="1"/>
  <c r="N188" i="1" s="1"/>
  <c r="D205" i="1"/>
  <c r="N205" i="1" s="1"/>
  <c r="D238" i="1"/>
  <c r="N238" i="1" s="1"/>
  <c r="D259" i="1"/>
  <c r="N259" i="1" s="1"/>
  <c r="D248" i="1"/>
  <c r="P248" i="1" s="1"/>
  <c r="D184" i="1"/>
  <c r="N184" i="1" s="1"/>
  <c r="D194" i="1"/>
  <c r="D232" i="1"/>
  <c r="N232" i="1" s="1"/>
  <c r="D237" i="1"/>
  <c r="N237" i="1" s="1"/>
  <c r="D252" i="1"/>
  <c r="P252" i="1" s="1"/>
  <c r="D228" i="1"/>
  <c r="N228" i="1" s="1"/>
  <c r="D181" i="1"/>
  <c r="D308" i="1"/>
  <c r="N308" i="1" s="1"/>
  <c r="D229" i="1"/>
  <c r="P229" i="1" s="1"/>
  <c r="D249" i="1"/>
  <c r="N249" i="1" s="1"/>
  <c r="D244" i="1"/>
  <c r="D178" i="1"/>
  <c r="N178" i="1" s="1"/>
  <c r="D189" i="1"/>
  <c r="N189" i="1" s="1"/>
  <c r="D233" i="1"/>
  <c r="D253" i="1"/>
  <c r="D258" i="1"/>
  <c r="N258" i="1" s="1"/>
  <c r="D204" i="1"/>
  <c r="P204" i="1" s="1"/>
  <c r="D212" i="1"/>
  <c r="P212" i="1" s="1"/>
  <c r="D222" i="1"/>
  <c r="N222" i="1" s="1"/>
  <c r="D256" i="1"/>
  <c r="N256" i="1" s="1"/>
  <c r="N58" i="1"/>
  <c r="P199" i="1"/>
  <c r="P167" i="1"/>
  <c r="P119" i="1"/>
  <c r="P82" i="1"/>
  <c r="P39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35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81" i="1"/>
  <c r="N185" i="1"/>
  <c r="N193" i="1"/>
  <c r="N209" i="1"/>
  <c r="N217" i="1"/>
  <c r="N221" i="1"/>
  <c r="N225" i="1"/>
  <c r="N229" i="1"/>
  <c r="N233" i="1"/>
  <c r="N245" i="1"/>
  <c r="N253" i="1"/>
  <c r="N18" i="1"/>
  <c r="N34" i="1"/>
  <c r="N50" i="1"/>
  <c r="N66" i="1"/>
  <c r="N82" i="1"/>
  <c r="N98" i="1"/>
  <c r="N114" i="1"/>
  <c r="N130" i="1"/>
  <c r="N146" i="1"/>
  <c r="N162" i="1"/>
  <c r="N170" i="1"/>
  <c r="N186" i="1"/>
  <c r="N194" i="1"/>
  <c r="N202" i="1"/>
  <c r="N210" i="1"/>
  <c r="N218" i="1"/>
  <c r="N266" i="1"/>
  <c r="N6" i="1"/>
  <c r="N22" i="1"/>
  <c r="N38" i="1"/>
  <c r="N54" i="1"/>
  <c r="N70" i="1"/>
  <c r="N86" i="1"/>
  <c r="N102" i="1"/>
  <c r="N118" i="1"/>
  <c r="N134" i="1"/>
  <c r="N150" i="1"/>
  <c r="N164" i="1"/>
  <c r="N172" i="1"/>
  <c r="N180" i="1"/>
  <c r="N196" i="1"/>
  <c r="N212" i="1"/>
  <c r="N244" i="1"/>
  <c r="N10" i="1"/>
  <c r="N42" i="1"/>
  <c r="N74" i="1"/>
  <c r="N106" i="1"/>
  <c r="N138" i="1"/>
  <c r="N166" i="1"/>
  <c r="N182" i="1"/>
  <c r="N198" i="1"/>
  <c r="N214" i="1"/>
  <c r="N14" i="1"/>
  <c r="N46" i="1"/>
  <c r="N78" i="1"/>
  <c r="N110" i="1"/>
  <c r="N142" i="1"/>
  <c r="N168" i="1"/>
  <c r="N200" i="1"/>
  <c r="N216" i="1"/>
  <c r="N62" i="1"/>
  <c r="N126" i="1"/>
  <c r="N176" i="1"/>
  <c r="N26" i="1"/>
  <c r="N90" i="1"/>
  <c r="N154" i="1"/>
  <c r="N190" i="1"/>
  <c r="N30" i="1"/>
  <c r="N94" i="1"/>
  <c r="N158" i="1"/>
  <c r="N192" i="1"/>
  <c r="N224" i="1"/>
  <c r="P259" i="1"/>
  <c r="P211" i="1"/>
  <c r="P195" i="1"/>
  <c r="P179" i="1"/>
  <c r="P163" i="1"/>
  <c r="P147" i="1"/>
  <c r="P131" i="1"/>
  <c r="P115" i="1"/>
  <c r="P98" i="1"/>
  <c r="P77" i="1"/>
  <c r="P55" i="1"/>
  <c r="P34" i="1"/>
  <c r="N206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P92" i="1"/>
  <c r="P96" i="1"/>
  <c r="P100" i="1"/>
  <c r="P9" i="1"/>
  <c r="P14" i="1"/>
  <c r="P19" i="1"/>
  <c r="P25" i="1"/>
  <c r="P30" i="1"/>
  <c r="P35" i="1"/>
  <c r="P41" i="1"/>
  <c r="P46" i="1"/>
  <c r="P51" i="1"/>
  <c r="P57" i="1"/>
  <c r="P62" i="1"/>
  <c r="P67" i="1"/>
  <c r="P73" i="1"/>
  <c r="P78" i="1"/>
  <c r="P83" i="1"/>
  <c r="P89" i="1"/>
  <c r="P94" i="1"/>
  <c r="P99" i="1"/>
  <c r="P104" i="1"/>
  <c r="P108" i="1"/>
  <c r="P112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72" i="1"/>
  <c r="P176" i="1"/>
  <c r="P180" i="1"/>
  <c r="P192" i="1"/>
  <c r="P196" i="1"/>
  <c r="P200" i="1"/>
  <c r="P216" i="1"/>
  <c r="P224" i="1"/>
  <c r="P244" i="1"/>
  <c r="P256" i="1"/>
  <c r="P308" i="1"/>
  <c r="P5" i="1"/>
  <c r="P10" i="1"/>
  <c r="P15" i="1"/>
  <c r="P21" i="1"/>
  <c r="P26" i="1"/>
  <c r="P31" i="1"/>
  <c r="P37" i="1"/>
  <c r="P42" i="1"/>
  <c r="P47" i="1"/>
  <c r="P53" i="1"/>
  <c r="P58" i="1"/>
  <c r="P63" i="1"/>
  <c r="P69" i="1"/>
  <c r="P74" i="1"/>
  <c r="P79" i="1"/>
  <c r="P85" i="1"/>
  <c r="P90" i="1"/>
  <c r="P95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81" i="1"/>
  <c r="P185" i="1"/>
  <c r="P193" i="1"/>
  <c r="P197" i="1"/>
  <c r="P205" i="1"/>
  <c r="P209" i="1"/>
  <c r="P217" i="1"/>
  <c r="P221" i="1"/>
  <c r="P225" i="1"/>
  <c r="P233" i="1"/>
  <c r="P237" i="1"/>
  <c r="P241" i="1"/>
  <c r="P245" i="1"/>
  <c r="P253" i="1"/>
  <c r="P6" i="1"/>
  <c r="P11" i="1"/>
  <c r="P17" i="1"/>
  <c r="P22" i="1"/>
  <c r="P27" i="1"/>
  <c r="P33" i="1"/>
  <c r="P38" i="1"/>
  <c r="P43" i="1"/>
  <c r="P49" i="1"/>
  <c r="P54" i="1"/>
  <c r="P59" i="1"/>
  <c r="P65" i="1"/>
  <c r="P70" i="1"/>
  <c r="P75" i="1"/>
  <c r="P81" i="1"/>
  <c r="P86" i="1"/>
  <c r="P91" i="1"/>
  <c r="P97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202" i="1"/>
  <c r="P206" i="1"/>
  <c r="P210" i="1"/>
  <c r="P214" i="1"/>
  <c r="P218" i="1"/>
  <c r="P238" i="1"/>
  <c r="P266" i="1"/>
  <c r="P263" i="1"/>
  <c r="P215" i="1"/>
  <c r="P183" i="1"/>
  <c r="P135" i="1"/>
  <c r="P103" i="1"/>
  <c r="P61" i="1"/>
  <c r="P18" i="1"/>
  <c r="P207" i="1"/>
  <c r="P191" i="1"/>
  <c r="P175" i="1"/>
  <c r="P159" i="1"/>
  <c r="P143" i="1"/>
  <c r="P127" i="1"/>
  <c r="P111" i="1"/>
  <c r="P93" i="1"/>
  <c r="P71" i="1"/>
  <c r="P50" i="1"/>
  <c r="P29" i="1"/>
  <c r="P7" i="1"/>
  <c r="N174" i="1"/>
  <c r="P151" i="1"/>
  <c r="P4" i="1"/>
  <c r="P235" i="1"/>
  <c r="P203" i="1"/>
  <c r="P187" i="1"/>
  <c r="P171" i="1"/>
  <c r="P155" i="1"/>
  <c r="P139" i="1"/>
  <c r="P123" i="1"/>
  <c r="P107" i="1"/>
  <c r="P87" i="1"/>
  <c r="P66" i="1"/>
  <c r="P45" i="1"/>
  <c r="P23" i="1"/>
  <c r="N122" i="1"/>
  <c r="C17" i="8"/>
  <c r="N240" i="1" l="1"/>
  <c r="P177" i="1"/>
  <c r="P208" i="1"/>
  <c r="N204" i="1"/>
  <c r="P189" i="1"/>
  <c r="P188" i="1"/>
  <c r="N252" i="1"/>
  <c r="P249" i="1"/>
  <c r="P184" i="1"/>
  <c r="N248" i="1"/>
  <c r="N267" i="1"/>
  <c r="P258" i="1"/>
  <c r="P213" i="1"/>
  <c r="P232" i="1"/>
  <c r="P228" i="1"/>
  <c r="P222" i="1"/>
  <c r="N201" i="1"/>
  <c r="N251" i="1"/>
  <c r="D231" i="1"/>
  <c r="D236" i="1"/>
  <c r="D230" i="1"/>
  <c r="D234" i="1"/>
  <c r="D293" i="1"/>
  <c r="D254" i="1"/>
  <c r="D246" i="1"/>
  <c r="D295" i="1"/>
  <c r="D291" i="1"/>
  <c r="D271" i="1"/>
  <c r="D270" i="1"/>
  <c r="D279" i="1"/>
  <c r="D274" i="1"/>
  <c r="D301" i="1"/>
  <c r="D247" i="1"/>
  <c r="D282" i="1"/>
  <c r="D255" i="1"/>
  <c r="D250" i="1"/>
  <c r="D243" i="1"/>
  <c r="D264" i="1"/>
  <c r="D223" i="1"/>
  <c r="D280" i="1"/>
  <c r="D242" i="1"/>
  <c r="D277" i="1"/>
  <c r="D227" i="1"/>
  <c r="D260" i="1"/>
  <c r="D283" i="1"/>
  <c r="D300" i="1"/>
  <c r="D275" i="1"/>
  <c r="D220" i="1"/>
  <c r="D286" i="1"/>
  <c r="D350" i="1"/>
  <c r="D294" i="1"/>
  <c r="D226" i="1"/>
  <c r="D290" i="1"/>
  <c r="D287" i="1"/>
  <c r="D309" i="1"/>
  <c r="D239" i="1"/>
  <c r="D257" i="1"/>
  <c r="D305" i="1"/>
  <c r="D219" i="1"/>
  <c r="D298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N305" i="1" l="1"/>
  <c r="P305" i="1"/>
  <c r="N239" i="1"/>
  <c r="P239" i="1"/>
  <c r="N309" i="1"/>
  <c r="P309" i="1"/>
  <c r="D268" i="1"/>
  <c r="N294" i="1"/>
  <c r="P294" i="1"/>
  <c r="N286" i="1"/>
  <c r="P286" i="1"/>
  <c r="N300" i="1"/>
  <c r="P300" i="1"/>
  <c r="N283" i="1"/>
  <c r="P283" i="1"/>
  <c r="N227" i="1"/>
  <c r="P227" i="1"/>
  <c r="D319" i="1"/>
  <c r="N280" i="1"/>
  <c r="P280" i="1"/>
  <c r="N223" i="1"/>
  <c r="P223" i="1"/>
  <c r="N264" i="1"/>
  <c r="P264" i="1"/>
  <c r="N255" i="1"/>
  <c r="P255" i="1"/>
  <c r="N247" i="1"/>
  <c r="P247" i="1"/>
  <c r="N274" i="1"/>
  <c r="P274" i="1"/>
  <c r="N270" i="1"/>
  <c r="P270" i="1"/>
  <c r="N271" i="1"/>
  <c r="P271" i="1"/>
  <c r="N295" i="1"/>
  <c r="P295" i="1"/>
  <c r="N254" i="1"/>
  <c r="P254" i="1"/>
  <c r="N234" i="1"/>
  <c r="P234" i="1"/>
  <c r="N236" i="1"/>
  <c r="P236" i="1"/>
  <c r="D347" i="1"/>
  <c r="D281" i="1"/>
  <c r="D351" i="1"/>
  <c r="N226" i="1"/>
  <c r="P226" i="1"/>
  <c r="D336" i="1"/>
  <c r="D328" i="1"/>
  <c r="D342" i="1"/>
  <c r="D325" i="1"/>
  <c r="D269" i="1"/>
  <c r="N277" i="1"/>
  <c r="P277" i="1"/>
  <c r="D322" i="1"/>
  <c r="D265" i="1"/>
  <c r="D306" i="1"/>
  <c r="D297" i="1"/>
  <c r="D289" i="1"/>
  <c r="D316" i="1"/>
  <c r="D312" i="1"/>
  <c r="D313" i="1"/>
  <c r="D337" i="1"/>
  <c r="D296" i="1"/>
  <c r="D276" i="1"/>
  <c r="D278" i="1"/>
  <c r="N219" i="1"/>
  <c r="P219" i="1"/>
  <c r="N257" i="1"/>
  <c r="P257" i="1"/>
  <c r="N287" i="1"/>
  <c r="P287" i="1"/>
  <c r="N290" i="1"/>
  <c r="P290" i="1"/>
  <c r="N350" i="1"/>
  <c r="P350" i="1"/>
  <c r="N220" i="1"/>
  <c r="P220" i="1"/>
  <c r="N275" i="1"/>
  <c r="P275" i="1"/>
  <c r="P260" i="1"/>
  <c r="N260" i="1"/>
  <c r="D284" i="1"/>
  <c r="N243" i="1"/>
  <c r="P243" i="1"/>
  <c r="N250" i="1"/>
  <c r="P250" i="1"/>
  <c r="N282" i="1"/>
  <c r="P282" i="1"/>
  <c r="N301" i="1"/>
  <c r="P301" i="1"/>
  <c r="N279" i="1"/>
  <c r="P279" i="1"/>
  <c r="N291" i="1"/>
  <c r="P291" i="1"/>
  <c r="N246" i="1"/>
  <c r="P246" i="1"/>
  <c r="N293" i="1"/>
  <c r="P293" i="1"/>
  <c r="D272" i="1"/>
  <c r="N231" i="1"/>
  <c r="P231" i="1"/>
  <c r="D261" i="1"/>
  <c r="D299" i="1"/>
  <c r="D329" i="1"/>
  <c r="D332" i="1"/>
  <c r="D392" i="1"/>
  <c r="D262" i="1"/>
  <c r="D317" i="1"/>
  <c r="D302" i="1"/>
  <c r="N242" i="1"/>
  <c r="P242" i="1"/>
  <c r="D285" i="1"/>
  <c r="D292" i="1"/>
  <c r="D324" i="1"/>
  <c r="D343" i="1"/>
  <c r="D321" i="1"/>
  <c r="D333" i="1"/>
  <c r="D288" i="1"/>
  <c r="D335" i="1"/>
  <c r="N230" i="1"/>
  <c r="P230" i="1"/>
  <c r="D273" i="1"/>
  <c r="N298" i="1"/>
  <c r="P298" i="1"/>
  <c r="D340" i="1"/>
  <c r="C7" i="8"/>
  <c r="C2" i="8"/>
  <c r="U4" i="1" s="1"/>
  <c r="D315" i="1" l="1"/>
  <c r="N335" i="1"/>
  <c r="P335" i="1"/>
  <c r="N333" i="1"/>
  <c r="P333" i="1"/>
  <c r="P343" i="1"/>
  <c r="N343" i="1"/>
  <c r="P292" i="1"/>
  <c r="N292" i="1"/>
  <c r="N317" i="1"/>
  <c r="P317" i="1"/>
  <c r="N392" i="1"/>
  <c r="P392" i="1"/>
  <c r="N329" i="1"/>
  <c r="P329" i="1"/>
  <c r="N261" i="1"/>
  <c r="P261" i="1"/>
  <c r="N272" i="1"/>
  <c r="P272" i="1"/>
  <c r="N278" i="1"/>
  <c r="P278" i="1"/>
  <c r="N296" i="1"/>
  <c r="P296" i="1"/>
  <c r="N313" i="1"/>
  <c r="P313" i="1"/>
  <c r="D358" i="1"/>
  <c r="N297" i="1"/>
  <c r="P297" i="1"/>
  <c r="N265" i="1"/>
  <c r="P265" i="1"/>
  <c r="N325" i="1"/>
  <c r="P325" i="1"/>
  <c r="D370" i="1"/>
  <c r="N281" i="1"/>
  <c r="P281" i="1"/>
  <c r="N319" i="1"/>
  <c r="P319" i="1"/>
  <c r="N268" i="1"/>
  <c r="P268" i="1"/>
  <c r="N273" i="1"/>
  <c r="P273" i="1"/>
  <c r="D377" i="1"/>
  <c r="D375" i="1"/>
  <c r="D385" i="1"/>
  <c r="D334" i="1"/>
  <c r="D359" i="1"/>
  <c r="D476" i="1"/>
  <c r="D434" i="1"/>
  <c r="D371" i="1"/>
  <c r="D303" i="1"/>
  <c r="D314" i="1"/>
  <c r="D320" i="1"/>
  <c r="D338" i="1"/>
  <c r="D355" i="1"/>
  <c r="N316" i="1"/>
  <c r="P316" i="1"/>
  <c r="D339" i="1"/>
  <c r="D307" i="1"/>
  <c r="D367" i="1"/>
  <c r="N328" i="1"/>
  <c r="P328" i="1"/>
  <c r="D323" i="1"/>
  <c r="D361" i="1"/>
  <c r="D310" i="1"/>
  <c r="N288" i="1"/>
  <c r="P288" i="1"/>
  <c r="N321" i="1"/>
  <c r="P321" i="1"/>
  <c r="P324" i="1"/>
  <c r="N324" i="1"/>
  <c r="D327" i="1"/>
  <c r="N302" i="1"/>
  <c r="P302" i="1"/>
  <c r="N262" i="1"/>
  <c r="P262" i="1"/>
  <c r="P332" i="1"/>
  <c r="N332" i="1"/>
  <c r="P299" i="1"/>
  <c r="N299" i="1"/>
  <c r="N284" i="1"/>
  <c r="P284" i="1"/>
  <c r="P276" i="1"/>
  <c r="N276" i="1"/>
  <c r="N337" i="1"/>
  <c r="P337" i="1"/>
  <c r="D354" i="1"/>
  <c r="N289" i="1"/>
  <c r="P289" i="1"/>
  <c r="N306" i="1"/>
  <c r="P306" i="1"/>
  <c r="N322" i="1"/>
  <c r="P322" i="1"/>
  <c r="D311" i="1"/>
  <c r="N342" i="1"/>
  <c r="P342" i="1"/>
  <c r="N336" i="1"/>
  <c r="P336" i="1"/>
  <c r="D393" i="1"/>
  <c r="P347" i="1"/>
  <c r="N347" i="1"/>
  <c r="D330" i="1"/>
  <c r="D363" i="1"/>
  <c r="D366" i="1"/>
  <c r="N285" i="1"/>
  <c r="P285" i="1"/>
  <c r="D344" i="1"/>
  <c r="D304" i="1"/>
  <c r="D374" i="1"/>
  <c r="D341" i="1"/>
  <c r="D326" i="1"/>
  <c r="D318" i="1"/>
  <c r="D379" i="1"/>
  <c r="N312" i="1"/>
  <c r="P312" i="1"/>
  <c r="D331" i="1"/>
  <c r="D348" i="1"/>
  <c r="D364" i="1"/>
  <c r="N269" i="1"/>
  <c r="P269" i="1"/>
  <c r="D384" i="1"/>
  <c r="D378" i="1"/>
  <c r="N351" i="1"/>
  <c r="P351" i="1"/>
  <c r="D389" i="1"/>
  <c r="N340" i="1"/>
  <c r="P340" i="1"/>
  <c r="D382" i="1"/>
  <c r="L2" i="5"/>
  <c r="F38" i="5"/>
  <c r="F37" i="5"/>
  <c r="F36" i="5"/>
  <c r="F35" i="5"/>
  <c r="F34" i="5"/>
  <c r="F33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7" i="5"/>
  <c r="F16" i="5"/>
  <c r="F15" i="5"/>
  <c r="F14" i="5"/>
  <c r="F13" i="5"/>
  <c r="F12" i="5"/>
  <c r="F10" i="5"/>
  <c r="F9" i="5"/>
  <c r="F8" i="5"/>
  <c r="F7" i="5"/>
  <c r="F6" i="5"/>
  <c r="F5" i="5"/>
  <c r="F3" i="5"/>
  <c r="G4" i="1"/>
  <c r="H4" i="1" s="1"/>
  <c r="N389" i="1" l="1"/>
  <c r="P389" i="1"/>
  <c r="N378" i="1"/>
  <c r="P378" i="1"/>
  <c r="N348" i="1"/>
  <c r="P348" i="1"/>
  <c r="N318" i="1"/>
  <c r="P318" i="1"/>
  <c r="N341" i="1"/>
  <c r="P341" i="1"/>
  <c r="N304" i="1"/>
  <c r="P304" i="1"/>
  <c r="P363" i="1"/>
  <c r="N363" i="1"/>
  <c r="N311" i="1"/>
  <c r="P311" i="1"/>
  <c r="N354" i="1"/>
  <c r="P354" i="1"/>
  <c r="N327" i="1"/>
  <c r="P327" i="1"/>
  <c r="N310" i="1"/>
  <c r="P310" i="1"/>
  <c r="N323" i="1"/>
  <c r="P323" i="1"/>
  <c r="D409" i="1"/>
  <c r="P339" i="1"/>
  <c r="N339" i="1"/>
  <c r="D397" i="1"/>
  <c r="N320" i="1"/>
  <c r="P320" i="1"/>
  <c r="N303" i="1"/>
  <c r="P303" i="1"/>
  <c r="N434" i="1"/>
  <c r="P434" i="1"/>
  <c r="N334" i="1"/>
  <c r="P334" i="1"/>
  <c r="N375" i="1"/>
  <c r="P375" i="1"/>
  <c r="N370" i="1"/>
  <c r="P370" i="1"/>
  <c r="N358" i="1"/>
  <c r="P358" i="1"/>
  <c r="D473" i="1"/>
  <c r="D431" i="1"/>
  <c r="D420" i="1"/>
  <c r="D390" i="1"/>
  <c r="D360" i="1"/>
  <c r="D383" i="1"/>
  <c r="D346" i="1"/>
  <c r="D405" i="1"/>
  <c r="D353" i="1"/>
  <c r="D396" i="1"/>
  <c r="D369" i="1"/>
  <c r="D352" i="1"/>
  <c r="D365" i="1"/>
  <c r="N367" i="1"/>
  <c r="P367" i="1"/>
  <c r="D381" i="1"/>
  <c r="N355" i="1"/>
  <c r="P355" i="1"/>
  <c r="D362" i="1"/>
  <c r="D345" i="1"/>
  <c r="N476" i="1"/>
  <c r="P476" i="1"/>
  <c r="D376" i="1"/>
  <c r="D417" i="1"/>
  <c r="D412" i="1"/>
  <c r="D400" i="1"/>
  <c r="N384" i="1"/>
  <c r="P384" i="1"/>
  <c r="N364" i="1"/>
  <c r="P364" i="1"/>
  <c r="N331" i="1"/>
  <c r="P331" i="1"/>
  <c r="N379" i="1"/>
  <c r="P379" i="1"/>
  <c r="N326" i="1"/>
  <c r="P326" i="1"/>
  <c r="N374" i="1"/>
  <c r="P374" i="1"/>
  <c r="P344" i="1"/>
  <c r="N344" i="1"/>
  <c r="N366" i="1"/>
  <c r="P366" i="1"/>
  <c r="N330" i="1"/>
  <c r="P330" i="1"/>
  <c r="N393" i="1"/>
  <c r="P393" i="1"/>
  <c r="N361" i="1"/>
  <c r="P361" i="1"/>
  <c r="P307" i="1"/>
  <c r="N307" i="1"/>
  <c r="N338" i="1"/>
  <c r="P338" i="1"/>
  <c r="N314" i="1"/>
  <c r="P314" i="1"/>
  <c r="P371" i="1"/>
  <c r="N371" i="1"/>
  <c r="N359" i="1"/>
  <c r="P359" i="1"/>
  <c r="N385" i="1"/>
  <c r="P385" i="1"/>
  <c r="N377" i="1"/>
  <c r="P377" i="1"/>
  <c r="N315" i="1"/>
  <c r="P315" i="1"/>
  <c r="D468" i="1"/>
  <c r="D426" i="1"/>
  <c r="D406" i="1"/>
  <c r="D373" i="1"/>
  <c r="D421" i="1"/>
  <c r="D368" i="1"/>
  <c r="D416" i="1"/>
  <c r="D386" i="1"/>
  <c r="D408" i="1"/>
  <c r="D372" i="1"/>
  <c r="D477" i="1"/>
  <c r="D435" i="1"/>
  <c r="D403" i="1"/>
  <c r="D349" i="1"/>
  <c r="D380" i="1"/>
  <c r="D356" i="1"/>
  <c r="D413" i="1"/>
  <c r="D401" i="1"/>
  <c r="D469" i="1"/>
  <c r="D427" i="1"/>
  <c r="D419" i="1"/>
  <c r="D357" i="1"/>
  <c r="P382" i="1"/>
  <c r="N382" i="1"/>
  <c r="D466" i="1"/>
  <c r="D424" i="1"/>
  <c r="C5" i="2"/>
  <c r="C6" i="2" s="1"/>
  <c r="D6" i="5"/>
  <c r="D7" i="5"/>
  <c r="D8" i="5"/>
  <c r="D9" i="5"/>
  <c r="D10" i="5"/>
  <c r="D11" i="5"/>
  <c r="D12" i="5"/>
  <c r="D13" i="5"/>
  <c r="D14" i="5"/>
  <c r="D15" i="5"/>
  <c r="D17" i="5"/>
  <c r="D18" i="5"/>
  <c r="D19" i="5"/>
  <c r="D20" i="5"/>
  <c r="D21" i="5"/>
  <c r="D22" i="5"/>
  <c r="D29" i="5"/>
  <c r="D30" i="5"/>
  <c r="D31" i="5"/>
  <c r="D32" i="5"/>
  <c r="D33" i="5"/>
  <c r="D35" i="5"/>
  <c r="D36" i="5"/>
  <c r="D3" i="5"/>
  <c r="D4" i="5"/>
  <c r="D5" i="5"/>
  <c r="D16" i="5"/>
  <c r="D23" i="5"/>
  <c r="D24" i="5"/>
  <c r="D25" i="5"/>
  <c r="D26" i="5"/>
  <c r="D27" i="5"/>
  <c r="D28" i="5"/>
  <c r="D34" i="5"/>
  <c r="D37" i="5"/>
  <c r="D38" i="5"/>
  <c r="D39" i="5"/>
  <c r="D40" i="5"/>
  <c r="D41" i="5"/>
  <c r="D42" i="5"/>
  <c r="D43" i="5"/>
  <c r="D2" i="5"/>
  <c r="N357" i="1" l="1"/>
  <c r="P357" i="1"/>
  <c r="P427" i="1"/>
  <c r="N427" i="1"/>
  <c r="N413" i="1"/>
  <c r="P413" i="1"/>
  <c r="N380" i="1"/>
  <c r="P380" i="1"/>
  <c r="N403" i="1"/>
  <c r="P403" i="1"/>
  <c r="N372" i="1"/>
  <c r="P372" i="1"/>
  <c r="N386" i="1"/>
  <c r="P386" i="1"/>
  <c r="N368" i="1"/>
  <c r="P368" i="1"/>
  <c r="N373" i="1"/>
  <c r="P373" i="1"/>
  <c r="N426" i="1"/>
  <c r="P426" i="1"/>
  <c r="N400" i="1"/>
  <c r="P400" i="1"/>
  <c r="N417" i="1"/>
  <c r="P417" i="1"/>
  <c r="N362" i="1"/>
  <c r="P362" i="1"/>
  <c r="N381" i="1"/>
  <c r="P381" i="1"/>
  <c r="N365" i="1"/>
  <c r="P365" i="1"/>
  <c r="N369" i="1"/>
  <c r="P369" i="1"/>
  <c r="N353" i="1"/>
  <c r="P353" i="1"/>
  <c r="N346" i="1"/>
  <c r="P346" i="1"/>
  <c r="N360" i="1"/>
  <c r="P360" i="1"/>
  <c r="N420" i="1"/>
  <c r="P420" i="1"/>
  <c r="D399" i="1"/>
  <c r="P469" i="1"/>
  <c r="N469" i="1"/>
  <c r="D497" i="1"/>
  <c r="D455" i="1"/>
  <c r="D422" i="1"/>
  <c r="D445" i="1"/>
  <c r="D487" i="1"/>
  <c r="D414" i="1"/>
  <c r="D470" i="1"/>
  <c r="D428" i="1"/>
  <c r="D410" i="1"/>
  <c r="D415" i="1"/>
  <c r="N468" i="1"/>
  <c r="P468" i="1"/>
  <c r="D484" i="1"/>
  <c r="D442" i="1"/>
  <c r="D501" i="1"/>
  <c r="D459" i="1"/>
  <c r="D404" i="1"/>
  <c r="D423" i="1"/>
  <c r="D407" i="1"/>
  <c r="D411" i="1"/>
  <c r="D395" i="1"/>
  <c r="D388" i="1"/>
  <c r="D402" i="1"/>
  <c r="D504" i="1"/>
  <c r="D462" i="1"/>
  <c r="N419" i="1"/>
  <c r="P419" i="1"/>
  <c r="N401" i="1"/>
  <c r="P401" i="1"/>
  <c r="N356" i="1"/>
  <c r="P356" i="1"/>
  <c r="N349" i="1"/>
  <c r="P349" i="1"/>
  <c r="N435" i="1"/>
  <c r="P435" i="1"/>
  <c r="N408" i="1"/>
  <c r="P408" i="1"/>
  <c r="P416" i="1"/>
  <c r="N416" i="1"/>
  <c r="P421" i="1"/>
  <c r="N421" i="1"/>
  <c r="N406" i="1"/>
  <c r="P406" i="1"/>
  <c r="N412" i="1"/>
  <c r="P412" i="1"/>
  <c r="N376" i="1"/>
  <c r="P376" i="1"/>
  <c r="N345" i="1"/>
  <c r="P345" i="1"/>
  <c r="P352" i="1"/>
  <c r="N352" i="1"/>
  <c r="P396" i="1"/>
  <c r="N396" i="1"/>
  <c r="P405" i="1"/>
  <c r="N405" i="1"/>
  <c r="N383" i="1"/>
  <c r="P383" i="1"/>
  <c r="N390" i="1"/>
  <c r="P390" i="1"/>
  <c r="N431" i="1"/>
  <c r="P431" i="1"/>
  <c r="N397" i="1"/>
  <c r="P397" i="1"/>
  <c r="N409" i="1"/>
  <c r="P409" i="1"/>
  <c r="D503" i="1"/>
  <c r="D461" i="1"/>
  <c r="D485" i="1"/>
  <c r="D443" i="1"/>
  <c r="D398" i="1"/>
  <c r="D391" i="1"/>
  <c r="N477" i="1"/>
  <c r="P477" i="1"/>
  <c r="D492" i="1"/>
  <c r="D450" i="1"/>
  <c r="D500" i="1"/>
  <c r="D458" i="1"/>
  <c r="D505" i="1"/>
  <c r="D463" i="1"/>
  <c r="D490" i="1"/>
  <c r="D448" i="1"/>
  <c r="D496" i="1"/>
  <c r="D454" i="1"/>
  <c r="D418" i="1"/>
  <c r="D387" i="1"/>
  <c r="D394" i="1"/>
  <c r="D480" i="1"/>
  <c r="D438" i="1"/>
  <c r="D489" i="1"/>
  <c r="D447" i="1"/>
  <c r="D467" i="1"/>
  <c r="D425" i="1"/>
  <c r="D474" i="1"/>
  <c r="D432" i="1"/>
  <c r="N473" i="1"/>
  <c r="P473" i="1"/>
  <c r="D481" i="1"/>
  <c r="D439" i="1"/>
  <c r="D493" i="1"/>
  <c r="D451" i="1"/>
  <c r="N424" i="1"/>
  <c r="P424" i="1"/>
  <c r="P466" i="1"/>
  <c r="N466" i="1"/>
  <c r="K3" i="5"/>
  <c r="L3" i="5" s="1"/>
  <c r="E2" i="5" s="1"/>
  <c r="N451" i="1" l="1"/>
  <c r="P451" i="1"/>
  <c r="N425" i="1"/>
  <c r="P425" i="1"/>
  <c r="N438" i="1"/>
  <c r="P438" i="1"/>
  <c r="N387" i="1"/>
  <c r="P387" i="1"/>
  <c r="N454" i="1"/>
  <c r="P454" i="1"/>
  <c r="N463" i="1"/>
  <c r="P463" i="1"/>
  <c r="N450" i="1"/>
  <c r="P450" i="1"/>
  <c r="N391" i="1"/>
  <c r="P391" i="1"/>
  <c r="P443" i="1"/>
  <c r="N443" i="1"/>
  <c r="N462" i="1"/>
  <c r="P462" i="1"/>
  <c r="N388" i="1"/>
  <c r="P388" i="1"/>
  <c r="N411" i="1"/>
  <c r="P411" i="1"/>
  <c r="N423" i="1"/>
  <c r="P423" i="1"/>
  <c r="N459" i="1"/>
  <c r="P459" i="1"/>
  <c r="D494" i="1"/>
  <c r="D452" i="1"/>
  <c r="N414" i="1"/>
  <c r="P414" i="1"/>
  <c r="N422" i="1"/>
  <c r="P422" i="1"/>
  <c r="N493" i="1"/>
  <c r="P493" i="1"/>
  <c r="N467" i="1"/>
  <c r="P467" i="1"/>
  <c r="N480" i="1"/>
  <c r="P480" i="1"/>
  <c r="D471" i="1"/>
  <c r="D429" i="1"/>
  <c r="N496" i="1"/>
  <c r="P496" i="1"/>
  <c r="N505" i="1"/>
  <c r="P505" i="1"/>
  <c r="P492" i="1"/>
  <c r="N492" i="1"/>
  <c r="D475" i="1"/>
  <c r="D433" i="1"/>
  <c r="P485" i="1"/>
  <c r="N485" i="1"/>
  <c r="N504" i="1"/>
  <c r="P504" i="1"/>
  <c r="D472" i="1"/>
  <c r="D430" i="1"/>
  <c r="D495" i="1"/>
  <c r="D453" i="1"/>
  <c r="D507" i="1"/>
  <c r="D465" i="1"/>
  <c r="P501" i="1"/>
  <c r="N501" i="1"/>
  <c r="N410" i="1"/>
  <c r="P410" i="1"/>
  <c r="D498" i="1"/>
  <c r="D456" i="1"/>
  <c r="D506" i="1"/>
  <c r="D464" i="1"/>
  <c r="N439" i="1"/>
  <c r="P439" i="1"/>
  <c r="N432" i="1"/>
  <c r="P432" i="1"/>
  <c r="N447" i="1"/>
  <c r="P447" i="1"/>
  <c r="D478" i="1"/>
  <c r="D436" i="1"/>
  <c r="N418" i="1"/>
  <c r="P418" i="1"/>
  <c r="P448" i="1"/>
  <c r="N448" i="1"/>
  <c r="N458" i="1"/>
  <c r="P458" i="1"/>
  <c r="D482" i="1"/>
  <c r="D440" i="1"/>
  <c r="N461" i="1"/>
  <c r="P461" i="1"/>
  <c r="N402" i="1"/>
  <c r="P402" i="1"/>
  <c r="N395" i="1"/>
  <c r="P395" i="1"/>
  <c r="N407" i="1"/>
  <c r="P407" i="1"/>
  <c r="N404" i="1"/>
  <c r="P404" i="1"/>
  <c r="N442" i="1"/>
  <c r="P442" i="1"/>
  <c r="N415" i="1"/>
  <c r="P415" i="1"/>
  <c r="P428" i="1"/>
  <c r="N428" i="1"/>
  <c r="N487" i="1"/>
  <c r="P487" i="1"/>
  <c r="N455" i="1"/>
  <c r="P455" i="1"/>
  <c r="N399" i="1"/>
  <c r="P399" i="1"/>
  <c r="N481" i="1"/>
  <c r="P481" i="1"/>
  <c r="N474" i="1"/>
  <c r="P474" i="1"/>
  <c r="N489" i="1"/>
  <c r="P489" i="1"/>
  <c r="N394" i="1"/>
  <c r="P394" i="1"/>
  <c r="D502" i="1"/>
  <c r="D460" i="1"/>
  <c r="N490" i="1"/>
  <c r="P490" i="1"/>
  <c r="P500" i="1"/>
  <c r="N500" i="1"/>
  <c r="N398" i="1"/>
  <c r="P398" i="1"/>
  <c r="N503" i="1"/>
  <c r="P503" i="1"/>
  <c r="D486" i="1"/>
  <c r="D444" i="1"/>
  <c r="D479" i="1"/>
  <c r="D437" i="1"/>
  <c r="D491" i="1"/>
  <c r="D449" i="1"/>
  <c r="D488" i="1"/>
  <c r="D446" i="1"/>
  <c r="N484" i="1"/>
  <c r="P484" i="1"/>
  <c r="D499" i="1"/>
  <c r="D457" i="1"/>
  <c r="N470" i="1"/>
  <c r="P470" i="1"/>
  <c r="N445" i="1"/>
  <c r="P445" i="1"/>
  <c r="N497" i="1"/>
  <c r="P497" i="1"/>
  <c r="D441" i="1"/>
  <c r="D483" i="1"/>
  <c r="I4" i="1"/>
  <c r="E3" i="5"/>
  <c r="E7" i="5"/>
  <c r="E12" i="5"/>
  <c r="I14" i="1" s="1"/>
  <c r="E16" i="5"/>
  <c r="E20" i="5"/>
  <c r="I22" i="1" s="1"/>
  <c r="E24" i="5"/>
  <c r="I26" i="1" s="1"/>
  <c r="E28" i="5"/>
  <c r="I30" i="1" s="1"/>
  <c r="E33" i="5"/>
  <c r="E37" i="5"/>
  <c r="E10" i="5"/>
  <c r="I12" i="1" s="1"/>
  <c r="E23" i="5"/>
  <c r="E31" i="5"/>
  <c r="I33" i="1" s="1"/>
  <c r="E4" i="5"/>
  <c r="E8" i="5"/>
  <c r="E13" i="5"/>
  <c r="I15" i="1" s="1"/>
  <c r="E17" i="5"/>
  <c r="I19" i="1" s="1"/>
  <c r="E21" i="5"/>
  <c r="I23" i="1" s="1"/>
  <c r="E25" i="5"/>
  <c r="I27" i="1" s="1"/>
  <c r="E29" i="5"/>
  <c r="I31" i="1" s="1"/>
  <c r="E34" i="5"/>
  <c r="E38" i="5"/>
  <c r="I40" i="1" s="1"/>
  <c r="E6" i="5"/>
  <c r="E19" i="5"/>
  <c r="I21" i="1" s="1"/>
  <c r="E27" i="5"/>
  <c r="E36" i="5"/>
  <c r="I38" i="1" s="1"/>
  <c r="E5" i="5"/>
  <c r="E9" i="5"/>
  <c r="E14" i="5"/>
  <c r="I16" i="1" s="1"/>
  <c r="E18" i="5"/>
  <c r="I20" i="1" s="1"/>
  <c r="E22" i="5"/>
  <c r="I24" i="1" s="1"/>
  <c r="E26" i="5"/>
  <c r="I28" i="1" s="1"/>
  <c r="E30" i="5"/>
  <c r="I32" i="1" s="1"/>
  <c r="E35" i="5"/>
  <c r="I37" i="1" s="1"/>
  <c r="E39" i="5"/>
  <c r="E15" i="5"/>
  <c r="I17" i="1" s="1"/>
  <c r="I29" i="1"/>
  <c r="K10" i="5" l="1"/>
  <c r="K11" i="5"/>
  <c r="I11" i="1"/>
  <c r="K12" i="5"/>
  <c r="I10" i="1"/>
  <c r="I9" i="1"/>
  <c r="I25" i="1"/>
  <c r="C23" i="8"/>
  <c r="U25" i="1" s="1"/>
  <c r="N483" i="1"/>
  <c r="P483" i="1"/>
  <c r="N457" i="1"/>
  <c r="P457" i="1"/>
  <c r="N446" i="1"/>
  <c r="P446" i="1"/>
  <c r="P437" i="1"/>
  <c r="N437" i="1"/>
  <c r="P460" i="1"/>
  <c r="N460" i="1"/>
  <c r="N440" i="1"/>
  <c r="P440" i="1"/>
  <c r="P436" i="1"/>
  <c r="N436" i="1"/>
  <c r="P464" i="1"/>
  <c r="N464" i="1"/>
  <c r="N465" i="1"/>
  <c r="P465" i="1"/>
  <c r="N430" i="1"/>
  <c r="P430" i="1"/>
  <c r="N441" i="1"/>
  <c r="P441" i="1"/>
  <c r="N499" i="1"/>
  <c r="P499" i="1"/>
  <c r="N488" i="1"/>
  <c r="P488" i="1"/>
  <c r="N479" i="1"/>
  <c r="P479" i="1"/>
  <c r="N502" i="1"/>
  <c r="P502" i="1"/>
  <c r="N482" i="1"/>
  <c r="P482" i="1"/>
  <c r="N478" i="1"/>
  <c r="P478" i="1"/>
  <c r="N506" i="1"/>
  <c r="P506" i="1"/>
  <c r="P507" i="1"/>
  <c r="N507" i="1"/>
  <c r="P472" i="1"/>
  <c r="N472" i="1"/>
  <c r="N449" i="1"/>
  <c r="P449" i="1"/>
  <c r="P444" i="1"/>
  <c r="N444" i="1"/>
  <c r="N456" i="1"/>
  <c r="P456" i="1"/>
  <c r="N453" i="1"/>
  <c r="P453" i="1"/>
  <c r="N433" i="1"/>
  <c r="P433" i="1"/>
  <c r="N429" i="1"/>
  <c r="P429" i="1"/>
  <c r="N452" i="1"/>
  <c r="P452" i="1"/>
  <c r="P491" i="1"/>
  <c r="N491" i="1"/>
  <c r="N486" i="1"/>
  <c r="P486" i="1"/>
  <c r="N498" i="1"/>
  <c r="P498" i="1"/>
  <c r="N495" i="1"/>
  <c r="P495" i="1"/>
  <c r="N475" i="1"/>
  <c r="P475" i="1"/>
  <c r="N471" i="1"/>
  <c r="P471" i="1"/>
  <c r="P494" i="1"/>
  <c r="N494" i="1"/>
  <c r="I8" i="1"/>
  <c r="I5" i="1"/>
  <c r="J4" i="1"/>
  <c r="I35" i="1"/>
  <c r="E43" i="5" l="1"/>
  <c r="E42" i="5"/>
  <c r="E40" i="5"/>
  <c r="E32" i="5"/>
  <c r="E11" i="5"/>
  <c r="E41" i="5"/>
  <c r="C9" i="2"/>
  <c r="E9" i="2" l="1"/>
  <c r="E10" i="2" s="1"/>
  <c r="B16" i="9"/>
  <c r="B19" i="9" s="1"/>
  <c r="B17" i="9"/>
  <c r="B20" i="9" s="1"/>
  <c r="B18" i="9"/>
  <c r="B21" i="9" s="1"/>
  <c r="B10" i="9"/>
  <c r="G244" i="1"/>
  <c r="H244" i="1" s="1"/>
  <c r="K244" i="1"/>
  <c r="G245" i="1"/>
  <c r="H245" i="1" s="1"/>
  <c r="I245" i="1" s="1"/>
  <c r="K245" i="1"/>
  <c r="G246" i="1"/>
  <c r="H246" i="1" s="1"/>
  <c r="I246" i="1" s="1"/>
  <c r="K246" i="1"/>
  <c r="G247" i="1"/>
  <c r="H247" i="1" s="1"/>
  <c r="I247" i="1" s="1"/>
  <c r="K247" i="1"/>
  <c r="G248" i="1"/>
  <c r="H248" i="1" s="1"/>
  <c r="I248" i="1" s="1"/>
  <c r="K248" i="1"/>
  <c r="G249" i="1"/>
  <c r="H249" i="1" s="1"/>
  <c r="I249" i="1" s="1"/>
  <c r="K249" i="1"/>
  <c r="G250" i="1"/>
  <c r="H250" i="1" s="1"/>
  <c r="I250" i="1" s="1"/>
  <c r="K250" i="1"/>
  <c r="G251" i="1"/>
  <c r="H251" i="1" s="1"/>
  <c r="I251" i="1" s="1"/>
  <c r="K251" i="1"/>
  <c r="G252" i="1"/>
  <c r="H252" i="1" s="1"/>
  <c r="K252" i="1"/>
  <c r="G253" i="1"/>
  <c r="H253" i="1" s="1"/>
  <c r="K253" i="1"/>
  <c r="G254" i="1"/>
  <c r="H254" i="1" s="1"/>
  <c r="K254" i="1"/>
  <c r="G255" i="1"/>
  <c r="H255" i="1" s="1"/>
  <c r="K255" i="1"/>
  <c r="G256" i="1"/>
  <c r="H256" i="1" s="1"/>
  <c r="I256" i="1" s="1"/>
  <c r="K256" i="1"/>
  <c r="G257" i="1"/>
  <c r="H257" i="1" s="1"/>
  <c r="I257" i="1" s="1"/>
  <c r="K257" i="1"/>
  <c r="G258" i="1"/>
  <c r="H258" i="1" s="1"/>
  <c r="I258" i="1" s="1"/>
  <c r="K258" i="1"/>
  <c r="G259" i="1"/>
  <c r="H259" i="1" s="1"/>
  <c r="I259" i="1" s="1"/>
  <c r="K259" i="1"/>
  <c r="G260" i="1"/>
  <c r="H260" i="1" s="1"/>
  <c r="I260" i="1" s="1"/>
  <c r="K260" i="1"/>
  <c r="G261" i="1"/>
  <c r="H261" i="1" s="1"/>
  <c r="I261" i="1" s="1"/>
  <c r="K261" i="1"/>
  <c r="G262" i="1"/>
  <c r="H262" i="1" s="1"/>
  <c r="I262" i="1" s="1"/>
  <c r="K262" i="1"/>
  <c r="G263" i="1"/>
  <c r="H263" i="1" s="1"/>
  <c r="I263" i="1" s="1"/>
  <c r="K263" i="1"/>
  <c r="G264" i="1"/>
  <c r="H264" i="1" s="1"/>
  <c r="I264" i="1" s="1"/>
  <c r="K264" i="1"/>
  <c r="G265" i="1"/>
  <c r="H265" i="1" s="1"/>
  <c r="K265" i="1"/>
  <c r="G266" i="1"/>
  <c r="H266" i="1" s="1"/>
  <c r="I266" i="1" s="1"/>
  <c r="K266" i="1"/>
  <c r="G267" i="1"/>
  <c r="H267" i="1" s="1"/>
  <c r="I267" i="1" s="1"/>
  <c r="K267" i="1"/>
  <c r="G268" i="1"/>
  <c r="H268" i="1" s="1"/>
  <c r="I268" i="1" s="1"/>
  <c r="K268" i="1"/>
  <c r="G269" i="1"/>
  <c r="H269" i="1" s="1"/>
  <c r="I269" i="1" s="1"/>
  <c r="K269" i="1"/>
  <c r="G270" i="1"/>
  <c r="H270" i="1" s="1"/>
  <c r="I270" i="1" s="1"/>
  <c r="K270" i="1"/>
  <c r="G271" i="1"/>
  <c r="H271" i="1" s="1"/>
  <c r="I271" i="1" s="1"/>
  <c r="K271" i="1"/>
  <c r="G272" i="1"/>
  <c r="H272" i="1" s="1"/>
  <c r="I272" i="1" s="1"/>
  <c r="K272" i="1"/>
  <c r="G273" i="1"/>
  <c r="H273" i="1" s="1"/>
  <c r="I273" i="1" s="1"/>
  <c r="K273" i="1"/>
  <c r="G274" i="1"/>
  <c r="H274" i="1" s="1"/>
  <c r="I274" i="1" s="1"/>
  <c r="K274" i="1"/>
  <c r="G275" i="1"/>
  <c r="H275" i="1" s="1"/>
  <c r="I275" i="1" s="1"/>
  <c r="K275" i="1"/>
  <c r="G276" i="1"/>
  <c r="H276" i="1" s="1"/>
  <c r="I276" i="1" s="1"/>
  <c r="K276" i="1"/>
  <c r="G277" i="1"/>
  <c r="H277" i="1" s="1"/>
  <c r="I277" i="1" s="1"/>
  <c r="K277" i="1"/>
  <c r="G278" i="1"/>
  <c r="H278" i="1" s="1"/>
  <c r="I278" i="1" s="1"/>
  <c r="K278" i="1"/>
  <c r="G279" i="1"/>
  <c r="H279" i="1" s="1"/>
  <c r="I279" i="1" s="1"/>
  <c r="K279" i="1"/>
  <c r="G280" i="1"/>
  <c r="H280" i="1" s="1"/>
  <c r="I280" i="1" s="1"/>
  <c r="K280" i="1"/>
  <c r="G281" i="1"/>
  <c r="H281" i="1" s="1"/>
  <c r="I281" i="1" s="1"/>
  <c r="K281" i="1"/>
  <c r="G282" i="1"/>
  <c r="H282" i="1" s="1"/>
  <c r="I282" i="1" s="1"/>
  <c r="K282" i="1"/>
  <c r="G283" i="1"/>
  <c r="H283" i="1" s="1"/>
  <c r="I283" i="1" s="1"/>
  <c r="K283" i="1"/>
  <c r="G284" i="1"/>
  <c r="H284" i="1" s="1"/>
  <c r="I284" i="1" s="1"/>
  <c r="K284" i="1"/>
  <c r="G285" i="1"/>
  <c r="H285" i="1" s="1"/>
  <c r="I285" i="1" s="1"/>
  <c r="K285" i="1"/>
  <c r="G286" i="1"/>
  <c r="H286" i="1" s="1"/>
  <c r="K286" i="1"/>
  <c r="G287" i="1"/>
  <c r="H287" i="1" s="1"/>
  <c r="I287" i="1" s="1"/>
  <c r="K287" i="1"/>
  <c r="G288" i="1"/>
  <c r="H288" i="1" s="1"/>
  <c r="I288" i="1" s="1"/>
  <c r="K288" i="1"/>
  <c r="G289" i="1"/>
  <c r="H289" i="1" s="1"/>
  <c r="I289" i="1" s="1"/>
  <c r="K289" i="1"/>
  <c r="G290" i="1"/>
  <c r="H290" i="1" s="1"/>
  <c r="I290" i="1" s="1"/>
  <c r="K290" i="1"/>
  <c r="G291" i="1"/>
  <c r="H291" i="1" s="1"/>
  <c r="I291" i="1" s="1"/>
  <c r="K291" i="1"/>
  <c r="G292" i="1"/>
  <c r="H292" i="1" s="1"/>
  <c r="I292" i="1" s="1"/>
  <c r="K292" i="1"/>
  <c r="G293" i="1"/>
  <c r="H293" i="1" s="1"/>
  <c r="I293" i="1" s="1"/>
  <c r="K293" i="1"/>
  <c r="G294" i="1"/>
  <c r="H294" i="1" s="1"/>
  <c r="K294" i="1"/>
  <c r="G295" i="1"/>
  <c r="H295" i="1" s="1"/>
  <c r="K295" i="1"/>
  <c r="G296" i="1"/>
  <c r="H296" i="1" s="1"/>
  <c r="K296" i="1"/>
  <c r="G297" i="1"/>
  <c r="H297" i="1" s="1"/>
  <c r="K297" i="1"/>
  <c r="G298" i="1"/>
  <c r="H298" i="1" s="1"/>
  <c r="I298" i="1" s="1"/>
  <c r="K298" i="1"/>
  <c r="G299" i="1"/>
  <c r="H299" i="1" s="1"/>
  <c r="I299" i="1" s="1"/>
  <c r="K299" i="1"/>
  <c r="G300" i="1"/>
  <c r="H300" i="1" s="1"/>
  <c r="I300" i="1" s="1"/>
  <c r="K300" i="1"/>
  <c r="G301" i="1"/>
  <c r="H301" i="1" s="1"/>
  <c r="I301" i="1" s="1"/>
  <c r="K301" i="1"/>
  <c r="G302" i="1"/>
  <c r="H302" i="1" s="1"/>
  <c r="I302" i="1" s="1"/>
  <c r="K302" i="1"/>
  <c r="G303" i="1"/>
  <c r="H303" i="1" s="1"/>
  <c r="I303" i="1" s="1"/>
  <c r="K303" i="1"/>
  <c r="G304" i="1"/>
  <c r="H304" i="1" s="1"/>
  <c r="I304" i="1" s="1"/>
  <c r="K304" i="1"/>
  <c r="G305" i="1"/>
  <c r="H305" i="1" s="1"/>
  <c r="I305" i="1" s="1"/>
  <c r="K305" i="1"/>
  <c r="G306" i="1"/>
  <c r="H306" i="1" s="1"/>
  <c r="I306" i="1" s="1"/>
  <c r="K306" i="1"/>
  <c r="G307" i="1"/>
  <c r="H307" i="1" s="1"/>
  <c r="K307" i="1"/>
  <c r="G308" i="1"/>
  <c r="H308" i="1" s="1"/>
  <c r="I308" i="1" s="1"/>
  <c r="K308" i="1"/>
  <c r="G309" i="1"/>
  <c r="H309" i="1" s="1"/>
  <c r="I309" i="1" s="1"/>
  <c r="K309" i="1"/>
  <c r="G310" i="1"/>
  <c r="H310" i="1" s="1"/>
  <c r="I310" i="1" s="1"/>
  <c r="K310" i="1"/>
  <c r="G311" i="1"/>
  <c r="H311" i="1" s="1"/>
  <c r="I311" i="1" s="1"/>
  <c r="K311" i="1"/>
  <c r="G312" i="1"/>
  <c r="H312" i="1" s="1"/>
  <c r="I312" i="1" s="1"/>
  <c r="K312" i="1"/>
  <c r="G313" i="1"/>
  <c r="H313" i="1" s="1"/>
  <c r="I313" i="1" s="1"/>
  <c r="K313" i="1"/>
  <c r="G314" i="1"/>
  <c r="H314" i="1" s="1"/>
  <c r="I314" i="1" s="1"/>
  <c r="K314" i="1"/>
  <c r="G315" i="1"/>
  <c r="H315" i="1" s="1"/>
  <c r="I315" i="1" s="1"/>
  <c r="K315" i="1"/>
  <c r="G316" i="1"/>
  <c r="H316" i="1" s="1"/>
  <c r="I316" i="1" s="1"/>
  <c r="K316" i="1"/>
  <c r="G317" i="1"/>
  <c r="H317" i="1" s="1"/>
  <c r="I317" i="1" s="1"/>
  <c r="K317" i="1"/>
  <c r="G318" i="1"/>
  <c r="H318" i="1" s="1"/>
  <c r="I318" i="1" s="1"/>
  <c r="K318" i="1"/>
  <c r="G319" i="1"/>
  <c r="H319" i="1" s="1"/>
  <c r="I319" i="1" s="1"/>
  <c r="K319" i="1"/>
  <c r="G320" i="1"/>
  <c r="H320" i="1" s="1"/>
  <c r="I320" i="1" s="1"/>
  <c r="K320" i="1"/>
  <c r="G321" i="1"/>
  <c r="H321" i="1" s="1"/>
  <c r="I321" i="1" s="1"/>
  <c r="K321" i="1"/>
  <c r="G322" i="1"/>
  <c r="H322" i="1" s="1"/>
  <c r="I322" i="1" s="1"/>
  <c r="K322" i="1"/>
  <c r="G323" i="1"/>
  <c r="H323" i="1" s="1"/>
  <c r="I323" i="1" s="1"/>
  <c r="K323" i="1"/>
  <c r="G324" i="1"/>
  <c r="H324" i="1" s="1"/>
  <c r="I324" i="1" s="1"/>
  <c r="K324" i="1"/>
  <c r="G325" i="1"/>
  <c r="H325" i="1" s="1"/>
  <c r="I325" i="1" s="1"/>
  <c r="K325" i="1"/>
  <c r="G326" i="1"/>
  <c r="H326" i="1" s="1"/>
  <c r="I326" i="1" s="1"/>
  <c r="K326" i="1"/>
  <c r="G327" i="1"/>
  <c r="H327" i="1" s="1"/>
  <c r="I327" i="1" s="1"/>
  <c r="K327" i="1"/>
  <c r="G328" i="1"/>
  <c r="H328" i="1" s="1"/>
  <c r="K328" i="1"/>
  <c r="G329" i="1"/>
  <c r="H329" i="1" s="1"/>
  <c r="I329" i="1" s="1"/>
  <c r="K329" i="1"/>
  <c r="G330" i="1"/>
  <c r="H330" i="1" s="1"/>
  <c r="I330" i="1" s="1"/>
  <c r="K330" i="1"/>
  <c r="G331" i="1"/>
  <c r="H331" i="1" s="1"/>
  <c r="I331" i="1" s="1"/>
  <c r="K331" i="1"/>
  <c r="G332" i="1"/>
  <c r="H332" i="1" s="1"/>
  <c r="I332" i="1" s="1"/>
  <c r="K332" i="1"/>
  <c r="G333" i="1"/>
  <c r="H333" i="1" s="1"/>
  <c r="I333" i="1" s="1"/>
  <c r="K333" i="1"/>
  <c r="G334" i="1"/>
  <c r="H334" i="1" s="1"/>
  <c r="I334" i="1" s="1"/>
  <c r="K334" i="1"/>
  <c r="G335" i="1"/>
  <c r="H335" i="1" s="1"/>
  <c r="I335" i="1" s="1"/>
  <c r="K335" i="1"/>
  <c r="G336" i="1"/>
  <c r="H336" i="1" s="1"/>
  <c r="K336" i="1"/>
  <c r="G337" i="1"/>
  <c r="H337" i="1" s="1"/>
  <c r="K337" i="1"/>
  <c r="G338" i="1"/>
  <c r="H338" i="1" s="1"/>
  <c r="K338" i="1"/>
  <c r="G339" i="1"/>
  <c r="H339" i="1" s="1"/>
  <c r="K339" i="1"/>
  <c r="G340" i="1"/>
  <c r="H340" i="1" s="1"/>
  <c r="I340" i="1" s="1"/>
  <c r="K340" i="1"/>
  <c r="G341" i="1"/>
  <c r="H341" i="1" s="1"/>
  <c r="I341" i="1" s="1"/>
  <c r="K341" i="1"/>
  <c r="G342" i="1"/>
  <c r="H342" i="1" s="1"/>
  <c r="I342" i="1" s="1"/>
  <c r="K342" i="1"/>
  <c r="G343" i="1"/>
  <c r="H343" i="1" s="1"/>
  <c r="I343" i="1" s="1"/>
  <c r="K343" i="1"/>
  <c r="G344" i="1"/>
  <c r="H344" i="1" s="1"/>
  <c r="I344" i="1" s="1"/>
  <c r="K344" i="1"/>
  <c r="G345" i="1"/>
  <c r="H345" i="1" s="1"/>
  <c r="I345" i="1" s="1"/>
  <c r="K345" i="1"/>
  <c r="G346" i="1"/>
  <c r="H346" i="1" s="1"/>
  <c r="I346" i="1" s="1"/>
  <c r="K346" i="1"/>
  <c r="G347" i="1"/>
  <c r="H347" i="1" s="1"/>
  <c r="I347" i="1" s="1"/>
  <c r="K347" i="1"/>
  <c r="G348" i="1"/>
  <c r="H348" i="1" s="1"/>
  <c r="I348" i="1" s="1"/>
  <c r="K348" i="1"/>
  <c r="G349" i="1"/>
  <c r="H349" i="1" s="1"/>
  <c r="K349" i="1"/>
  <c r="G350" i="1"/>
  <c r="H350" i="1" s="1"/>
  <c r="I350" i="1" s="1"/>
  <c r="K350" i="1"/>
  <c r="G351" i="1"/>
  <c r="H351" i="1" s="1"/>
  <c r="I351" i="1" s="1"/>
  <c r="K351" i="1"/>
  <c r="G352" i="1"/>
  <c r="H352" i="1" s="1"/>
  <c r="I352" i="1" s="1"/>
  <c r="K352" i="1"/>
  <c r="G353" i="1"/>
  <c r="H353" i="1" s="1"/>
  <c r="I353" i="1" s="1"/>
  <c r="K353" i="1"/>
  <c r="G354" i="1"/>
  <c r="H354" i="1" s="1"/>
  <c r="I354" i="1" s="1"/>
  <c r="K354" i="1"/>
  <c r="G355" i="1"/>
  <c r="H355" i="1" s="1"/>
  <c r="I355" i="1" s="1"/>
  <c r="K355" i="1"/>
  <c r="G356" i="1"/>
  <c r="H356" i="1" s="1"/>
  <c r="I356" i="1" s="1"/>
  <c r="K356" i="1"/>
  <c r="G357" i="1"/>
  <c r="H357" i="1" s="1"/>
  <c r="I357" i="1" s="1"/>
  <c r="K357" i="1"/>
  <c r="G358" i="1"/>
  <c r="H358" i="1" s="1"/>
  <c r="I358" i="1" s="1"/>
  <c r="K358" i="1"/>
  <c r="G359" i="1"/>
  <c r="H359" i="1" s="1"/>
  <c r="I359" i="1" s="1"/>
  <c r="K359" i="1"/>
  <c r="G360" i="1"/>
  <c r="H360" i="1" s="1"/>
  <c r="I360" i="1" s="1"/>
  <c r="K360" i="1"/>
  <c r="G361" i="1"/>
  <c r="H361" i="1" s="1"/>
  <c r="I361" i="1" s="1"/>
  <c r="K361" i="1"/>
  <c r="G362" i="1"/>
  <c r="H362" i="1" s="1"/>
  <c r="I362" i="1" s="1"/>
  <c r="K362" i="1"/>
  <c r="G363" i="1"/>
  <c r="H363" i="1" s="1"/>
  <c r="I363" i="1" s="1"/>
  <c r="K363" i="1"/>
  <c r="G364" i="1"/>
  <c r="H364" i="1" s="1"/>
  <c r="I364" i="1" s="1"/>
  <c r="K364" i="1"/>
  <c r="G365" i="1"/>
  <c r="H365" i="1" s="1"/>
  <c r="I365" i="1" s="1"/>
  <c r="K365" i="1"/>
  <c r="G366" i="1"/>
  <c r="H366" i="1" s="1"/>
  <c r="I366" i="1" s="1"/>
  <c r="K366" i="1"/>
  <c r="G367" i="1"/>
  <c r="H367" i="1" s="1"/>
  <c r="I367" i="1" s="1"/>
  <c r="K367" i="1"/>
  <c r="G368" i="1"/>
  <c r="H368" i="1" s="1"/>
  <c r="I368" i="1" s="1"/>
  <c r="K368" i="1"/>
  <c r="G369" i="1"/>
  <c r="H369" i="1" s="1"/>
  <c r="I369" i="1" s="1"/>
  <c r="K369" i="1"/>
  <c r="G370" i="1"/>
  <c r="H370" i="1" s="1"/>
  <c r="K370" i="1"/>
  <c r="G371" i="1"/>
  <c r="H371" i="1" s="1"/>
  <c r="I371" i="1" s="1"/>
  <c r="K371" i="1"/>
  <c r="G372" i="1"/>
  <c r="H372" i="1" s="1"/>
  <c r="I372" i="1" s="1"/>
  <c r="K372" i="1"/>
  <c r="G373" i="1"/>
  <c r="H373" i="1" s="1"/>
  <c r="I373" i="1" s="1"/>
  <c r="K373" i="1"/>
  <c r="G374" i="1"/>
  <c r="H374" i="1" s="1"/>
  <c r="I374" i="1" s="1"/>
  <c r="K374" i="1"/>
  <c r="G375" i="1"/>
  <c r="H375" i="1" s="1"/>
  <c r="I375" i="1" s="1"/>
  <c r="K375" i="1"/>
  <c r="G376" i="1"/>
  <c r="H376" i="1" s="1"/>
  <c r="I376" i="1" s="1"/>
  <c r="K376" i="1"/>
  <c r="G377" i="1"/>
  <c r="H377" i="1" s="1"/>
  <c r="I377" i="1" s="1"/>
  <c r="K377" i="1"/>
  <c r="G378" i="1"/>
  <c r="H378" i="1" s="1"/>
  <c r="K378" i="1"/>
  <c r="G379" i="1"/>
  <c r="H379" i="1" s="1"/>
  <c r="K379" i="1"/>
  <c r="G380" i="1"/>
  <c r="H380" i="1" s="1"/>
  <c r="K380" i="1"/>
  <c r="G381" i="1"/>
  <c r="H381" i="1" s="1"/>
  <c r="K381" i="1"/>
  <c r="G382" i="1"/>
  <c r="H382" i="1" s="1"/>
  <c r="I382" i="1" s="1"/>
  <c r="K382" i="1"/>
  <c r="G383" i="1"/>
  <c r="H383" i="1" s="1"/>
  <c r="I383" i="1" s="1"/>
  <c r="K383" i="1"/>
  <c r="G384" i="1"/>
  <c r="H384" i="1" s="1"/>
  <c r="I384" i="1" s="1"/>
  <c r="K384" i="1"/>
  <c r="G385" i="1"/>
  <c r="H385" i="1" s="1"/>
  <c r="I385" i="1" s="1"/>
  <c r="K385" i="1"/>
  <c r="G386" i="1"/>
  <c r="H386" i="1" s="1"/>
  <c r="I386" i="1" s="1"/>
  <c r="K386" i="1"/>
  <c r="G387" i="1"/>
  <c r="H387" i="1" s="1"/>
  <c r="I387" i="1" s="1"/>
  <c r="K387" i="1"/>
  <c r="G388" i="1"/>
  <c r="H388" i="1" s="1"/>
  <c r="I388" i="1" s="1"/>
  <c r="K388" i="1"/>
  <c r="G389" i="1"/>
  <c r="H389" i="1" s="1"/>
  <c r="I389" i="1" s="1"/>
  <c r="K389" i="1"/>
  <c r="G390" i="1"/>
  <c r="H390" i="1" s="1"/>
  <c r="I390" i="1" s="1"/>
  <c r="K390" i="1"/>
  <c r="G391" i="1"/>
  <c r="H391" i="1" s="1"/>
  <c r="K391" i="1"/>
  <c r="G392" i="1"/>
  <c r="H392" i="1" s="1"/>
  <c r="I392" i="1" s="1"/>
  <c r="K392" i="1"/>
  <c r="G393" i="1"/>
  <c r="H393" i="1" s="1"/>
  <c r="I393" i="1" s="1"/>
  <c r="K393" i="1"/>
  <c r="G394" i="1"/>
  <c r="H394" i="1" s="1"/>
  <c r="I394" i="1" s="1"/>
  <c r="K394" i="1"/>
  <c r="G395" i="1"/>
  <c r="H395" i="1" s="1"/>
  <c r="I395" i="1" s="1"/>
  <c r="K395" i="1"/>
  <c r="G396" i="1"/>
  <c r="H396" i="1" s="1"/>
  <c r="I396" i="1" s="1"/>
  <c r="K396" i="1"/>
  <c r="G397" i="1"/>
  <c r="H397" i="1" s="1"/>
  <c r="I397" i="1" s="1"/>
  <c r="K397" i="1"/>
  <c r="G398" i="1"/>
  <c r="H398" i="1" s="1"/>
  <c r="I398" i="1" s="1"/>
  <c r="K398" i="1"/>
  <c r="G399" i="1"/>
  <c r="H399" i="1" s="1"/>
  <c r="I399" i="1" s="1"/>
  <c r="K399" i="1"/>
  <c r="G400" i="1"/>
  <c r="H400" i="1" s="1"/>
  <c r="I400" i="1" s="1"/>
  <c r="K400" i="1"/>
  <c r="G401" i="1"/>
  <c r="H401" i="1" s="1"/>
  <c r="I401" i="1" s="1"/>
  <c r="K401" i="1"/>
  <c r="G402" i="1"/>
  <c r="H402" i="1" s="1"/>
  <c r="I402" i="1" s="1"/>
  <c r="K402" i="1"/>
  <c r="G403" i="1"/>
  <c r="H403" i="1" s="1"/>
  <c r="I403" i="1" s="1"/>
  <c r="K403" i="1"/>
  <c r="G404" i="1"/>
  <c r="H404" i="1" s="1"/>
  <c r="I404" i="1" s="1"/>
  <c r="K404" i="1"/>
  <c r="G405" i="1"/>
  <c r="H405" i="1" s="1"/>
  <c r="I405" i="1" s="1"/>
  <c r="K405" i="1"/>
  <c r="G406" i="1"/>
  <c r="H406" i="1" s="1"/>
  <c r="I406" i="1" s="1"/>
  <c r="K406" i="1"/>
  <c r="G407" i="1"/>
  <c r="H407" i="1" s="1"/>
  <c r="I407" i="1" s="1"/>
  <c r="K407" i="1"/>
  <c r="G408" i="1"/>
  <c r="H408" i="1" s="1"/>
  <c r="I408" i="1" s="1"/>
  <c r="K408" i="1"/>
  <c r="G409" i="1"/>
  <c r="H409" i="1" s="1"/>
  <c r="I409" i="1" s="1"/>
  <c r="K409" i="1"/>
  <c r="G410" i="1"/>
  <c r="H410" i="1" s="1"/>
  <c r="I410" i="1" s="1"/>
  <c r="K410" i="1"/>
  <c r="G411" i="1"/>
  <c r="H411" i="1" s="1"/>
  <c r="I411" i="1" s="1"/>
  <c r="K411" i="1"/>
  <c r="G412" i="1"/>
  <c r="H412" i="1" s="1"/>
  <c r="K412" i="1"/>
  <c r="G413" i="1"/>
  <c r="H413" i="1" s="1"/>
  <c r="I413" i="1" s="1"/>
  <c r="K413" i="1"/>
  <c r="G414" i="1"/>
  <c r="H414" i="1" s="1"/>
  <c r="I414" i="1" s="1"/>
  <c r="K414" i="1"/>
  <c r="G415" i="1"/>
  <c r="H415" i="1" s="1"/>
  <c r="I415" i="1" s="1"/>
  <c r="K415" i="1"/>
  <c r="G416" i="1"/>
  <c r="H416" i="1" s="1"/>
  <c r="I416" i="1" s="1"/>
  <c r="K416" i="1"/>
  <c r="G417" i="1"/>
  <c r="H417" i="1" s="1"/>
  <c r="I417" i="1" s="1"/>
  <c r="K417" i="1"/>
  <c r="G418" i="1"/>
  <c r="H418" i="1" s="1"/>
  <c r="I418" i="1" s="1"/>
  <c r="K418" i="1"/>
  <c r="G419" i="1"/>
  <c r="H419" i="1" s="1"/>
  <c r="I419" i="1" s="1"/>
  <c r="K419" i="1"/>
  <c r="G420" i="1"/>
  <c r="H420" i="1" s="1"/>
  <c r="K420" i="1"/>
  <c r="G421" i="1"/>
  <c r="H421" i="1" s="1"/>
  <c r="K421" i="1"/>
  <c r="G422" i="1"/>
  <c r="H422" i="1" s="1"/>
  <c r="K422" i="1"/>
  <c r="G423" i="1"/>
  <c r="H423" i="1" s="1"/>
  <c r="K423" i="1"/>
  <c r="G424" i="1"/>
  <c r="H424" i="1" s="1"/>
  <c r="I424" i="1" s="1"/>
  <c r="K424" i="1"/>
  <c r="G425" i="1"/>
  <c r="H425" i="1" s="1"/>
  <c r="I425" i="1" s="1"/>
  <c r="K425" i="1"/>
  <c r="G426" i="1"/>
  <c r="H426" i="1" s="1"/>
  <c r="I426" i="1" s="1"/>
  <c r="K426" i="1"/>
  <c r="G427" i="1"/>
  <c r="H427" i="1" s="1"/>
  <c r="I427" i="1" s="1"/>
  <c r="K427" i="1"/>
  <c r="G428" i="1"/>
  <c r="H428" i="1" s="1"/>
  <c r="I428" i="1" s="1"/>
  <c r="K428" i="1"/>
  <c r="G429" i="1"/>
  <c r="H429" i="1" s="1"/>
  <c r="I429" i="1" s="1"/>
  <c r="K429" i="1"/>
  <c r="G430" i="1"/>
  <c r="H430" i="1" s="1"/>
  <c r="I430" i="1" s="1"/>
  <c r="K430" i="1"/>
  <c r="G431" i="1"/>
  <c r="H431" i="1" s="1"/>
  <c r="I431" i="1" s="1"/>
  <c r="K431" i="1"/>
  <c r="G432" i="1"/>
  <c r="H432" i="1" s="1"/>
  <c r="I432" i="1" s="1"/>
  <c r="K432" i="1"/>
  <c r="G433" i="1"/>
  <c r="H433" i="1" s="1"/>
  <c r="K433" i="1"/>
  <c r="G434" i="1"/>
  <c r="H434" i="1" s="1"/>
  <c r="I434" i="1" s="1"/>
  <c r="K434" i="1"/>
  <c r="G435" i="1"/>
  <c r="H435" i="1" s="1"/>
  <c r="I435" i="1" s="1"/>
  <c r="K435" i="1"/>
  <c r="G436" i="1"/>
  <c r="H436" i="1" s="1"/>
  <c r="I436" i="1" s="1"/>
  <c r="K436" i="1"/>
  <c r="G437" i="1"/>
  <c r="H437" i="1" s="1"/>
  <c r="I437" i="1" s="1"/>
  <c r="K437" i="1"/>
  <c r="G438" i="1"/>
  <c r="H438" i="1" s="1"/>
  <c r="I438" i="1" s="1"/>
  <c r="K438" i="1"/>
  <c r="G439" i="1"/>
  <c r="H439" i="1" s="1"/>
  <c r="I439" i="1" s="1"/>
  <c r="K439" i="1"/>
  <c r="G440" i="1"/>
  <c r="H440" i="1" s="1"/>
  <c r="I440" i="1" s="1"/>
  <c r="K440" i="1"/>
  <c r="G441" i="1"/>
  <c r="H441" i="1" s="1"/>
  <c r="I441" i="1" s="1"/>
  <c r="K441" i="1"/>
  <c r="G442" i="1"/>
  <c r="H442" i="1" s="1"/>
  <c r="I442" i="1" s="1"/>
  <c r="K442" i="1"/>
  <c r="G443" i="1"/>
  <c r="H443" i="1" s="1"/>
  <c r="I443" i="1" s="1"/>
  <c r="K443" i="1"/>
  <c r="G444" i="1"/>
  <c r="H444" i="1" s="1"/>
  <c r="I444" i="1" s="1"/>
  <c r="K444" i="1"/>
  <c r="G445" i="1"/>
  <c r="H445" i="1" s="1"/>
  <c r="I445" i="1" s="1"/>
  <c r="K445" i="1"/>
  <c r="G446" i="1"/>
  <c r="H446" i="1" s="1"/>
  <c r="I446" i="1" s="1"/>
  <c r="K446" i="1"/>
  <c r="G447" i="1"/>
  <c r="H447" i="1" s="1"/>
  <c r="I447" i="1" s="1"/>
  <c r="K447" i="1"/>
  <c r="G448" i="1"/>
  <c r="H448" i="1" s="1"/>
  <c r="I448" i="1" s="1"/>
  <c r="K448" i="1"/>
  <c r="G449" i="1"/>
  <c r="H449" i="1" s="1"/>
  <c r="I449" i="1" s="1"/>
  <c r="K449" i="1"/>
  <c r="G450" i="1"/>
  <c r="H450" i="1" s="1"/>
  <c r="I450" i="1" s="1"/>
  <c r="K450" i="1"/>
  <c r="G451" i="1"/>
  <c r="H451" i="1" s="1"/>
  <c r="I451" i="1" s="1"/>
  <c r="K451" i="1"/>
  <c r="G452" i="1"/>
  <c r="H452" i="1" s="1"/>
  <c r="I452" i="1" s="1"/>
  <c r="K452" i="1"/>
  <c r="G453" i="1"/>
  <c r="H453" i="1" s="1"/>
  <c r="I453" i="1" s="1"/>
  <c r="K453" i="1"/>
  <c r="G454" i="1"/>
  <c r="H454" i="1" s="1"/>
  <c r="K454" i="1"/>
  <c r="G455" i="1"/>
  <c r="H455" i="1" s="1"/>
  <c r="I455" i="1" s="1"/>
  <c r="K455" i="1"/>
  <c r="G456" i="1"/>
  <c r="H456" i="1" s="1"/>
  <c r="I456" i="1" s="1"/>
  <c r="K456" i="1"/>
  <c r="G457" i="1"/>
  <c r="H457" i="1" s="1"/>
  <c r="I457" i="1" s="1"/>
  <c r="K457" i="1"/>
  <c r="G458" i="1"/>
  <c r="H458" i="1" s="1"/>
  <c r="I458" i="1" s="1"/>
  <c r="K458" i="1"/>
  <c r="G459" i="1"/>
  <c r="H459" i="1" s="1"/>
  <c r="I459" i="1" s="1"/>
  <c r="K459" i="1"/>
  <c r="G460" i="1"/>
  <c r="H460" i="1" s="1"/>
  <c r="I460" i="1" s="1"/>
  <c r="K460" i="1"/>
  <c r="G461" i="1"/>
  <c r="H461" i="1" s="1"/>
  <c r="I461" i="1" s="1"/>
  <c r="K461" i="1"/>
  <c r="G462" i="1"/>
  <c r="H462" i="1" s="1"/>
  <c r="K462" i="1"/>
  <c r="G463" i="1"/>
  <c r="H463" i="1" s="1"/>
  <c r="K463" i="1"/>
  <c r="G464" i="1"/>
  <c r="H464" i="1" s="1"/>
  <c r="K464" i="1"/>
  <c r="G465" i="1"/>
  <c r="H465" i="1" s="1"/>
  <c r="K465" i="1"/>
  <c r="G466" i="1"/>
  <c r="H466" i="1" s="1"/>
  <c r="I466" i="1" s="1"/>
  <c r="K466" i="1"/>
  <c r="G467" i="1"/>
  <c r="H467" i="1" s="1"/>
  <c r="I467" i="1" s="1"/>
  <c r="K467" i="1"/>
  <c r="G468" i="1"/>
  <c r="H468" i="1" s="1"/>
  <c r="I468" i="1" s="1"/>
  <c r="K468" i="1"/>
  <c r="G469" i="1"/>
  <c r="H469" i="1" s="1"/>
  <c r="I469" i="1" s="1"/>
  <c r="K469" i="1"/>
  <c r="G470" i="1"/>
  <c r="H470" i="1" s="1"/>
  <c r="I470" i="1" s="1"/>
  <c r="K470" i="1"/>
  <c r="G471" i="1"/>
  <c r="H471" i="1" s="1"/>
  <c r="I471" i="1" s="1"/>
  <c r="K471" i="1"/>
  <c r="G472" i="1"/>
  <c r="H472" i="1" s="1"/>
  <c r="I472" i="1" s="1"/>
  <c r="K472" i="1"/>
  <c r="G473" i="1"/>
  <c r="H473" i="1" s="1"/>
  <c r="I473" i="1" s="1"/>
  <c r="K473" i="1"/>
  <c r="G474" i="1"/>
  <c r="H474" i="1" s="1"/>
  <c r="I474" i="1" s="1"/>
  <c r="K474" i="1"/>
  <c r="G475" i="1"/>
  <c r="H475" i="1" s="1"/>
  <c r="K475" i="1"/>
  <c r="G476" i="1"/>
  <c r="H476" i="1" s="1"/>
  <c r="I476" i="1" s="1"/>
  <c r="K476" i="1"/>
  <c r="G477" i="1"/>
  <c r="H477" i="1" s="1"/>
  <c r="I477" i="1" s="1"/>
  <c r="K477" i="1"/>
  <c r="G478" i="1"/>
  <c r="H478" i="1" s="1"/>
  <c r="I478" i="1" s="1"/>
  <c r="K478" i="1"/>
  <c r="G479" i="1"/>
  <c r="H479" i="1" s="1"/>
  <c r="I479" i="1" s="1"/>
  <c r="K479" i="1"/>
  <c r="G480" i="1"/>
  <c r="H480" i="1" s="1"/>
  <c r="I480" i="1" s="1"/>
  <c r="K480" i="1"/>
  <c r="G481" i="1"/>
  <c r="H481" i="1" s="1"/>
  <c r="I481" i="1" s="1"/>
  <c r="K481" i="1"/>
  <c r="G482" i="1"/>
  <c r="H482" i="1" s="1"/>
  <c r="I482" i="1" s="1"/>
  <c r="K482" i="1"/>
  <c r="G483" i="1"/>
  <c r="H483" i="1" s="1"/>
  <c r="I483" i="1" s="1"/>
  <c r="K483" i="1"/>
  <c r="G484" i="1"/>
  <c r="H484" i="1" s="1"/>
  <c r="I484" i="1" s="1"/>
  <c r="K484" i="1"/>
  <c r="G485" i="1"/>
  <c r="H485" i="1" s="1"/>
  <c r="I485" i="1" s="1"/>
  <c r="K485" i="1"/>
  <c r="G486" i="1"/>
  <c r="H486" i="1" s="1"/>
  <c r="I486" i="1" s="1"/>
  <c r="K486" i="1"/>
  <c r="G487" i="1"/>
  <c r="H487" i="1" s="1"/>
  <c r="I487" i="1" s="1"/>
  <c r="K487" i="1"/>
  <c r="G488" i="1"/>
  <c r="H488" i="1" s="1"/>
  <c r="I488" i="1" s="1"/>
  <c r="K488" i="1"/>
  <c r="G489" i="1"/>
  <c r="H489" i="1" s="1"/>
  <c r="I489" i="1" s="1"/>
  <c r="K489" i="1"/>
  <c r="G490" i="1"/>
  <c r="H490" i="1" s="1"/>
  <c r="I490" i="1" s="1"/>
  <c r="K490" i="1"/>
  <c r="G491" i="1"/>
  <c r="H491" i="1" s="1"/>
  <c r="I491" i="1" s="1"/>
  <c r="K491" i="1"/>
  <c r="G492" i="1"/>
  <c r="H492" i="1" s="1"/>
  <c r="I492" i="1" s="1"/>
  <c r="K492" i="1"/>
  <c r="G493" i="1"/>
  <c r="H493" i="1" s="1"/>
  <c r="I493" i="1" s="1"/>
  <c r="K493" i="1"/>
  <c r="G494" i="1"/>
  <c r="H494" i="1" s="1"/>
  <c r="I494" i="1" s="1"/>
  <c r="K494" i="1"/>
  <c r="G495" i="1"/>
  <c r="H495" i="1" s="1"/>
  <c r="I495" i="1" s="1"/>
  <c r="K495" i="1"/>
  <c r="G496" i="1"/>
  <c r="H496" i="1" s="1"/>
  <c r="K496" i="1"/>
  <c r="G497" i="1"/>
  <c r="H497" i="1" s="1"/>
  <c r="I497" i="1" s="1"/>
  <c r="K497" i="1"/>
  <c r="G498" i="1"/>
  <c r="H498" i="1" s="1"/>
  <c r="I498" i="1" s="1"/>
  <c r="K498" i="1"/>
  <c r="G499" i="1"/>
  <c r="H499" i="1" s="1"/>
  <c r="I499" i="1" s="1"/>
  <c r="K499" i="1"/>
  <c r="G500" i="1"/>
  <c r="H500" i="1" s="1"/>
  <c r="I500" i="1" s="1"/>
  <c r="K500" i="1"/>
  <c r="G501" i="1"/>
  <c r="H501" i="1" s="1"/>
  <c r="I501" i="1" s="1"/>
  <c r="K501" i="1"/>
  <c r="G502" i="1"/>
  <c r="H502" i="1" s="1"/>
  <c r="I502" i="1" s="1"/>
  <c r="K502" i="1"/>
  <c r="G503" i="1"/>
  <c r="H503" i="1" s="1"/>
  <c r="I503" i="1" s="1"/>
  <c r="K503" i="1"/>
  <c r="G504" i="1"/>
  <c r="H504" i="1" s="1"/>
  <c r="K504" i="1"/>
  <c r="G505" i="1"/>
  <c r="H505" i="1" s="1"/>
  <c r="K505" i="1"/>
  <c r="G506" i="1"/>
  <c r="H506" i="1" s="1"/>
  <c r="K506" i="1"/>
  <c r="G507" i="1"/>
  <c r="H507" i="1" s="1"/>
  <c r="K507" i="1"/>
  <c r="B9" i="9"/>
  <c r="B22" i="9" l="1"/>
  <c r="E30" i="2" s="1"/>
  <c r="I6" i="1" l="1"/>
  <c r="I7" i="1"/>
  <c r="I41" i="1" l="1"/>
  <c r="I39" i="1" l="1"/>
  <c r="I36" i="1"/>
  <c r="I18" i="1" l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K243" i="1" l="1"/>
  <c r="H243" i="1"/>
  <c r="I243" i="1" s="1"/>
  <c r="K242" i="1"/>
  <c r="H242" i="1"/>
  <c r="I242" i="1" s="1"/>
  <c r="K241" i="1"/>
  <c r="H241" i="1"/>
  <c r="I241" i="1" s="1"/>
  <c r="K240" i="1"/>
  <c r="H240" i="1"/>
  <c r="I240" i="1" s="1"/>
  <c r="K239" i="1"/>
  <c r="H239" i="1"/>
  <c r="I239" i="1" s="1"/>
  <c r="K238" i="1"/>
  <c r="H238" i="1"/>
  <c r="I238" i="1" s="1"/>
  <c r="K237" i="1"/>
  <c r="H237" i="1"/>
  <c r="I237" i="1" s="1"/>
  <c r="K236" i="1"/>
  <c r="H236" i="1"/>
  <c r="I236" i="1" s="1"/>
  <c r="K235" i="1"/>
  <c r="H235" i="1"/>
  <c r="I235" i="1" s="1"/>
  <c r="K234" i="1"/>
  <c r="H234" i="1"/>
  <c r="I234" i="1" s="1"/>
  <c r="K233" i="1"/>
  <c r="H233" i="1"/>
  <c r="I233" i="1" s="1"/>
  <c r="K232" i="1"/>
  <c r="H232" i="1"/>
  <c r="I232" i="1" s="1"/>
  <c r="K231" i="1"/>
  <c r="H231" i="1"/>
  <c r="I231" i="1" s="1"/>
  <c r="K230" i="1"/>
  <c r="H230" i="1"/>
  <c r="I230" i="1" s="1"/>
  <c r="K229" i="1"/>
  <c r="H229" i="1"/>
  <c r="I229" i="1" s="1"/>
  <c r="K228" i="1"/>
  <c r="H228" i="1"/>
  <c r="I228" i="1" s="1"/>
  <c r="K227" i="1"/>
  <c r="H227" i="1"/>
  <c r="I227" i="1" s="1"/>
  <c r="K226" i="1"/>
  <c r="H226" i="1"/>
  <c r="I226" i="1" s="1"/>
  <c r="K225" i="1"/>
  <c r="H225" i="1"/>
  <c r="I225" i="1" s="1"/>
  <c r="K224" i="1"/>
  <c r="H224" i="1"/>
  <c r="I224" i="1" s="1"/>
  <c r="K223" i="1"/>
  <c r="H223" i="1"/>
  <c r="K222" i="1"/>
  <c r="H222" i="1"/>
  <c r="I222" i="1" s="1"/>
  <c r="K221" i="1"/>
  <c r="H221" i="1"/>
  <c r="I221" i="1" s="1"/>
  <c r="K220" i="1"/>
  <c r="H220" i="1"/>
  <c r="I220" i="1" s="1"/>
  <c r="K219" i="1"/>
  <c r="H219" i="1"/>
  <c r="I219" i="1" s="1"/>
  <c r="K218" i="1"/>
  <c r="H218" i="1"/>
  <c r="I218" i="1" s="1"/>
  <c r="K217" i="1"/>
  <c r="H217" i="1"/>
  <c r="I217" i="1" s="1"/>
  <c r="K216" i="1"/>
  <c r="H216" i="1"/>
  <c r="I216" i="1" s="1"/>
  <c r="K215" i="1"/>
  <c r="H215" i="1"/>
  <c r="I215" i="1" s="1"/>
  <c r="K214" i="1"/>
  <c r="H214" i="1"/>
  <c r="I214" i="1" s="1"/>
  <c r="K213" i="1"/>
  <c r="H213" i="1"/>
  <c r="K212" i="1"/>
  <c r="H212" i="1"/>
  <c r="K211" i="1"/>
  <c r="H211" i="1"/>
  <c r="K210" i="1"/>
  <c r="H210" i="1"/>
  <c r="K209" i="1"/>
  <c r="H209" i="1"/>
  <c r="I209" i="1" s="1"/>
  <c r="K208" i="1"/>
  <c r="H208" i="1"/>
  <c r="I208" i="1" s="1"/>
  <c r="K207" i="1"/>
  <c r="H207" i="1"/>
  <c r="I207" i="1" s="1"/>
  <c r="K206" i="1"/>
  <c r="H206" i="1"/>
  <c r="I206" i="1" s="1"/>
  <c r="K205" i="1"/>
  <c r="H205" i="1"/>
  <c r="I205" i="1" s="1"/>
  <c r="K204" i="1"/>
  <c r="H204" i="1"/>
  <c r="I204" i="1" s="1"/>
  <c r="K203" i="1"/>
  <c r="H203" i="1"/>
  <c r="I203" i="1" s="1"/>
  <c r="K202" i="1"/>
  <c r="H202" i="1"/>
  <c r="K201" i="1"/>
  <c r="H201" i="1"/>
  <c r="I201" i="1" s="1"/>
  <c r="K200" i="1"/>
  <c r="H200" i="1"/>
  <c r="I200" i="1" s="1"/>
  <c r="K199" i="1"/>
  <c r="H199" i="1"/>
  <c r="I199" i="1" s="1"/>
  <c r="K198" i="1"/>
  <c r="H198" i="1"/>
  <c r="I198" i="1" s="1"/>
  <c r="K197" i="1"/>
  <c r="H197" i="1"/>
  <c r="I197" i="1" s="1"/>
  <c r="K196" i="1"/>
  <c r="H196" i="1"/>
  <c r="I196" i="1" s="1"/>
  <c r="K195" i="1"/>
  <c r="H195" i="1"/>
  <c r="I195" i="1" s="1"/>
  <c r="K194" i="1"/>
  <c r="H194" i="1"/>
  <c r="I194" i="1" s="1"/>
  <c r="K193" i="1"/>
  <c r="H193" i="1"/>
  <c r="I193" i="1" s="1"/>
  <c r="K192" i="1"/>
  <c r="H192" i="1"/>
  <c r="I192" i="1" s="1"/>
  <c r="K191" i="1"/>
  <c r="H191" i="1"/>
  <c r="I191" i="1" s="1"/>
  <c r="K190" i="1"/>
  <c r="H190" i="1"/>
  <c r="I190" i="1" s="1"/>
  <c r="K189" i="1"/>
  <c r="H189" i="1"/>
  <c r="I189" i="1" s="1"/>
  <c r="K188" i="1"/>
  <c r="H188" i="1"/>
  <c r="I188" i="1" s="1"/>
  <c r="K187" i="1"/>
  <c r="H187" i="1"/>
  <c r="I187" i="1" s="1"/>
  <c r="K186" i="1"/>
  <c r="H186" i="1"/>
  <c r="I186" i="1" s="1"/>
  <c r="K185" i="1"/>
  <c r="H185" i="1"/>
  <c r="I185" i="1" s="1"/>
  <c r="K184" i="1"/>
  <c r="H184" i="1"/>
  <c r="I184" i="1" s="1"/>
  <c r="K183" i="1"/>
  <c r="H183" i="1"/>
  <c r="I183" i="1" s="1"/>
  <c r="K182" i="1"/>
  <c r="H182" i="1"/>
  <c r="I182" i="1" s="1"/>
  <c r="K181" i="1"/>
  <c r="H181" i="1"/>
  <c r="K180" i="1"/>
  <c r="H180" i="1"/>
  <c r="I180" i="1" s="1"/>
  <c r="K179" i="1"/>
  <c r="H179" i="1"/>
  <c r="I179" i="1" s="1"/>
  <c r="K178" i="1"/>
  <c r="H178" i="1"/>
  <c r="I178" i="1" s="1"/>
  <c r="K177" i="1"/>
  <c r="H177" i="1"/>
  <c r="I177" i="1" s="1"/>
  <c r="K176" i="1"/>
  <c r="H176" i="1"/>
  <c r="I176" i="1" s="1"/>
  <c r="K175" i="1"/>
  <c r="H175" i="1"/>
  <c r="I175" i="1" s="1"/>
  <c r="K174" i="1"/>
  <c r="H174" i="1"/>
  <c r="I174" i="1" s="1"/>
  <c r="K173" i="1"/>
  <c r="H173" i="1"/>
  <c r="I173" i="1" s="1"/>
  <c r="K172" i="1"/>
  <c r="H172" i="1"/>
  <c r="I172" i="1" s="1"/>
  <c r="K171" i="1"/>
  <c r="H171" i="1"/>
  <c r="K170" i="1"/>
  <c r="H170" i="1"/>
  <c r="K169" i="1"/>
  <c r="H169" i="1"/>
  <c r="K168" i="1"/>
  <c r="H168" i="1"/>
  <c r="K167" i="1"/>
  <c r="H167" i="1"/>
  <c r="I167" i="1" s="1"/>
  <c r="K166" i="1"/>
  <c r="H166" i="1"/>
  <c r="I166" i="1" s="1"/>
  <c r="K165" i="1"/>
  <c r="H165" i="1"/>
  <c r="I165" i="1" s="1"/>
  <c r="K164" i="1"/>
  <c r="H164" i="1"/>
  <c r="I164" i="1" s="1"/>
  <c r="K163" i="1"/>
  <c r="H163" i="1"/>
  <c r="I163" i="1" s="1"/>
  <c r="K162" i="1"/>
  <c r="H162" i="1"/>
  <c r="I162" i="1" s="1"/>
  <c r="K161" i="1"/>
  <c r="H161" i="1"/>
  <c r="I161" i="1" s="1"/>
  <c r="K160" i="1"/>
  <c r="H160" i="1"/>
  <c r="K159" i="1"/>
  <c r="H159" i="1"/>
  <c r="I159" i="1" s="1"/>
  <c r="K158" i="1"/>
  <c r="H158" i="1"/>
  <c r="I158" i="1" s="1"/>
  <c r="K157" i="1"/>
  <c r="H157" i="1"/>
  <c r="I157" i="1" s="1"/>
  <c r="K156" i="1"/>
  <c r="H156" i="1"/>
  <c r="I156" i="1" s="1"/>
  <c r="K155" i="1"/>
  <c r="H155" i="1"/>
  <c r="I155" i="1" s="1"/>
  <c r="K154" i="1"/>
  <c r="H154" i="1"/>
  <c r="I154" i="1" s="1"/>
  <c r="K153" i="1"/>
  <c r="H153" i="1"/>
  <c r="I153" i="1" s="1"/>
  <c r="K152" i="1"/>
  <c r="H152" i="1"/>
  <c r="I152" i="1" s="1"/>
  <c r="K151" i="1"/>
  <c r="H151" i="1"/>
  <c r="I151" i="1" s="1"/>
  <c r="K150" i="1"/>
  <c r="H150" i="1"/>
  <c r="I150" i="1" s="1"/>
  <c r="K149" i="1"/>
  <c r="H149" i="1"/>
  <c r="I149" i="1" s="1"/>
  <c r="K148" i="1"/>
  <c r="H148" i="1"/>
  <c r="I148" i="1" s="1"/>
  <c r="K147" i="1"/>
  <c r="H147" i="1"/>
  <c r="I147" i="1" s="1"/>
  <c r="K146" i="1"/>
  <c r="H146" i="1"/>
  <c r="I146" i="1" s="1"/>
  <c r="K145" i="1"/>
  <c r="H145" i="1"/>
  <c r="I145" i="1" s="1"/>
  <c r="K144" i="1"/>
  <c r="H144" i="1"/>
  <c r="I144" i="1" s="1"/>
  <c r="K143" i="1"/>
  <c r="H143" i="1"/>
  <c r="I143" i="1" s="1"/>
  <c r="K142" i="1"/>
  <c r="H142" i="1"/>
  <c r="I142" i="1" s="1"/>
  <c r="K141" i="1"/>
  <c r="H141" i="1"/>
  <c r="I141" i="1" s="1"/>
  <c r="K140" i="1"/>
  <c r="H140" i="1"/>
  <c r="I140" i="1" s="1"/>
  <c r="K139" i="1"/>
  <c r="H139" i="1"/>
  <c r="K138" i="1"/>
  <c r="H138" i="1"/>
  <c r="I138" i="1" s="1"/>
  <c r="K137" i="1"/>
  <c r="H137" i="1"/>
  <c r="I137" i="1" s="1"/>
  <c r="K136" i="1"/>
  <c r="H136" i="1"/>
  <c r="I136" i="1" s="1"/>
  <c r="K135" i="1"/>
  <c r="H135" i="1"/>
  <c r="I135" i="1" s="1"/>
  <c r="K134" i="1"/>
  <c r="H134" i="1"/>
  <c r="I134" i="1" s="1"/>
  <c r="K133" i="1"/>
  <c r="H133" i="1"/>
  <c r="I133" i="1" s="1"/>
  <c r="K132" i="1"/>
  <c r="H132" i="1"/>
  <c r="I132" i="1" s="1"/>
  <c r="K131" i="1"/>
  <c r="H131" i="1"/>
  <c r="I131" i="1" s="1"/>
  <c r="K130" i="1"/>
  <c r="H130" i="1"/>
  <c r="I130" i="1" s="1"/>
  <c r="K129" i="1"/>
  <c r="H129" i="1"/>
  <c r="K128" i="1"/>
  <c r="H128" i="1"/>
  <c r="K127" i="1"/>
  <c r="H127" i="1"/>
  <c r="K126" i="1"/>
  <c r="H126" i="1"/>
  <c r="K125" i="1"/>
  <c r="H125" i="1"/>
  <c r="I125" i="1" s="1"/>
  <c r="K124" i="1"/>
  <c r="H124" i="1"/>
  <c r="I124" i="1" s="1"/>
  <c r="K123" i="1"/>
  <c r="H123" i="1"/>
  <c r="I123" i="1" s="1"/>
  <c r="K122" i="1"/>
  <c r="H122" i="1"/>
  <c r="I122" i="1" s="1"/>
  <c r="K121" i="1"/>
  <c r="H121" i="1"/>
  <c r="I121" i="1" s="1"/>
  <c r="K120" i="1"/>
  <c r="H120" i="1"/>
  <c r="I120" i="1" s="1"/>
  <c r="K119" i="1"/>
  <c r="H119" i="1"/>
  <c r="I119" i="1" s="1"/>
  <c r="K118" i="1"/>
  <c r="H118" i="1"/>
  <c r="K117" i="1"/>
  <c r="H117" i="1"/>
  <c r="I117" i="1" s="1"/>
  <c r="K116" i="1"/>
  <c r="H116" i="1"/>
  <c r="I116" i="1" s="1"/>
  <c r="K115" i="1"/>
  <c r="H115" i="1"/>
  <c r="I115" i="1" s="1"/>
  <c r="K114" i="1"/>
  <c r="H114" i="1"/>
  <c r="I114" i="1" s="1"/>
  <c r="K113" i="1"/>
  <c r="H113" i="1"/>
  <c r="I113" i="1" s="1"/>
  <c r="K112" i="1"/>
  <c r="H112" i="1"/>
  <c r="I112" i="1" s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H85" i="1"/>
  <c r="H86" i="1"/>
  <c r="H87" i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4" i="1"/>
  <c r="J62" i="1" l="1"/>
  <c r="L62" i="1" s="1"/>
  <c r="O62" i="1" s="1"/>
  <c r="E62" i="1"/>
  <c r="J72" i="1"/>
  <c r="Q72" i="1" s="1"/>
  <c r="E72" i="1"/>
  <c r="J83" i="1"/>
  <c r="Q83" i="1" s="1"/>
  <c r="E83" i="1"/>
  <c r="J94" i="1"/>
  <c r="Q94" i="1" s="1"/>
  <c r="E94" i="1"/>
  <c r="J107" i="1"/>
  <c r="Q107" i="1" s="1"/>
  <c r="E107" i="1"/>
  <c r="J120" i="1"/>
  <c r="Q120" i="1" s="1"/>
  <c r="E120" i="1"/>
  <c r="J138" i="1"/>
  <c r="Q138" i="1" s="1"/>
  <c r="E138" i="1"/>
  <c r="J148" i="1"/>
  <c r="L148" i="1" s="1"/>
  <c r="O148" i="1" s="1"/>
  <c r="E148" i="1"/>
  <c r="J156" i="1"/>
  <c r="Q156" i="1" s="1"/>
  <c r="E156" i="1"/>
  <c r="J164" i="1"/>
  <c r="Q164" i="1" s="1"/>
  <c r="E164" i="1"/>
  <c r="J173" i="1"/>
  <c r="L173" i="1" s="1"/>
  <c r="O173" i="1" s="1"/>
  <c r="E173" i="1"/>
  <c r="J184" i="1"/>
  <c r="L184" i="1" s="1"/>
  <c r="O184" i="1" s="1"/>
  <c r="E184" i="1"/>
  <c r="J243" i="1"/>
  <c r="L243" i="1" s="1"/>
  <c r="O243" i="1" s="1"/>
  <c r="E243" i="1"/>
  <c r="J259" i="1"/>
  <c r="Q259" i="1" s="1"/>
  <c r="E259" i="1"/>
  <c r="J273" i="1"/>
  <c r="L273" i="1" s="1"/>
  <c r="O273" i="1" s="1"/>
  <c r="E273" i="1"/>
  <c r="J283" i="1"/>
  <c r="L283" i="1" s="1"/>
  <c r="O283" i="1" s="1"/>
  <c r="E283" i="1"/>
  <c r="E296" i="1"/>
  <c r="J309" i="1"/>
  <c r="L309" i="1" s="1"/>
  <c r="O309" i="1" s="1"/>
  <c r="E309" i="1"/>
  <c r="J325" i="1"/>
  <c r="L325" i="1" s="1"/>
  <c r="O325" i="1" s="1"/>
  <c r="E325" i="1"/>
  <c r="J345" i="1"/>
  <c r="L345" i="1" s="1"/>
  <c r="O345" i="1" s="1"/>
  <c r="E345" i="1"/>
  <c r="J363" i="1"/>
  <c r="Q363" i="1" s="1"/>
  <c r="E363" i="1"/>
  <c r="E433" i="1"/>
  <c r="J455" i="1"/>
  <c r="L455" i="1" s="1"/>
  <c r="O455" i="1" s="1"/>
  <c r="E455" i="1"/>
  <c r="J467" i="1"/>
  <c r="L467" i="1" s="1"/>
  <c r="O467" i="1" s="1"/>
  <c r="E467" i="1"/>
  <c r="J485" i="1"/>
  <c r="L485" i="1" s="1"/>
  <c r="O485" i="1" s="1"/>
  <c r="E485" i="1"/>
  <c r="J382" i="1"/>
  <c r="L382" i="1" s="1"/>
  <c r="O382" i="1" s="1"/>
  <c r="E382" i="1"/>
  <c r="J198" i="1"/>
  <c r="L198" i="1" s="1"/>
  <c r="O198" i="1" s="1"/>
  <c r="E198" i="1"/>
  <c r="J14" i="1"/>
  <c r="E14" i="1"/>
  <c r="J203" i="1"/>
  <c r="L203" i="1" s="1"/>
  <c r="O203" i="1" s="1"/>
  <c r="E203" i="1"/>
  <c r="J207" i="1"/>
  <c r="Q207" i="1" s="1"/>
  <c r="E207" i="1"/>
  <c r="E211" i="1"/>
  <c r="J216" i="1"/>
  <c r="Q216" i="1" s="1"/>
  <c r="E216" i="1"/>
  <c r="E223" i="1"/>
  <c r="J229" i="1"/>
  <c r="Q229" i="1" s="1"/>
  <c r="E229" i="1"/>
  <c r="E48" i="1"/>
  <c r="J58" i="1"/>
  <c r="L58" i="1" s="1"/>
  <c r="O58" i="1" s="1"/>
  <c r="E58" i="1"/>
  <c r="J68" i="1"/>
  <c r="L68" i="1" s="1"/>
  <c r="O68" i="1" s="1"/>
  <c r="E68" i="1"/>
  <c r="J79" i="1"/>
  <c r="L79" i="1" s="1"/>
  <c r="O79" i="1" s="1"/>
  <c r="E79" i="1"/>
  <c r="J90" i="1"/>
  <c r="L90" i="1" s="1"/>
  <c r="O90" i="1" s="1"/>
  <c r="E90" i="1"/>
  <c r="J102" i="1"/>
  <c r="L102" i="1" s="1"/>
  <c r="O102" i="1" s="1"/>
  <c r="E102" i="1"/>
  <c r="J122" i="1"/>
  <c r="Q122" i="1" s="1"/>
  <c r="E122" i="1"/>
  <c r="J140" i="1"/>
  <c r="L140" i="1" s="1"/>
  <c r="O140" i="1" s="1"/>
  <c r="E140" i="1"/>
  <c r="J149" i="1"/>
  <c r="L149" i="1" s="1"/>
  <c r="O149" i="1" s="1"/>
  <c r="E149" i="1"/>
  <c r="J157" i="1"/>
  <c r="L157" i="1" s="1"/>
  <c r="O157" i="1" s="1"/>
  <c r="E157" i="1"/>
  <c r="J165" i="1"/>
  <c r="L165" i="1" s="1"/>
  <c r="O165" i="1" s="1"/>
  <c r="E165" i="1"/>
  <c r="J174" i="1"/>
  <c r="Q174" i="1" s="1"/>
  <c r="E174" i="1"/>
  <c r="J185" i="1"/>
  <c r="Q185" i="1" s="1"/>
  <c r="E185" i="1"/>
  <c r="J245" i="1"/>
  <c r="Q245" i="1" s="1"/>
  <c r="E245" i="1"/>
  <c r="E255" i="1"/>
  <c r="J266" i="1"/>
  <c r="L266" i="1" s="1"/>
  <c r="O266" i="1" s="1"/>
  <c r="E266" i="1"/>
  <c r="J279" i="1"/>
  <c r="Q279" i="1" s="1"/>
  <c r="E279" i="1"/>
  <c r="J292" i="1"/>
  <c r="L292" i="1" s="1"/>
  <c r="O292" i="1" s="1"/>
  <c r="E292" i="1"/>
  <c r="J304" i="1"/>
  <c r="L304" i="1" s="1"/>
  <c r="O304" i="1" s="1"/>
  <c r="E304" i="1"/>
  <c r="J318" i="1"/>
  <c r="L318" i="1" s="1"/>
  <c r="O318" i="1" s="1"/>
  <c r="E318" i="1"/>
  <c r="J347" i="1"/>
  <c r="L347" i="1" s="1"/>
  <c r="O347" i="1" s="1"/>
  <c r="E347" i="1"/>
  <c r="J365" i="1"/>
  <c r="L365" i="1" s="1"/>
  <c r="O365" i="1" s="1"/>
  <c r="E365" i="1"/>
  <c r="J435" i="1"/>
  <c r="L435" i="1" s="1"/>
  <c r="O435" i="1" s="1"/>
  <c r="E435" i="1"/>
  <c r="J456" i="1"/>
  <c r="Q456" i="1" s="1"/>
  <c r="E456" i="1"/>
  <c r="J468" i="1"/>
  <c r="Q468" i="1" s="1"/>
  <c r="E468" i="1"/>
  <c r="J488" i="1"/>
  <c r="L488" i="1" s="1"/>
  <c r="O488" i="1" s="1"/>
  <c r="E488" i="1"/>
  <c r="J5" i="1"/>
  <c r="E5" i="1"/>
  <c r="J386" i="1"/>
  <c r="Q386" i="1" s="1"/>
  <c r="E386" i="1"/>
  <c r="J200" i="1"/>
  <c r="Q200" i="1" s="1"/>
  <c r="E200" i="1"/>
  <c r="J16" i="1"/>
  <c r="E16" i="1"/>
  <c r="E210" i="1"/>
  <c r="J402" i="1"/>
  <c r="Q402" i="1" s="1"/>
  <c r="E402" i="1"/>
  <c r="J221" i="1"/>
  <c r="Q221" i="1" s="1"/>
  <c r="E221" i="1"/>
  <c r="J40" i="1"/>
  <c r="E40" i="1"/>
  <c r="E44" i="1"/>
  <c r="J234" i="1"/>
  <c r="L234" i="1" s="1"/>
  <c r="O234" i="1" s="1"/>
  <c r="E234" i="1"/>
  <c r="J52" i="1"/>
  <c r="L52" i="1" s="1"/>
  <c r="O52" i="1" s="1"/>
  <c r="E52" i="1"/>
  <c r="J59" i="1"/>
  <c r="Q59" i="1" s="1"/>
  <c r="E59" i="1"/>
  <c r="J64" i="1"/>
  <c r="Q64" i="1" s="1"/>
  <c r="E64" i="1"/>
  <c r="J70" i="1"/>
  <c r="Q70" i="1" s="1"/>
  <c r="E70" i="1"/>
  <c r="J75" i="1"/>
  <c r="Q75" i="1" s="1"/>
  <c r="E75" i="1"/>
  <c r="J80" i="1"/>
  <c r="Q80" i="1" s="1"/>
  <c r="E80" i="1"/>
  <c r="E86" i="1"/>
  <c r="J91" i="1"/>
  <c r="Q91" i="1" s="1"/>
  <c r="E91" i="1"/>
  <c r="J98" i="1"/>
  <c r="L98" i="1" s="1"/>
  <c r="O98" i="1" s="1"/>
  <c r="E98" i="1"/>
  <c r="J103" i="1"/>
  <c r="Q103" i="1" s="1"/>
  <c r="E103" i="1"/>
  <c r="J110" i="1"/>
  <c r="Q110" i="1" s="1"/>
  <c r="E110" i="1"/>
  <c r="J117" i="1"/>
  <c r="Q117" i="1" s="1"/>
  <c r="E117" i="1"/>
  <c r="E126" i="1"/>
  <c r="J134" i="1"/>
  <c r="Q134" i="1" s="1"/>
  <c r="E134" i="1"/>
  <c r="J141" i="1"/>
  <c r="Q141" i="1" s="1"/>
  <c r="E141" i="1"/>
  <c r="J146" i="1"/>
  <c r="Q146" i="1" s="1"/>
  <c r="E146" i="1"/>
  <c r="J150" i="1"/>
  <c r="L150" i="1" s="1"/>
  <c r="O150" i="1" s="1"/>
  <c r="E150" i="1"/>
  <c r="J154" i="1"/>
  <c r="Q154" i="1" s="1"/>
  <c r="E154" i="1"/>
  <c r="J158" i="1"/>
  <c r="Q158" i="1" s="1"/>
  <c r="E158" i="1"/>
  <c r="J162" i="1"/>
  <c r="Q162" i="1" s="1"/>
  <c r="E162" i="1"/>
  <c r="J166" i="1"/>
  <c r="L166" i="1" s="1"/>
  <c r="O166" i="1" s="1"/>
  <c r="E166" i="1"/>
  <c r="E170" i="1"/>
  <c r="J177" i="1"/>
  <c r="L177" i="1" s="1"/>
  <c r="O177" i="1" s="1"/>
  <c r="E177" i="1"/>
  <c r="E181" i="1"/>
  <c r="J186" i="1"/>
  <c r="Q186" i="1" s="1"/>
  <c r="E186" i="1"/>
  <c r="J241" i="1"/>
  <c r="L241" i="1" s="1"/>
  <c r="O241" i="1" s="1"/>
  <c r="E241" i="1"/>
  <c r="J246" i="1"/>
  <c r="Q246" i="1" s="1"/>
  <c r="E246" i="1"/>
  <c r="J251" i="1"/>
  <c r="L251" i="1" s="1"/>
  <c r="O251" i="1" s="1"/>
  <c r="E251" i="1"/>
  <c r="J257" i="1"/>
  <c r="Q257" i="1" s="1"/>
  <c r="E257" i="1"/>
  <c r="J262" i="1"/>
  <c r="L262" i="1" s="1"/>
  <c r="O262" i="1" s="1"/>
  <c r="E262" i="1"/>
  <c r="J269" i="1"/>
  <c r="Q269" i="1" s="1"/>
  <c r="E269" i="1"/>
  <c r="J276" i="1"/>
  <c r="Q276" i="1" s="1"/>
  <c r="E276" i="1"/>
  <c r="J281" i="1"/>
  <c r="L281" i="1" s="1"/>
  <c r="O281" i="1" s="1"/>
  <c r="E281" i="1"/>
  <c r="J287" i="1"/>
  <c r="L287" i="1" s="1"/>
  <c r="O287" i="1" s="1"/>
  <c r="E287" i="1"/>
  <c r="E294" i="1"/>
  <c r="J299" i="1"/>
  <c r="L299" i="1" s="1"/>
  <c r="O299" i="1" s="1"/>
  <c r="E299" i="1"/>
  <c r="J306" i="1"/>
  <c r="L306" i="1" s="1"/>
  <c r="O306" i="1" s="1"/>
  <c r="E306" i="1"/>
  <c r="J311" i="1"/>
  <c r="L311" i="1" s="1"/>
  <c r="O311" i="1" s="1"/>
  <c r="E311" i="1"/>
  <c r="J319" i="1"/>
  <c r="Q319" i="1" s="1"/>
  <c r="E319" i="1"/>
  <c r="J331" i="1"/>
  <c r="L331" i="1" s="1"/>
  <c r="O331" i="1" s="1"/>
  <c r="E331" i="1"/>
  <c r="E339" i="1"/>
  <c r="J351" i="1"/>
  <c r="L351" i="1" s="1"/>
  <c r="O351" i="1" s="1"/>
  <c r="E351" i="1"/>
  <c r="J358" i="1"/>
  <c r="Q358" i="1" s="1"/>
  <c r="E358" i="1"/>
  <c r="J369" i="1"/>
  <c r="L369" i="1" s="1"/>
  <c r="O369" i="1" s="1"/>
  <c r="E369" i="1"/>
  <c r="J428" i="1"/>
  <c r="Q428" i="1" s="1"/>
  <c r="E428" i="1"/>
  <c r="J437" i="1"/>
  <c r="L437" i="1" s="1"/>
  <c r="O437" i="1" s="1"/>
  <c r="E437" i="1"/>
  <c r="J451" i="1"/>
  <c r="Q451" i="1" s="1"/>
  <c r="E451" i="1"/>
  <c r="J459" i="1"/>
  <c r="L459" i="1" s="1"/>
  <c r="O459" i="1" s="1"/>
  <c r="E459" i="1"/>
  <c r="E464" i="1"/>
  <c r="J469" i="1"/>
  <c r="L469" i="1" s="1"/>
  <c r="O469" i="1" s="1"/>
  <c r="E469" i="1"/>
  <c r="J478" i="1"/>
  <c r="Q478" i="1" s="1"/>
  <c r="E478" i="1"/>
  <c r="J489" i="1"/>
  <c r="L489" i="1" s="1"/>
  <c r="O489" i="1" s="1"/>
  <c r="E489" i="1"/>
  <c r="J500" i="1"/>
  <c r="L500" i="1" s="1"/>
  <c r="O500" i="1" s="1"/>
  <c r="E500" i="1"/>
  <c r="J193" i="1"/>
  <c r="L193" i="1" s="1"/>
  <c r="O193" i="1" s="1"/>
  <c r="E193" i="1"/>
  <c r="J195" i="1"/>
  <c r="Q195" i="1" s="1"/>
  <c r="E195" i="1"/>
  <c r="J197" i="1"/>
  <c r="L197" i="1" s="1"/>
  <c r="O197" i="1" s="1"/>
  <c r="E197" i="1"/>
  <c r="J11" i="1"/>
  <c r="E11" i="1"/>
  <c r="E13" i="1"/>
  <c r="J390" i="1"/>
  <c r="Q390" i="1" s="1"/>
  <c r="E390" i="1"/>
  <c r="J204" i="1"/>
  <c r="L204" i="1" s="1"/>
  <c r="O204" i="1" s="1"/>
  <c r="E204" i="1"/>
  <c r="J394" i="1"/>
  <c r="L394" i="1" s="1"/>
  <c r="O394" i="1" s="1"/>
  <c r="E394" i="1"/>
  <c r="J208" i="1"/>
  <c r="L208" i="1" s="1"/>
  <c r="O208" i="1" s="1"/>
  <c r="E208" i="1"/>
  <c r="J398" i="1"/>
  <c r="L398" i="1" s="1"/>
  <c r="O398" i="1" s="1"/>
  <c r="E398" i="1"/>
  <c r="E212" i="1"/>
  <c r="J27" i="1"/>
  <c r="E27" i="1"/>
  <c r="J218" i="1"/>
  <c r="Q218" i="1" s="1"/>
  <c r="E218" i="1"/>
  <c r="J222" i="1"/>
  <c r="Q222" i="1" s="1"/>
  <c r="E222" i="1"/>
  <c r="J225" i="1"/>
  <c r="L225" i="1" s="1"/>
  <c r="O225" i="1" s="1"/>
  <c r="E225" i="1"/>
  <c r="J41" i="1"/>
  <c r="E41" i="1"/>
  <c r="J230" i="1"/>
  <c r="L230" i="1" s="1"/>
  <c r="O230" i="1" s="1"/>
  <c r="E230" i="1"/>
  <c r="E45" i="1"/>
  <c r="J47" i="1"/>
  <c r="Q47" i="1" s="1"/>
  <c r="E47" i="1"/>
  <c r="E238" i="1"/>
  <c r="J56" i="1"/>
  <c r="Q56" i="1" s="1"/>
  <c r="E56" i="1"/>
  <c r="J67" i="1"/>
  <c r="L67" i="1" s="1"/>
  <c r="O67" i="1" s="1"/>
  <c r="E67" i="1"/>
  <c r="J78" i="1"/>
  <c r="L78" i="1" s="1"/>
  <c r="O78" i="1" s="1"/>
  <c r="E78" i="1"/>
  <c r="J88" i="1"/>
  <c r="Q88" i="1" s="1"/>
  <c r="E88" i="1"/>
  <c r="J101" i="1"/>
  <c r="L101" i="1" s="1"/>
  <c r="O101" i="1" s="1"/>
  <c r="E101" i="1"/>
  <c r="J114" i="1"/>
  <c r="Q114" i="1" s="1"/>
  <c r="E114" i="1"/>
  <c r="J131" i="1"/>
  <c r="L131" i="1" s="1"/>
  <c r="O131" i="1" s="1"/>
  <c r="E131" i="1"/>
  <c r="J144" i="1"/>
  <c r="L144" i="1" s="1"/>
  <c r="O144" i="1" s="1"/>
  <c r="E144" i="1"/>
  <c r="J152" i="1"/>
  <c r="Q152" i="1" s="1"/>
  <c r="E152" i="1"/>
  <c r="E160" i="1"/>
  <c r="E168" i="1"/>
  <c r="J179" i="1"/>
  <c r="Q179" i="1" s="1"/>
  <c r="E179" i="1"/>
  <c r="J191" i="1"/>
  <c r="L191" i="1" s="1"/>
  <c r="O191" i="1" s="1"/>
  <c r="E191" i="1"/>
  <c r="J249" i="1"/>
  <c r="Q249" i="1" s="1"/>
  <c r="E249" i="1"/>
  <c r="E254" i="1"/>
  <c r="E265" i="1"/>
  <c r="J278" i="1"/>
  <c r="L278" i="1" s="1"/>
  <c r="O278" i="1" s="1"/>
  <c r="E278" i="1"/>
  <c r="J291" i="1"/>
  <c r="Q291" i="1" s="1"/>
  <c r="E291" i="1"/>
  <c r="J303" i="1"/>
  <c r="L303" i="1" s="1"/>
  <c r="O303" i="1" s="1"/>
  <c r="E303" i="1"/>
  <c r="J315" i="1"/>
  <c r="Q315" i="1" s="1"/>
  <c r="E315" i="1"/>
  <c r="J335" i="1"/>
  <c r="L335" i="1" s="1"/>
  <c r="O335" i="1" s="1"/>
  <c r="E335" i="1"/>
  <c r="J355" i="1"/>
  <c r="Q355" i="1" s="1"/>
  <c r="E355" i="1"/>
  <c r="J374" i="1"/>
  <c r="L374" i="1" s="1"/>
  <c r="O374" i="1" s="1"/>
  <c r="E374" i="1"/>
  <c r="J445" i="1"/>
  <c r="Q445" i="1" s="1"/>
  <c r="E445" i="1"/>
  <c r="E462" i="1"/>
  <c r="E475" i="1"/>
  <c r="E496" i="1"/>
  <c r="J192" i="1"/>
  <c r="L192" i="1" s="1"/>
  <c r="O192" i="1" s="1"/>
  <c r="E192" i="1"/>
  <c r="J196" i="1"/>
  <c r="Q196" i="1" s="1"/>
  <c r="E196" i="1"/>
  <c r="J12" i="1"/>
  <c r="E12" i="1"/>
  <c r="J18" i="1"/>
  <c r="E18" i="1"/>
  <c r="J22" i="1"/>
  <c r="E22" i="1"/>
  <c r="J214" i="1"/>
  <c r="Q214" i="1" s="1"/>
  <c r="E214" i="1"/>
  <c r="E220" i="1"/>
  <c r="J227" i="1"/>
  <c r="Q227" i="1" s="1"/>
  <c r="E227" i="1"/>
  <c r="J231" i="1"/>
  <c r="L231" i="1" s="1"/>
  <c r="O231" i="1" s="1"/>
  <c r="E231" i="1"/>
  <c r="J46" i="1"/>
  <c r="Q46" i="1" s="1"/>
  <c r="E46" i="1"/>
  <c r="J51" i="1"/>
  <c r="Q51" i="1" s="1"/>
  <c r="E51" i="1"/>
  <c r="J63" i="1"/>
  <c r="Q63" i="1" s="1"/>
  <c r="E63" i="1"/>
  <c r="J74" i="1"/>
  <c r="Q74" i="1" s="1"/>
  <c r="E74" i="1"/>
  <c r="E84" i="1"/>
  <c r="J95" i="1"/>
  <c r="L95" i="1" s="1"/>
  <c r="O95" i="1" s="1"/>
  <c r="E95" i="1"/>
  <c r="J109" i="1"/>
  <c r="L109" i="1" s="1"/>
  <c r="O109" i="1" s="1"/>
  <c r="E109" i="1"/>
  <c r="J115" i="1"/>
  <c r="Q115" i="1" s="1"/>
  <c r="E115" i="1"/>
  <c r="J133" i="1"/>
  <c r="Q133" i="1" s="1"/>
  <c r="E133" i="1"/>
  <c r="J145" i="1"/>
  <c r="Q145" i="1" s="1"/>
  <c r="E145" i="1"/>
  <c r="J153" i="1"/>
  <c r="L153" i="1" s="1"/>
  <c r="O153" i="1" s="1"/>
  <c r="E153" i="1"/>
  <c r="J161" i="1"/>
  <c r="L161" i="1" s="1"/>
  <c r="O161" i="1" s="1"/>
  <c r="E161" i="1"/>
  <c r="E169" i="1"/>
  <c r="J180" i="1"/>
  <c r="Q180" i="1" s="1"/>
  <c r="E180" i="1"/>
  <c r="J226" i="1"/>
  <c r="L226" i="1" s="1"/>
  <c r="O226" i="1" s="1"/>
  <c r="E226" i="1"/>
  <c r="J250" i="1"/>
  <c r="Q250" i="1" s="1"/>
  <c r="E250" i="1"/>
  <c r="J261" i="1"/>
  <c r="Q261" i="1" s="1"/>
  <c r="E261" i="1"/>
  <c r="J274" i="1"/>
  <c r="L274" i="1" s="1"/>
  <c r="O274" i="1" s="1"/>
  <c r="E274" i="1"/>
  <c r="E286" i="1"/>
  <c r="E297" i="1"/>
  <c r="J310" i="1"/>
  <c r="Q310" i="1" s="1"/>
  <c r="E310" i="1"/>
  <c r="J327" i="1"/>
  <c r="Q327" i="1" s="1"/>
  <c r="E327" i="1"/>
  <c r="E338" i="1"/>
  <c r="J356" i="1"/>
  <c r="L356" i="1" s="1"/>
  <c r="O356" i="1" s="1"/>
  <c r="E356" i="1"/>
  <c r="E378" i="1"/>
  <c r="J449" i="1"/>
  <c r="L449" i="1" s="1"/>
  <c r="O449" i="1" s="1"/>
  <c r="E449" i="1"/>
  <c r="E463" i="1"/>
  <c r="J476" i="1"/>
  <c r="L476" i="1" s="1"/>
  <c r="O476" i="1" s="1"/>
  <c r="E476" i="1"/>
  <c r="J498" i="1"/>
  <c r="Q498" i="1" s="1"/>
  <c r="E498" i="1"/>
  <c r="J7" i="1"/>
  <c r="E7" i="1"/>
  <c r="J9" i="1"/>
  <c r="E9" i="1"/>
  <c r="E202" i="1"/>
  <c r="J206" i="1"/>
  <c r="Q206" i="1" s="1"/>
  <c r="E206" i="1"/>
  <c r="J20" i="1"/>
  <c r="E20" i="1"/>
  <c r="E24" i="1"/>
  <c r="J217" i="1"/>
  <c r="Q217" i="1" s="1"/>
  <c r="E217" i="1"/>
  <c r="J224" i="1"/>
  <c r="Q224" i="1" s="1"/>
  <c r="E224" i="1"/>
  <c r="E42" i="1"/>
  <c r="J237" i="1"/>
  <c r="L237" i="1" s="1"/>
  <c r="O237" i="1" s="1"/>
  <c r="E237" i="1"/>
  <c r="E55" i="1"/>
  <c r="J60" i="1"/>
  <c r="L60" i="1" s="1"/>
  <c r="O60" i="1" s="1"/>
  <c r="E60" i="1"/>
  <c r="J66" i="1"/>
  <c r="Q66" i="1" s="1"/>
  <c r="E66" i="1"/>
  <c r="J71" i="1"/>
  <c r="L71" i="1" s="1"/>
  <c r="O71" i="1" s="1"/>
  <c r="E71" i="1"/>
  <c r="E76" i="1"/>
  <c r="J82" i="1"/>
  <c r="Q82" i="1" s="1"/>
  <c r="E82" i="1"/>
  <c r="E87" i="1"/>
  <c r="J92" i="1"/>
  <c r="Q92" i="1" s="1"/>
  <c r="E92" i="1"/>
  <c r="J99" i="1"/>
  <c r="L99" i="1" s="1"/>
  <c r="O99" i="1" s="1"/>
  <c r="E99" i="1"/>
  <c r="J106" i="1"/>
  <c r="Q106" i="1" s="1"/>
  <c r="E106" i="1"/>
  <c r="J111" i="1"/>
  <c r="Q111" i="1" s="1"/>
  <c r="E111" i="1"/>
  <c r="E118" i="1"/>
  <c r="J130" i="1"/>
  <c r="E130" i="1"/>
  <c r="J135" i="1"/>
  <c r="L135" i="1" s="1"/>
  <c r="O135" i="1" s="1"/>
  <c r="E135" i="1"/>
  <c r="J142" i="1"/>
  <c r="L142" i="1" s="1"/>
  <c r="O142" i="1" s="1"/>
  <c r="E142" i="1"/>
  <c r="J147" i="1"/>
  <c r="L147" i="1" s="1"/>
  <c r="O147" i="1" s="1"/>
  <c r="E147" i="1"/>
  <c r="J151" i="1"/>
  <c r="L151" i="1" s="1"/>
  <c r="O151" i="1" s="1"/>
  <c r="E151" i="1"/>
  <c r="J155" i="1"/>
  <c r="Q155" i="1" s="1"/>
  <c r="E155" i="1"/>
  <c r="J159" i="1"/>
  <c r="L159" i="1" s="1"/>
  <c r="O159" i="1" s="1"/>
  <c r="E159" i="1"/>
  <c r="J163" i="1"/>
  <c r="Q163" i="1" s="1"/>
  <c r="E163" i="1"/>
  <c r="J167" i="1"/>
  <c r="L167" i="1" s="1"/>
  <c r="O167" i="1" s="1"/>
  <c r="E167" i="1"/>
  <c r="J172" i="1"/>
  <c r="Q172" i="1" s="1"/>
  <c r="E172" i="1"/>
  <c r="J178" i="1"/>
  <c r="Q178" i="1" s="1"/>
  <c r="E178" i="1"/>
  <c r="J183" i="1"/>
  <c r="L183" i="1" s="1"/>
  <c r="O183" i="1" s="1"/>
  <c r="E183" i="1"/>
  <c r="J190" i="1"/>
  <c r="Q190" i="1" s="1"/>
  <c r="E190" i="1"/>
  <c r="J242" i="1"/>
  <c r="Q242" i="1" s="1"/>
  <c r="E242" i="1"/>
  <c r="J247" i="1"/>
  <c r="Q247" i="1" s="1"/>
  <c r="E247" i="1"/>
  <c r="E253" i="1"/>
  <c r="J258" i="1"/>
  <c r="Q258" i="1" s="1"/>
  <c r="E258" i="1"/>
  <c r="J263" i="1"/>
  <c r="Q263" i="1" s="1"/>
  <c r="E263" i="1"/>
  <c r="J270" i="1"/>
  <c r="L270" i="1" s="1"/>
  <c r="O270" i="1" s="1"/>
  <c r="E270" i="1"/>
  <c r="J277" i="1"/>
  <c r="L277" i="1" s="1"/>
  <c r="O277" i="1" s="1"/>
  <c r="E277" i="1"/>
  <c r="J282" i="1"/>
  <c r="L282" i="1" s="1"/>
  <c r="O282" i="1" s="1"/>
  <c r="E282" i="1"/>
  <c r="J290" i="1"/>
  <c r="Q290" i="1" s="1"/>
  <c r="E290" i="1"/>
  <c r="E295" i="1"/>
  <c r="J300" i="1"/>
  <c r="L300" i="1" s="1"/>
  <c r="O300" i="1" s="1"/>
  <c r="E300" i="1"/>
  <c r="E307" i="1"/>
  <c r="J314" i="1"/>
  <c r="L314" i="1" s="1"/>
  <c r="O314" i="1" s="1"/>
  <c r="E314" i="1"/>
  <c r="J323" i="1"/>
  <c r="L323" i="1" s="1"/>
  <c r="O323" i="1" s="1"/>
  <c r="E323" i="1"/>
  <c r="J334" i="1"/>
  <c r="L334" i="1" s="1"/>
  <c r="O334" i="1" s="1"/>
  <c r="E334" i="1"/>
  <c r="J343" i="1"/>
  <c r="L343" i="1" s="1"/>
  <c r="O343" i="1" s="1"/>
  <c r="E343" i="1"/>
  <c r="J354" i="1"/>
  <c r="Q354" i="1" s="1"/>
  <c r="E354" i="1"/>
  <c r="J359" i="1"/>
  <c r="Q359" i="1" s="1"/>
  <c r="E359" i="1"/>
  <c r="J373" i="1"/>
  <c r="L373" i="1" s="1"/>
  <c r="O373" i="1" s="1"/>
  <c r="E373" i="1"/>
  <c r="J429" i="1"/>
  <c r="Q429" i="1" s="1"/>
  <c r="E429" i="1"/>
  <c r="J440" i="1"/>
  <c r="L440" i="1" s="1"/>
  <c r="O440" i="1" s="1"/>
  <c r="E440" i="1"/>
  <c r="E454" i="1"/>
  <c r="J461" i="1"/>
  <c r="L461" i="1" s="1"/>
  <c r="O461" i="1" s="1"/>
  <c r="E461" i="1"/>
  <c r="J466" i="1"/>
  <c r="Q466" i="1" s="1"/>
  <c r="E466" i="1"/>
  <c r="J472" i="1"/>
  <c r="L472" i="1" s="1"/>
  <c r="O472" i="1" s="1"/>
  <c r="E472" i="1"/>
  <c r="J479" i="1"/>
  <c r="Q479" i="1" s="1"/>
  <c r="E479" i="1"/>
  <c r="J492" i="1"/>
  <c r="Q492" i="1" s="1"/>
  <c r="E492" i="1"/>
  <c r="J503" i="1"/>
  <c r="Q503" i="1" s="1"/>
  <c r="E503" i="1"/>
  <c r="J194" i="1"/>
  <c r="Q194" i="1" s="1"/>
  <c r="E194" i="1"/>
  <c r="J8" i="1"/>
  <c r="E8" i="1"/>
  <c r="J10" i="1"/>
  <c r="E10" i="1"/>
  <c r="J199" i="1"/>
  <c r="L199" i="1" s="1"/>
  <c r="O199" i="1" s="1"/>
  <c r="E199" i="1"/>
  <c r="J201" i="1"/>
  <c r="Q201" i="1" s="1"/>
  <c r="E201" i="1"/>
  <c r="J15" i="1"/>
  <c r="E15" i="1"/>
  <c r="J205" i="1"/>
  <c r="Q205" i="1" s="1"/>
  <c r="E205" i="1"/>
  <c r="J19" i="1"/>
  <c r="E19" i="1"/>
  <c r="J209" i="1"/>
  <c r="Q209" i="1" s="1"/>
  <c r="E209" i="1"/>
  <c r="J23" i="1"/>
  <c r="E23" i="1"/>
  <c r="E213" i="1"/>
  <c r="J215" i="1"/>
  <c r="Q215" i="1" s="1"/>
  <c r="E215" i="1"/>
  <c r="J219" i="1"/>
  <c r="Q219" i="1" s="1"/>
  <c r="E219" i="1"/>
  <c r="J410" i="1"/>
  <c r="L410" i="1" s="1"/>
  <c r="O410" i="1" s="1"/>
  <c r="E410" i="1"/>
  <c r="J414" i="1"/>
  <c r="Q414" i="1" s="1"/>
  <c r="E414" i="1"/>
  <c r="J182" i="1"/>
  <c r="Q182" i="1" s="1"/>
  <c r="E182" i="1"/>
  <c r="J418" i="1"/>
  <c r="L418" i="1" s="1"/>
  <c r="O418" i="1" s="1"/>
  <c r="E418" i="1"/>
  <c r="J233" i="1"/>
  <c r="Q233" i="1" s="1"/>
  <c r="E233" i="1"/>
  <c r="J235" i="1"/>
  <c r="Q235" i="1" s="1"/>
  <c r="E235" i="1"/>
  <c r="J426" i="1"/>
  <c r="Q426" i="1" s="1"/>
  <c r="E426" i="1"/>
  <c r="L23" i="1" l="1"/>
  <c r="O23" i="1" s="1"/>
  <c r="Q15" i="1"/>
  <c r="Q18" i="1"/>
  <c r="L5" i="1"/>
  <c r="O5" i="1" s="1"/>
  <c r="Q9" i="1"/>
  <c r="Q41" i="1"/>
  <c r="Q27" i="1"/>
  <c r="L11" i="1"/>
  <c r="O11" i="1" s="1"/>
  <c r="Q14" i="1"/>
  <c r="Q130" i="1"/>
  <c r="Q10" i="1"/>
  <c r="Q22" i="1"/>
  <c r="Q12" i="1"/>
  <c r="L40" i="1"/>
  <c r="O40" i="1" s="1"/>
  <c r="L16" i="1"/>
  <c r="O16" i="1" s="1"/>
  <c r="L19" i="1"/>
  <c r="O19" i="1" s="1"/>
  <c r="Q8" i="1"/>
  <c r="L20" i="1"/>
  <c r="O20" i="1" s="1"/>
  <c r="Q7" i="1"/>
  <c r="Q5" i="1"/>
  <c r="L259" i="1"/>
  <c r="O259" i="1" s="1"/>
  <c r="Q62" i="1"/>
  <c r="L14" i="1"/>
  <c r="O14" i="1" s="1"/>
  <c r="L363" i="1"/>
  <c r="O363" i="1" s="1"/>
  <c r="L216" i="1"/>
  <c r="O216" i="1" s="1"/>
  <c r="Q173" i="1"/>
  <c r="L156" i="1"/>
  <c r="O156" i="1" s="1"/>
  <c r="Q382" i="1"/>
  <c r="L164" i="1"/>
  <c r="O164" i="1" s="1"/>
  <c r="Q485" i="1"/>
  <c r="Q102" i="1"/>
  <c r="Q58" i="1"/>
  <c r="Q140" i="1"/>
  <c r="L207" i="1"/>
  <c r="O207" i="1" s="1"/>
  <c r="Q157" i="1"/>
  <c r="Q79" i="1"/>
  <c r="L138" i="1"/>
  <c r="O138" i="1" s="1"/>
  <c r="Q292" i="1"/>
  <c r="Q455" i="1"/>
  <c r="Q273" i="1"/>
  <c r="Q243" i="1"/>
  <c r="L107" i="1"/>
  <c r="O107" i="1" s="1"/>
  <c r="L229" i="1"/>
  <c r="O229" i="1" s="1"/>
  <c r="L174" i="1"/>
  <c r="O174" i="1" s="1"/>
  <c r="L83" i="1"/>
  <c r="O83" i="1" s="1"/>
  <c r="Q325" i="1"/>
  <c r="Q266" i="1"/>
  <c r="Q98" i="1"/>
  <c r="L200" i="1"/>
  <c r="O200" i="1" s="1"/>
  <c r="Q52" i="1"/>
  <c r="L456" i="1"/>
  <c r="O456" i="1" s="1"/>
  <c r="L245" i="1"/>
  <c r="O245" i="1" s="1"/>
  <c r="Q150" i="1"/>
  <c r="Q203" i="1"/>
  <c r="Q90" i="1"/>
  <c r="Q184" i="1"/>
  <c r="Q345" i="1"/>
  <c r="Q283" i="1"/>
  <c r="Q467" i="1"/>
  <c r="Q309" i="1"/>
  <c r="L75" i="1"/>
  <c r="O75" i="1" s="1"/>
  <c r="Q281" i="1"/>
  <c r="Q149" i="1"/>
  <c r="L120" i="1"/>
  <c r="O120" i="1" s="1"/>
  <c r="Q435" i="1"/>
  <c r="L117" i="1"/>
  <c r="O117" i="1" s="1"/>
  <c r="L291" i="1"/>
  <c r="O291" i="1" s="1"/>
  <c r="Q347" i="1"/>
  <c r="L64" i="1"/>
  <c r="O64" i="1" s="1"/>
  <c r="L186" i="1"/>
  <c r="O186" i="1" s="1"/>
  <c r="Q488" i="1"/>
  <c r="Q318" i="1"/>
  <c r="L221" i="1"/>
  <c r="O221" i="1" s="1"/>
  <c r="L141" i="1"/>
  <c r="O141" i="1" s="1"/>
  <c r="L158" i="1"/>
  <c r="O158" i="1" s="1"/>
  <c r="L246" i="1"/>
  <c r="O246" i="1" s="1"/>
  <c r="L110" i="1"/>
  <c r="O110" i="1" s="1"/>
  <c r="Q365" i="1"/>
  <c r="L249" i="1"/>
  <c r="O249" i="1" s="1"/>
  <c r="L70" i="1"/>
  <c r="O70" i="1" s="1"/>
  <c r="Q95" i="1"/>
  <c r="Q166" i="1"/>
  <c r="L66" i="1"/>
  <c r="O66" i="1" s="1"/>
  <c r="Q142" i="1"/>
  <c r="L195" i="1"/>
  <c r="O195" i="1" s="1"/>
  <c r="Q177" i="1"/>
  <c r="Q147" i="1"/>
  <c r="L80" i="1"/>
  <c r="O80" i="1" s="1"/>
  <c r="Q40" i="1"/>
  <c r="L217" i="1"/>
  <c r="O217" i="1" s="1"/>
  <c r="Q144" i="1"/>
  <c r="Q500" i="1"/>
  <c r="L41" i="1"/>
  <c r="O41" i="1" s="1"/>
  <c r="L162" i="1"/>
  <c r="O162" i="1" s="1"/>
  <c r="L196" i="1"/>
  <c r="O196" i="1" s="1"/>
  <c r="L428" i="1"/>
  <c r="O428" i="1" s="1"/>
  <c r="L503" i="1"/>
  <c r="O503" i="1" s="1"/>
  <c r="Q191" i="1"/>
  <c r="L27" i="1"/>
  <c r="O27" i="1" s="1"/>
  <c r="L205" i="1"/>
  <c r="O205" i="1" s="1"/>
  <c r="L18" i="1"/>
  <c r="O18" i="1" s="1"/>
  <c r="L146" i="1"/>
  <c r="O146" i="1" s="1"/>
  <c r="Q193" i="1"/>
  <c r="Q398" i="1"/>
  <c r="Q306" i="1"/>
  <c r="Q109" i="1"/>
  <c r="L114" i="1"/>
  <c r="O114" i="1" s="1"/>
  <c r="L46" i="1"/>
  <c r="O46" i="1" s="1"/>
  <c r="L8" i="1"/>
  <c r="O8" i="1" s="1"/>
  <c r="L386" i="1"/>
  <c r="O386" i="1" s="1"/>
  <c r="Q167" i="1"/>
  <c r="L209" i="1"/>
  <c r="O209" i="1" s="1"/>
  <c r="L172" i="1"/>
  <c r="O172" i="1" s="1"/>
  <c r="Q78" i="1"/>
  <c r="Q225" i="1"/>
  <c r="Q23" i="1"/>
  <c r="L214" i="1"/>
  <c r="O214" i="1" s="1"/>
  <c r="L206" i="1"/>
  <c r="O206" i="1" s="1"/>
  <c r="L358" i="1"/>
  <c r="O358" i="1" s="1"/>
  <c r="L257" i="1"/>
  <c r="O257" i="1" s="1"/>
  <c r="L468" i="1"/>
  <c r="O468" i="1" s="1"/>
  <c r="L250" i="1"/>
  <c r="O250" i="1" s="1"/>
  <c r="L145" i="1"/>
  <c r="O145" i="1" s="1"/>
  <c r="Q226" i="1"/>
  <c r="L63" i="1"/>
  <c r="O63" i="1" s="1"/>
  <c r="L227" i="1"/>
  <c r="O227" i="1" s="1"/>
  <c r="Q11" i="1"/>
  <c r="L194" i="1"/>
  <c r="O194" i="1" s="1"/>
  <c r="L133" i="1"/>
  <c r="O133" i="1" s="1"/>
  <c r="Q241" i="1"/>
  <c r="L179" i="1"/>
  <c r="O179" i="1" s="1"/>
  <c r="L91" i="1"/>
  <c r="O91" i="1" s="1"/>
  <c r="L222" i="1"/>
  <c r="O222" i="1" s="1"/>
  <c r="L15" i="1"/>
  <c r="O15" i="1" s="1"/>
  <c r="Q343" i="1"/>
  <c r="L269" i="1"/>
  <c r="O269" i="1" s="1"/>
  <c r="Q148" i="1"/>
  <c r="Q101" i="1"/>
  <c r="L7" i="1"/>
  <c r="O7" i="1" s="1"/>
  <c r="L180" i="1"/>
  <c r="O180" i="1" s="1"/>
  <c r="Q183" i="1"/>
  <c r="Q165" i="1"/>
  <c r="Q68" i="1"/>
  <c r="L22" i="1"/>
  <c r="O22" i="1" s="1"/>
  <c r="L94" i="1"/>
  <c r="O94" i="1" s="1"/>
  <c r="Q234" i="1"/>
  <c r="Q198" i="1"/>
  <c r="Q67" i="1"/>
  <c r="Q410" i="1"/>
  <c r="L390" i="1"/>
  <c r="O390" i="1" s="1"/>
  <c r="L451" i="1"/>
  <c r="O451" i="1" s="1"/>
  <c r="L319" i="1"/>
  <c r="O319" i="1" s="1"/>
  <c r="L498" i="1"/>
  <c r="O498" i="1" s="1"/>
  <c r="Q159" i="1"/>
  <c r="L9" i="1"/>
  <c r="O9" i="1" s="1"/>
  <c r="L178" i="1"/>
  <c r="O178" i="1" s="1"/>
  <c r="Q151" i="1"/>
  <c r="Q20" i="1"/>
  <c r="L466" i="1"/>
  <c r="O466" i="1" s="1"/>
  <c r="Q270" i="1"/>
  <c r="L182" i="1"/>
  <c r="O182" i="1" s="1"/>
  <c r="L56" i="1"/>
  <c r="O56" i="1" s="1"/>
  <c r="Q131" i="1"/>
  <c r="L74" i="1"/>
  <c r="O74" i="1" s="1"/>
  <c r="Q99" i="1"/>
  <c r="L47" i="1"/>
  <c r="O47" i="1" s="1"/>
  <c r="L242" i="1"/>
  <c r="O242" i="1" s="1"/>
  <c r="L130" i="1"/>
  <c r="O130" i="1" s="1"/>
  <c r="L429" i="1"/>
  <c r="O429" i="1" s="1"/>
  <c r="Q282" i="1"/>
  <c r="Q394" i="1"/>
  <c r="L445" i="1"/>
  <c r="O445" i="1" s="1"/>
  <c r="Q60" i="1"/>
  <c r="L115" i="1"/>
  <c r="O115" i="1" s="1"/>
  <c r="L82" i="1"/>
  <c r="O82" i="1" s="1"/>
  <c r="Q19" i="1"/>
  <c r="L106" i="1"/>
  <c r="O106" i="1" s="1"/>
  <c r="L163" i="1"/>
  <c r="O163" i="1" s="1"/>
  <c r="Q230" i="1"/>
  <c r="Q208" i="1"/>
  <c r="Q153" i="1"/>
  <c r="L88" i="1"/>
  <c r="O88" i="1" s="1"/>
  <c r="L247" i="1"/>
  <c r="O247" i="1" s="1"/>
  <c r="L478" i="1"/>
  <c r="O478" i="1" s="1"/>
  <c r="Q274" i="1"/>
  <c r="L355" i="1"/>
  <c r="O355" i="1" s="1"/>
  <c r="L92" i="1"/>
  <c r="O92" i="1" s="1"/>
  <c r="L201" i="1"/>
  <c r="O201" i="1" s="1"/>
  <c r="Q161" i="1"/>
  <c r="L190" i="1"/>
  <c r="O190" i="1" s="1"/>
  <c r="L152" i="1"/>
  <c r="O152" i="1" s="1"/>
  <c r="L215" i="1"/>
  <c r="O215" i="1" s="1"/>
  <c r="Q204" i="1"/>
  <c r="Q199" i="1"/>
  <c r="L426" i="1"/>
  <c r="O426" i="1" s="1"/>
  <c r="L479" i="1"/>
  <c r="O479" i="1" s="1"/>
  <c r="L359" i="1"/>
  <c r="O359" i="1" s="1"/>
  <c r="L258" i="1"/>
  <c r="O258" i="1" s="1"/>
  <c r="L310" i="1"/>
  <c r="O310" i="1" s="1"/>
  <c r="L261" i="1"/>
  <c r="O261" i="1" s="1"/>
  <c r="L315" i="1"/>
  <c r="O315" i="1" s="1"/>
  <c r="L414" i="1"/>
  <c r="O414" i="1" s="1"/>
  <c r="L233" i="1"/>
  <c r="O233" i="1" s="1"/>
  <c r="Q231" i="1"/>
  <c r="L219" i="1"/>
  <c r="O219" i="1" s="1"/>
  <c r="L111" i="1"/>
  <c r="O111" i="1" s="1"/>
  <c r="Q323" i="1"/>
  <c r="L327" i="1"/>
  <c r="O327" i="1" s="1"/>
  <c r="Q237" i="1"/>
  <c r="Q71" i="1"/>
  <c r="L155" i="1"/>
  <c r="O155" i="1" s="1"/>
  <c r="Q197" i="1"/>
  <c r="Q192" i="1"/>
  <c r="J458" i="1"/>
  <c r="L458" i="1" s="1"/>
  <c r="O458" i="1" s="1"/>
  <c r="E458" i="1"/>
  <c r="J377" i="1"/>
  <c r="L377" i="1" s="1"/>
  <c r="O377" i="1" s="1"/>
  <c r="E377" i="1"/>
  <c r="J346" i="1"/>
  <c r="L346" i="1" s="1"/>
  <c r="O346" i="1" s="1"/>
  <c r="E346" i="1"/>
  <c r="J305" i="1"/>
  <c r="L305" i="1" s="1"/>
  <c r="O305" i="1" s="1"/>
  <c r="E305" i="1"/>
  <c r="J28" i="1"/>
  <c r="E28" i="1"/>
  <c r="J6" i="1"/>
  <c r="E6" i="1"/>
  <c r="J427" i="1"/>
  <c r="L427" i="1" s="1"/>
  <c r="O427" i="1" s="1"/>
  <c r="E427" i="1"/>
  <c r="J50" i="1"/>
  <c r="L50" i="1" s="1"/>
  <c r="O50" i="1" s="1"/>
  <c r="E50" i="1"/>
  <c r="J453" i="1"/>
  <c r="L453" i="1" s="1"/>
  <c r="O453" i="1" s="1"/>
  <c r="E453" i="1"/>
  <c r="J275" i="1"/>
  <c r="L275" i="1" s="1"/>
  <c r="O275" i="1" s="1"/>
  <c r="E275" i="1"/>
  <c r="J240" i="1"/>
  <c r="Q240" i="1" s="1"/>
  <c r="E240" i="1"/>
  <c r="J93" i="1"/>
  <c r="Q93" i="1" s="1"/>
  <c r="E93" i="1"/>
  <c r="J26" i="1"/>
  <c r="E26" i="1"/>
  <c r="J432" i="1"/>
  <c r="Q432" i="1" s="1"/>
  <c r="E432" i="1"/>
  <c r="J119" i="1"/>
  <c r="L119" i="1" s="1"/>
  <c r="O119" i="1" s="1"/>
  <c r="E119" i="1"/>
  <c r="J54" i="1"/>
  <c r="Q54" i="1" s="1"/>
  <c r="E54" i="1"/>
  <c r="J443" i="1"/>
  <c r="L443" i="1" s="1"/>
  <c r="O443" i="1" s="1"/>
  <c r="E443" i="1"/>
  <c r="J350" i="1"/>
  <c r="L350" i="1" s="1"/>
  <c r="O350" i="1" s="1"/>
  <c r="E350" i="1"/>
  <c r="E337" i="1"/>
  <c r="J35" i="1"/>
  <c r="E35" i="1"/>
  <c r="J29" i="1"/>
  <c r="E29" i="1"/>
  <c r="E506" i="1"/>
  <c r="J367" i="1"/>
  <c r="Q367" i="1" s="1"/>
  <c r="E367" i="1"/>
  <c r="J100" i="1"/>
  <c r="L100" i="1" s="1"/>
  <c r="O100" i="1" s="1"/>
  <c r="E100" i="1"/>
  <c r="J21" i="1"/>
  <c r="E21" i="1"/>
  <c r="J452" i="1"/>
  <c r="Q452" i="1" s="1"/>
  <c r="E452" i="1"/>
  <c r="E370" i="1"/>
  <c r="J344" i="1"/>
  <c r="L344" i="1" s="1"/>
  <c r="O344" i="1" s="1"/>
  <c r="E344" i="1"/>
  <c r="J302" i="1"/>
  <c r="L302" i="1" s="1"/>
  <c r="O302" i="1" s="1"/>
  <c r="E302" i="1"/>
  <c r="Q4" i="1"/>
  <c r="J326" i="1"/>
  <c r="L326" i="1" s="1"/>
  <c r="O326" i="1" s="1"/>
  <c r="E326" i="1"/>
  <c r="E507" i="1"/>
  <c r="J483" i="1"/>
  <c r="L483" i="1" s="1"/>
  <c r="O483" i="1" s="1"/>
  <c r="E483" i="1"/>
  <c r="J316" i="1"/>
  <c r="L316" i="1" s="1"/>
  <c r="O316" i="1" s="1"/>
  <c r="E316" i="1"/>
  <c r="J248" i="1"/>
  <c r="Q248" i="1" s="1"/>
  <c r="E248" i="1"/>
  <c r="J137" i="1"/>
  <c r="L137" i="1" s="1"/>
  <c r="O137" i="1" s="1"/>
  <c r="E137" i="1"/>
  <c r="J228" i="1"/>
  <c r="E228" i="1"/>
  <c r="J376" i="1"/>
  <c r="Q376" i="1" s="1"/>
  <c r="E376" i="1"/>
  <c r="E97" i="1"/>
  <c r="J473" i="1"/>
  <c r="Q473" i="1" s="1"/>
  <c r="E473" i="1"/>
  <c r="J438" i="1"/>
  <c r="Q438" i="1" s="1"/>
  <c r="E438" i="1"/>
  <c r="J348" i="1"/>
  <c r="L348" i="1" s="1"/>
  <c r="O348" i="1" s="1"/>
  <c r="E348" i="1"/>
  <c r="J298" i="1"/>
  <c r="Q298" i="1" s="1"/>
  <c r="E298" i="1"/>
  <c r="J53" i="1"/>
  <c r="Q53" i="1" s="1"/>
  <c r="E53" i="1"/>
  <c r="E465" i="1"/>
  <c r="J332" i="1"/>
  <c r="Q332" i="1" s="1"/>
  <c r="E332" i="1"/>
  <c r="J268" i="1"/>
  <c r="Q268" i="1" s="1"/>
  <c r="E268" i="1"/>
  <c r="J416" i="1"/>
  <c r="L416" i="1" s="1"/>
  <c r="O416" i="1" s="1"/>
  <c r="E416" i="1"/>
  <c r="J480" i="1"/>
  <c r="L480" i="1" s="1"/>
  <c r="O480" i="1" s="1"/>
  <c r="E480" i="1"/>
  <c r="J450" i="1"/>
  <c r="Q450" i="1" s="1"/>
  <c r="E450" i="1"/>
  <c r="J439" i="1"/>
  <c r="L439" i="1" s="1"/>
  <c r="O439" i="1" s="1"/>
  <c r="E439" i="1"/>
  <c r="J368" i="1"/>
  <c r="L368" i="1" s="1"/>
  <c r="O368" i="1" s="1"/>
  <c r="E368" i="1"/>
  <c r="J352" i="1"/>
  <c r="L352" i="1" s="1"/>
  <c r="O352" i="1" s="1"/>
  <c r="E352" i="1"/>
  <c r="J341" i="1"/>
  <c r="L341" i="1" s="1"/>
  <c r="O341" i="1" s="1"/>
  <c r="E341" i="1"/>
  <c r="J321" i="1"/>
  <c r="L321" i="1" s="1"/>
  <c r="O321" i="1" s="1"/>
  <c r="E321" i="1"/>
  <c r="J289" i="1"/>
  <c r="L289" i="1" s="1"/>
  <c r="O289" i="1" s="1"/>
  <c r="E289" i="1"/>
  <c r="J189" i="1"/>
  <c r="Q189" i="1" s="1"/>
  <c r="E189" i="1"/>
  <c r="E139" i="1"/>
  <c r="J65" i="1"/>
  <c r="L65" i="1" s="1"/>
  <c r="O65" i="1" s="1"/>
  <c r="E65" i="1"/>
  <c r="J501" i="1"/>
  <c r="L501" i="1" s="1"/>
  <c r="O501" i="1" s="1"/>
  <c r="E501" i="1"/>
  <c r="E244" i="1"/>
  <c r="E505" i="1"/>
  <c r="J494" i="1"/>
  <c r="L494" i="1" s="1"/>
  <c r="O494" i="1" s="1"/>
  <c r="E494" i="1"/>
  <c r="J481" i="1"/>
  <c r="L481" i="1" s="1"/>
  <c r="O481" i="1" s="1"/>
  <c r="E481" i="1"/>
  <c r="J431" i="1"/>
  <c r="L431" i="1" s="1"/>
  <c r="O431" i="1" s="1"/>
  <c r="E431" i="1"/>
  <c r="J308" i="1"/>
  <c r="L308" i="1" s="1"/>
  <c r="O308" i="1" s="1"/>
  <c r="E308" i="1"/>
  <c r="J267" i="1"/>
  <c r="L267" i="1" s="1"/>
  <c r="O267" i="1" s="1"/>
  <c r="E267" i="1"/>
  <c r="L154" i="1"/>
  <c r="O154" i="1" s="1"/>
  <c r="J143" i="1"/>
  <c r="L143" i="1" s="1"/>
  <c r="O143" i="1" s="1"/>
  <c r="E143" i="1"/>
  <c r="L134" i="1"/>
  <c r="O134" i="1" s="1"/>
  <c r="E129" i="1"/>
  <c r="J121" i="1"/>
  <c r="Q121" i="1" s="1"/>
  <c r="E121" i="1"/>
  <c r="L224" i="1"/>
  <c r="O224" i="1" s="1"/>
  <c r="Q16" i="1"/>
  <c r="L12" i="1"/>
  <c r="O12" i="1" s="1"/>
  <c r="L10" i="1"/>
  <c r="O10" i="1" s="1"/>
  <c r="J457" i="1"/>
  <c r="Q457" i="1" s="1"/>
  <c r="E457" i="1"/>
  <c r="J329" i="1"/>
  <c r="L329" i="1" s="1"/>
  <c r="O329" i="1" s="1"/>
  <c r="E329" i="1"/>
  <c r="J188" i="1"/>
  <c r="Q188" i="1" s="1"/>
  <c r="E188" i="1"/>
  <c r="L72" i="1"/>
  <c r="O72" i="1" s="1"/>
  <c r="L59" i="1"/>
  <c r="O59" i="1" s="1"/>
  <c r="L235" i="1"/>
  <c r="O235" i="1" s="1"/>
  <c r="J448" i="1"/>
  <c r="L448" i="1" s="1"/>
  <c r="O448" i="1" s="1"/>
  <c r="E448" i="1"/>
  <c r="J375" i="1"/>
  <c r="L375" i="1" s="1"/>
  <c r="O375" i="1" s="1"/>
  <c r="E375" i="1"/>
  <c r="J361" i="1"/>
  <c r="L361" i="1" s="1"/>
  <c r="O361" i="1" s="1"/>
  <c r="E361" i="1"/>
  <c r="J342" i="1"/>
  <c r="L342" i="1" s="1"/>
  <c r="O342" i="1" s="1"/>
  <c r="E342" i="1"/>
  <c r="J322" i="1"/>
  <c r="L322" i="1" s="1"/>
  <c r="O322" i="1" s="1"/>
  <c r="E322" i="1"/>
  <c r="J293" i="1"/>
  <c r="Q293" i="1" s="1"/>
  <c r="E293" i="1"/>
  <c r="J108" i="1"/>
  <c r="L108" i="1" s="1"/>
  <c r="O108" i="1" s="1"/>
  <c r="E108" i="1"/>
  <c r="J77" i="1"/>
  <c r="L77" i="1" s="1"/>
  <c r="O77" i="1" s="1"/>
  <c r="E77" i="1"/>
  <c r="L51" i="1"/>
  <c r="O51" i="1" s="1"/>
  <c r="E422" i="1"/>
  <c r="E43" i="1"/>
  <c r="J37" i="1"/>
  <c r="E37" i="1"/>
  <c r="L218" i="1"/>
  <c r="O218" i="1" s="1"/>
  <c r="J490" i="1"/>
  <c r="Q490" i="1" s="1"/>
  <c r="E490" i="1"/>
  <c r="J430" i="1"/>
  <c r="L430" i="1" s="1"/>
  <c r="O430" i="1" s="1"/>
  <c r="E430" i="1"/>
  <c r="J320" i="1"/>
  <c r="L320" i="1" s="1"/>
  <c r="O320" i="1" s="1"/>
  <c r="E320" i="1"/>
  <c r="J260" i="1"/>
  <c r="L260" i="1" s="1"/>
  <c r="O260" i="1" s="1"/>
  <c r="E260" i="1"/>
  <c r="L185" i="1"/>
  <c r="O185" i="1" s="1"/>
  <c r="Q135" i="1"/>
  <c r="L122" i="1"/>
  <c r="O122" i="1" s="1"/>
  <c r="L103" i="1"/>
  <c r="O103" i="1" s="1"/>
  <c r="Q418" i="1"/>
  <c r="L492" i="1"/>
  <c r="O492" i="1" s="1"/>
  <c r="Q472" i="1"/>
  <c r="Q461" i="1"/>
  <c r="Q440" i="1"/>
  <c r="Q373" i="1"/>
  <c r="L354" i="1"/>
  <c r="O354" i="1" s="1"/>
  <c r="Q334" i="1"/>
  <c r="Q314" i="1"/>
  <c r="Q300" i="1"/>
  <c r="L290" i="1"/>
  <c r="O290" i="1" s="1"/>
  <c r="Q277" i="1"/>
  <c r="L263" i="1"/>
  <c r="O263" i="1" s="1"/>
  <c r="Q489" i="1"/>
  <c r="Q469" i="1"/>
  <c r="Q459" i="1"/>
  <c r="Q437" i="1"/>
  <c r="Q369" i="1"/>
  <c r="Q351" i="1"/>
  <c r="Q331" i="1"/>
  <c r="Q311" i="1"/>
  <c r="Q299" i="1"/>
  <c r="Q287" i="1"/>
  <c r="L276" i="1"/>
  <c r="O276" i="1" s="1"/>
  <c r="Q262" i="1"/>
  <c r="Q251" i="1"/>
  <c r="L402" i="1"/>
  <c r="O402" i="1" s="1"/>
  <c r="Q476" i="1"/>
  <c r="Q449" i="1"/>
  <c r="Q356" i="1"/>
  <c r="Q304" i="1"/>
  <c r="L279" i="1"/>
  <c r="O279" i="1" s="1"/>
  <c r="Q374" i="1"/>
  <c r="Q335" i="1"/>
  <c r="Q303" i="1"/>
  <c r="Q278" i="1"/>
  <c r="E391" i="1"/>
  <c r="J444" i="1"/>
  <c r="L444" i="1" s="1"/>
  <c r="O444" i="1" s="1"/>
  <c r="E444" i="1"/>
  <c r="J360" i="1"/>
  <c r="Q360" i="1" s="1"/>
  <c r="E360" i="1"/>
  <c r="J333" i="1"/>
  <c r="Q333" i="1" s="1"/>
  <c r="E333" i="1"/>
  <c r="E128" i="1"/>
  <c r="J104" i="1"/>
  <c r="Q104" i="1" s="1"/>
  <c r="E104" i="1"/>
  <c r="J81" i="1"/>
  <c r="L81" i="1" s="1"/>
  <c r="O81" i="1" s="1"/>
  <c r="E81" i="1"/>
  <c r="J32" i="1"/>
  <c r="E32" i="1"/>
  <c r="J236" i="1"/>
  <c r="Q236" i="1" s="1"/>
  <c r="E236" i="1"/>
  <c r="J499" i="1"/>
  <c r="Q499" i="1" s="1"/>
  <c r="E499" i="1"/>
  <c r="J486" i="1"/>
  <c r="L486" i="1" s="1"/>
  <c r="O486" i="1" s="1"/>
  <c r="E486" i="1"/>
  <c r="J324" i="1"/>
  <c r="L324" i="1" s="1"/>
  <c r="O324" i="1" s="1"/>
  <c r="E324" i="1"/>
  <c r="J256" i="1"/>
  <c r="Q256" i="1" s="1"/>
  <c r="E256" i="1"/>
  <c r="J105" i="1"/>
  <c r="L105" i="1" s="1"/>
  <c r="O105" i="1" s="1"/>
  <c r="E105" i="1"/>
  <c r="J31" i="1"/>
  <c r="E31" i="1"/>
  <c r="J487" i="1"/>
  <c r="Q487" i="1" s="1"/>
  <c r="E487" i="1"/>
  <c r="J271" i="1"/>
  <c r="Q271" i="1" s="1"/>
  <c r="E271" i="1"/>
  <c r="J484" i="1"/>
  <c r="L484" i="1" s="1"/>
  <c r="O484" i="1" s="1"/>
  <c r="E484" i="1"/>
  <c r="J366" i="1"/>
  <c r="Q366" i="1" s="1"/>
  <c r="E366" i="1"/>
  <c r="J301" i="1"/>
  <c r="L301" i="1" s="1"/>
  <c r="O301" i="1" s="1"/>
  <c r="E301" i="1"/>
  <c r="E171" i="1"/>
  <c r="J124" i="1"/>
  <c r="Q124" i="1" s="1"/>
  <c r="E124" i="1"/>
  <c r="J61" i="1"/>
  <c r="L61" i="1" s="1"/>
  <c r="O61" i="1" s="1"/>
  <c r="E61" i="1"/>
  <c r="J477" i="1"/>
  <c r="L477" i="1" s="1"/>
  <c r="O477" i="1" s="1"/>
  <c r="E477" i="1"/>
  <c r="J285" i="1"/>
  <c r="Q285" i="1" s="1"/>
  <c r="E285" i="1"/>
  <c r="E504" i="1"/>
  <c r="J442" i="1"/>
  <c r="Q442" i="1" s="1"/>
  <c r="E442" i="1"/>
  <c r="J357" i="1"/>
  <c r="L357" i="1" s="1"/>
  <c r="O357" i="1" s="1"/>
  <c r="E357" i="1"/>
  <c r="J330" i="1"/>
  <c r="L330" i="1" s="1"/>
  <c r="O330" i="1" s="1"/>
  <c r="E330" i="1"/>
  <c r="J73" i="1"/>
  <c r="L73" i="1" s="1"/>
  <c r="O73" i="1" s="1"/>
  <c r="E73" i="1"/>
  <c r="J406" i="1"/>
  <c r="L406" i="1" s="1"/>
  <c r="O406" i="1" s="1"/>
  <c r="E406" i="1"/>
  <c r="J497" i="1"/>
  <c r="L497" i="1" s="1"/>
  <c r="O497" i="1" s="1"/>
  <c r="E497" i="1"/>
  <c r="J434" i="1"/>
  <c r="L434" i="1" s="1"/>
  <c r="O434" i="1" s="1"/>
  <c r="E434" i="1"/>
  <c r="J272" i="1"/>
  <c r="L272" i="1" s="1"/>
  <c r="O272" i="1" s="1"/>
  <c r="E272" i="1"/>
  <c r="J123" i="1"/>
  <c r="L123" i="1" s="1"/>
  <c r="O123" i="1" s="1"/>
  <c r="E123" i="1"/>
  <c r="J30" i="1"/>
  <c r="E30" i="1"/>
  <c r="J17" i="1"/>
  <c r="E17" i="1"/>
  <c r="J474" i="1"/>
  <c r="Q474" i="1" s="1"/>
  <c r="E474" i="1"/>
  <c r="J239" i="1"/>
  <c r="Q239" i="1" s="1"/>
  <c r="E239" i="1"/>
  <c r="J471" i="1"/>
  <c r="L471" i="1" s="1"/>
  <c r="O471" i="1" s="1"/>
  <c r="E471" i="1"/>
  <c r="J364" i="1"/>
  <c r="Q364" i="1" s="1"/>
  <c r="E364" i="1"/>
  <c r="E328" i="1"/>
  <c r="J116" i="1"/>
  <c r="Q116" i="1" s="1"/>
  <c r="E116" i="1"/>
  <c r="E85" i="1"/>
  <c r="J39" i="1"/>
  <c r="E39" i="1"/>
  <c r="J495" i="1"/>
  <c r="Q495" i="1" s="1"/>
  <c r="E495" i="1"/>
  <c r="J415" i="1"/>
  <c r="L415" i="1" s="1"/>
  <c r="O415" i="1" s="1"/>
  <c r="E415" i="1"/>
  <c r="J460" i="1"/>
  <c r="Q460" i="1" s="1"/>
  <c r="E460" i="1"/>
  <c r="J447" i="1"/>
  <c r="L447" i="1" s="1"/>
  <c r="O447" i="1" s="1"/>
  <c r="E447" i="1"/>
  <c r="J436" i="1"/>
  <c r="L436" i="1" s="1"/>
  <c r="O436" i="1" s="1"/>
  <c r="E436" i="1"/>
  <c r="J362" i="1"/>
  <c r="L362" i="1" s="1"/>
  <c r="O362" i="1" s="1"/>
  <c r="E362" i="1"/>
  <c r="E349" i="1"/>
  <c r="E336" i="1"/>
  <c r="J313" i="1"/>
  <c r="Q313" i="1" s="1"/>
  <c r="E313" i="1"/>
  <c r="J280" i="1"/>
  <c r="Q280" i="1" s="1"/>
  <c r="E280" i="1"/>
  <c r="J175" i="1"/>
  <c r="Q175" i="1" s="1"/>
  <c r="E175" i="1"/>
  <c r="J136" i="1"/>
  <c r="Q136" i="1" s="1"/>
  <c r="E136" i="1"/>
  <c r="J112" i="1"/>
  <c r="Q112" i="1" s="1"/>
  <c r="E112" i="1"/>
  <c r="J89" i="1"/>
  <c r="E89" i="1"/>
  <c r="J57" i="1"/>
  <c r="Q57" i="1" s="1"/>
  <c r="E57" i="1"/>
  <c r="E34" i="1"/>
  <c r="J493" i="1"/>
  <c r="L493" i="1" s="1"/>
  <c r="O493" i="1" s="1"/>
  <c r="E493" i="1"/>
  <c r="J125" i="1"/>
  <c r="Q125" i="1" s="1"/>
  <c r="E125" i="1"/>
  <c r="J49" i="1"/>
  <c r="L49" i="1" s="1"/>
  <c r="O49" i="1" s="1"/>
  <c r="E49" i="1"/>
  <c r="J502" i="1"/>
  <c r="L502" i="1" s="1"/>
  <c r="O502" i="1" s="1"/>
  <c r="E502" i="1"/>
  <c r="J491" i="1"/>
  <c r="L491" i="1" s="1"/>
  <c r="O491" i="1" s="1"/>
  <c r="E491" i="1"/>
  <c r="J470" i="1"/>
  <c r="L470" i="1" s="1"/>
  <c r="O470" i="1" s="1"/>
  <c r="E470" i="1"/>
  <c r="J371" i="1"/>
  <c r="Q371" i="1" s="1"/>
  <c r="E371" i="1"/>
  <c r="J284" i="1"/>
  <c r="Q284" i="1" s="1"/>
  <c r="E284" i="1"/>
  <c r="J264" i="1"/>
  <c r="L264" i="1" s="1"/>
  <c r="O264" i="1" s="1"/>
  <c r="E264" i="1"/>
  <c r="J176" i="1"/>
  <c r="L176" i="1" s="1"/>
  <c r="O176" i="1" s="1"/>
  <c r="E176" i="1"/>
  <c r="J113" i="1"/>
  <c r="L113" i="1" s="1"/>
  <c r="O113" i="1" s="1"/>
  <c r="E113" i="1"/>
  <c r="J96" i="1"/>
  <c r="L96" i="1" s="1"/>
  <c r="O96" i="1" s="1"/>
  <c r="E96" i="1"/>
  <c r="J441" i="1"/>
  <c r="L441" i="1" s="1"/>
  <c r="O441" i="1" s="1"/>
  <c r="E441" i="1"/>
  <c r="J312" i="1"/>
  <c r="L312" i="1" s="1"/>
  <c r="O312" i="1" s="1"/>
  <c r="E312" i="1"/>
  <c r="E127" i="1"/>
  <c r="J446" i="1"/>
  <c r="L446" i="1" s="1"/>
  <c r="O446" i="1" s="1"/>
  <c r="E446" i="1"/>
  <c r="J372" i="1"/>
  <c r="Q372" i="1" s="1"/>
  <c r="E372" i="1"/>
  <c r="J353" i="1"/>
  <c r="L353" i="1" s="1"/>
  <c r="O353" i="1" s="1"/>
  <c r="E353" i="1"/>
  <c r="J340" i="1"/>
  <c r="L340" i="1" s="1"/>
  <c r="O340" i="1" s="1"/>
  <c r="E340" i="1"/>
  <c r="J317" i="1"/>
  <c r="L317" i="1" s="1"/>
  <c r="O317" i="1" s="1"/>
  <c r="E317" i="1"/>
  <c r="J187" i="1"/>
  <c r="Q187" i="1" s="1"/>
  <c r="E187" i="1"/>
  <c r="J132" i="1"/>
  <c r="L132" i="1" s="1"/>
  <c r="O132" i="1" s="1"/>
  <c r="E132" i="1"/>
  <c r="J69" i="1"/>
  <c r="E69" i="1"/>
  <c r="J232" i="1"/>
  <c r="Q232" i="1" s="1"/>
  <c r="E232" i="1"/>
  <c r="J36" i="1"/>
  <c r="E36" i="1"/>
  <c r="J33" i="1"/>
  <c r="E33" i="1"/>
  <c r="J482" i="1"/>
  <c r="L482" i="1" s="1"/>
  <c r="O482" i="1" s="1"/>
  <c r="E482" i="1"/>
  <c r="E379" i="1"/>
  <c r="J288" i="1"/>
  <c r="Q288" i="1" s="1"/>
  <c r="E288" i="1"/>
  <c r="E252" i="1"/>
  <c r="E38" i="1"/>
  <c r="Q416" i="1" l="1"/>
  <c r="L31" i="1"/>
  <c r="O31" i="1" s="1"/>
  <c r="L37" i="1"/>
  <c r="O37" i="1" s="1"/>
  <c r="S37" i="1"/>
  <c r="S8" i="1"/>
  <c r="S16" i="1"/>
  <c r="S12" i="1"/>
  <c r="Q33" i="1"/>
  <c r="L35" i="1"/>
  <c r="O35" i="1" s="1"/>
  <c r="L6" i="1"/>
  <c r="O6" i="1" s="1"/>
  <c r="L17" i="1"/>
  <c r="O17" i="1" s="1"/>
  <c r="S20" i="1"/>
  <c r="S40" i="1"/>
  <c r="Q30" i="1"/>
  <c r="L32" i="1"/>
  <c r="O32" i="1" s="1"/>
  <c r="S32" i="1"/>
  <c r="Q36" i="1"/>
  <c r="S36" i="1"/>
  <c r="L21" i="1"/>
  <c r="O21" i="1" s="1"/>
  <c r="Q29" i="1"/>
  <c r="L26" i="1"/>
  <c r="O26" i="1" s="1"/>
  <c r="Q28" i="1"/>
  <c r="L4" i="1"/>
  <c r="O4" i="1" s="1"/>
  <c r="Q6" i="1"/>
  <c r="L367" i="1"/>
  <c r="O367" i="1" s="1"/>
  <c r="Q100" i="1"/>
  <c r="Q119" i="1"/>
  <c r="Q302" i="1"/>
  <c r="Q275" i="1"/>
  <c r="Q137" i="1"/>
  <c r="Q305" i="1"/>
  <c r="L298" i="1"/>
  <c r="O298" i="1" s="1"/>
  <c r="L473" i="1"/>
  <c r="O473" i="1" s="1"/>
  <c r="Q143" i="1"/>
  <c r="L112" i="1"/>
  <c r="O112" i="1" s="1"/>
  <c r="Q375" i="1"/>
  <c r="Q77" i="1"/>
  <c r="Q289" i="1"/>
  <c r="Q501" i="1"/>
  <c r="L189" i="1"/>
  <c r="O189" i="1" s="1"/>
  <c r="L53" i="1"/>
  <c r="O53" i="1" s="1"/>
  <c r="Q439" i="1"/>
  <c r="Q312" i="1"/>
  <c r="Q37" i="1"/>
  <c r="Q329" i="1"/>
  <c r="Q368" i="1"/>
  <c r="L457" i="1"/>
  <c r="O457" i="1" s="1"/>
  <c r="Q494" i="1"/>
  <c r="Q31" i="1"/>
  <c r="Q316" i="1"/>
  <c r="Q320" i="1"/>
  <c r="Q431" i="1"/>
  <c r="Q341" i="1"/>
  <c r="L442" i="1"/>
  <c r="O442" i="1" s="1"/>
  <c r="Q415" i="1"/>
  <c r="L285" i="1"/>
  <c r="O285" i="1" s="1"/>
  <c r="L271" i="1"/>
  <c r="O271" i="1" s="1"/>
  <c r="L69" i="1"/>
  <c r="O69" i="1" s="1"/>
  <c r="Q35" i="1"/>
  <c r="Q132" i="1"/>
  <c r="L332" i="1"/>
  <c r="O332" i="1" s="1"/>
  <c r="L438" i="1"/>
  <c r="O438" i="1" s="1"/>
  <c r="L293" i="1"/>
  <c r="O293" i="1" s="1"/>
  <c r="Q377" i="1"/>
  <c r="L124" i="1"/>
  <c r="O124" i="1" s="1"/>
  <c r="L33" i="1"/>
  <c r="O33" i="1" s="1"/>
  <c r="L121" i="1"/>
  <c r="O121" i="1" s="1"/>
  <c r="L57" i="1"/>
  <c r="O57" i="1" s="1"/>
  <c r="L376" i="1"/>
  <c r="O376" i="1" s="1"/>
  <c r="Q434" i="1"/>
  <c r="Q326" i="1"/>
  <c r="Q330" i="1"/>
  <c r="L313" i="1"/>
  <c r="O313" i="1" s="1"/>
  <c r="Q350" i="1"/>
  <c r="L360" i="1"/>
  <c r="O360" i="1" s="1"/>
  <c r="L490" i="1"/>
  <c r="O490" i="1" s="1"/>
  <c r="Q267" i="1"/>
  <c r="L450" i="1"/>
  <c r="O450" i="1" s="1"/>
  <c r="Q113" i="1"/>
  <c r="L125" i="1"/>
  <c r="O125" i="1" s="1"/>
  <c r="Q406" i="1"/>
  <c r="L371" i="1"/>
  <c r="O371" i="1" s="1"/>
  <c r="Q484" i="1"/>
  <c r="Q486" i="1"/>
  <c r="Q353" i="1"/>
  <c r="L39" i="1"/>
  <c r="O39" i="1" s="1"/>
  <c r="Q123" i="1"/>
  <c r="L474" i="1"/>
  <c r="O474" i="1" s="1"/>
  <c r="Q436" i="1"/>
  <c r="Q39" i="1"/>
  <c r="L116" i="1"/>
  <c r="O116" i="1" s="1"/>
  <c r="Q17" i="1"/>
  <c r="L93" i="1"/>
  <c r="O93" i="1" s="1"/>
  <c r="Q81" i="1"/>
  <c r="Q342" i="1"/>
  <c r="L256" i="1"/>
  <c r="O256" i="1" s="1"/>
  <c r="Q176" i="1"/>
  <c r="L29" i="1"/>
  <c r="O29" i="1" s="1"/>
  <c r="L268" i="1"/>
  <c r="O268" i="1" s="1"/>
  <c r="L495" i="1"/>
  <c r="O495" i="1" s="1"/>
  <c r="L452" i="1"/>
  <c r="O452" i="1" s="1"/>
  <c r="Q260" i="1"/>
  <c r="Q453" i="1"/>
  <c r="Q446" i="1"/>
  <c r="L460" i="1"/>
  <c r="O460" i="1" s="1"/>
  <c r="Q49" i="1"/>
  <c r="Q73" i="1"/>
  <c r="L36" i="1"/>
  <c r="O36" i="1" s="1"/>
  <c r="L28" i="1"/>
  <c r="O28" i="1" s="1"/>
  <c r="L248" i="1"/>
  <c r="O248" i="1" s="1"/>
  <c r="Q308" i="1"/>
  <c r="L366" i="1"/>
  <c r="O366" i="1" s="1"/>
  <c r="L284" i="1"/>
  <c r="O284" i="1" s="1"/>
  <c r="L54" i="1"/>
  <c r="O54" i="1" s="1"/>
  <c r="Q228" i="1"/>
  <c r="L240" i="1"/>
  <c r="O240" i="1" s="1"/>
  <c r="Q108" i="1"/>
  <c r="Q348" i="1"/>
  <c r="L232" i="1"/>
  <c r="O232" i="1" s="1"/>
  <c r="L30" i="1"/>
  <c r="O30" i="1" s="1"/>
  <c r="Q65" i="1"/>
  <c r="L175" i="1"/>
  <c r="O175" i="1" s="1"/>
  <c r="Q61" i="1"/>
  <c r="Q105" i="1"/>
  <c r="L236" i="1"/>
  <c r="O236" i="1" s="1"/>
  <c r="Q32" i="1"/>
  <c r="L104" i="1"/>
  <c r="O104" i="1" s="1"/>
  <c r="Q21" i="1"/>
  <c r="L364" i="1"/>
  <c r="O364" i="1" s="1"/>
  <c r="Q272" i="1"/>
  <c r="Q483" i="1"/>
  <c r="Q491" i="1"/>
  <c r="Q321" i="1"/>
  <c r="Q301" i="1"/>
  <c r="L487" i="1"/>
  <c r="O487" i="1" s="1"/>
  <c r="L499" i="1"/>
  <c r="O499" i="1" s="1"/>
  <c r="L333" i="1"/>
  <c r="O333" i="1" s="1"/>
  <c r="Q458" i="1"/>
  <c r="Q317" i="1"/>
  <c r="Q361" i="1"/>
  <c r="L228" i="1"/>
  <c r="O228" i="1" s="1"/>
  <c r="Q344" i="1"/>
  <c r="Q340" i="1"/>
  <c r="Q264" i="1"/>
  <c r="Q430" i="1"/>
  <c r="Q443" i="1"/>
  <c r="L432" i="1"/>
  <c r="O432" i="1" s="1"/>
  <c r="Q346" i="1"/>
  <c r="Q470" i="1"/>
  <c r="Q362" i="1"/>
  <c r="L239" i="1"/>
  <c r="O239" i="1" s="1"/>
  <c r="Q89" i="1"/>
  <c r="L136" i="1"/>
  <c r="O136" i="1" s="1"/>
  <c r="Q471" i="1"/>
  <c r="Q497" i="1"/>
  <c r="Q357" i="1"/>
  <c r="Q482" i="1"/>
  <c r="L280" i="1"/>
  <c r="O280" i="1" s="1"/>
  <c r="Q481" i="1"/>
  <c r="Q352" i="1"/>
  <c r="Q480" i="1"/>
  <c r="Q477" i="1"/>
  <c r="Q324" i="1"/>
  <c r="Q427" i="1"/>
  <c r="Q444" i="1"/>
  <c r="Q441" i="1"/>
  <c r="Q493" i="1"/>
  <c r="Q447" i="1"/>
  <c r="Q322" i="1"/>
  <c r="Q448" i="1"/>
  <c r="L187" i="1"/>
  <c r="O187" i="1" s="1"/>
  <c r="Q69" i="1"/>
  <c r="Q96" i="1"/>
  <c r="L89" i="1"/>
  <c r="O89" i="1" s="1"/>
  <c r="Q26" i="1"/>
  <c r="L372" i="1"/>
  <c r="O372" i="1" s="1"/>
  <c r="Q502" i="1"/>
  <c r="E421" i="1"/>
  <c r="J388" i="1"/>
  <c r="E388" i="1"/>
  <c r="J389" i="1"/>
  <c r="S11" i="1" s="1"/>
  <c r="E389" i="1"/>
  <c r="J408" i="1"/>
  <c r="S30" i="1" s="1"/>
  <c r="T30" i="1" s="1"/>
  <c r="V30" i="1" s="1"/>
  <c r="X30" i="1" s="1"/>
  <c r="E408" i="1"/>
  <c r="J385" i="1"/>
  <c r="E385" i="1"/>
  <c r="J404" i="1"/>
  <c r="S26" i="1" s="1"/>
  <c r="T26" i="1" s="1"/>
  <c r="V26" i="1" s="1"/>
  <c r="X26" i="1" s="1"/>
  <c r="E404" i="1"/>
  <c r="L188" i="1"/>
  <c r="O188" i="1" s="1"/>
  <c r="J424" i="1"/>
  <c r="S4" i="1" s="1"/>
  <c r="T4" i="1" s="1"/>
  <c r="E424" i="1"/>
  <c r="J25" i="1"/>
  <c r="E25" i="1"/>
  <c r="J417" i="1"/>
  <c r="S39" i="1" s="1"/>
  <c r="T39" i="1" s="1"/>
  <c r="V39" i="1" s="1"/>
  <c r="X39" i="1" s="1"/>
  <c r="E417" i="1"/>
  <c r="J397" i="1"/>
  <c r="E397" i="1"/>
  <c r="J411" i="1"/>
  <c r="E411" i="1"/>
  <c r="J419" i="1"/>
  <c r="E419" i="1"/>
  <c r="L288" i="1"/>
  <c r="O288" i="1" s="1"/>
  <c r="E381" i="1"/>
  <c r="J409" i="1"/>
  <c r="E409" i="1"/>
  <c r="J393" i="1"/>
  <c r="S15" i="1" s="1"/>
  <c r="T15" i="1" s="1"/>
  <c r="V15" i="1" s="1"/>
  <c r="X15" i="1" s="1"/>
  <c r="E393" i="1"/>
  <c r="J425" i="1"/>
  <c r="E425" i="1"/>
  <c r="J399" i="1"/>
  <c r="E399" i="1"/>
  <c r="Q50" i="1"/>
  <c r="E380" i="1"/>
  <c r="J401" i="1"/>
  <c r="L401" i="1" s="1"/>
  <c r="O401" i="1" s="1"/>
  <c r="E401" i="1"/>
  <c r="J413" i="1"/>
  <c r="S35" i="1" s="1"/>
  <c r="E413" i="1"/>
  <c r="J383" i="1"/>
  <c r="E383" i="1"/>
  <c r="J407" i="1"/>
  <c r="E407" i="1"/>
  <c r="J400" i="1"/>
  <c r="S22" i="1" s="1"/>
  <c r="T22" i="1" s="1"/>
  <c r="V22" i="1" s="1"/>
  <c r="X22" i="1" s="1"/>
  <c r="E400" i="1"/>
  <c r="J403" i="1"/>
  <c r="E403" i="1"/>
  <c r="E423" i="1"/>
  <c r="J387" i="1"/>
  <c r="S9" i="1" s="1"/>
  <c r="E387" i="1"/>
  <c r="J395" i="1"/>
  <c r="E395" i="1"/>
  <c r="E420" i="1"/>
  <c r="J396" i="1"/>
  <c r="T20" i="1" s="1"/>
  <c r="V20" i="1" s="1"/>
  <c r="X20" i="1" s="1"/>
  <c r="E396" i="1"/>
  <c r="J384" i="1"/>
  <c r="E384" i="1"/>
  <c r="J392" i="1"/>
  <c r="E392" i="1"/>
  <c r="J405" i="1"/>
  <c r="E405" i="1"/>
  <c r="E412" i="1"/>
  <c r="T8" i="1" l="1"/>
  <c r="V8" i="1" s="1"/>
  <c r="X8" i="1" s="1"/>
  <c r="T12" i="1"/>
  <c r="V12" i="1" s="1"/>
  <c r="X12" i="1" s="1"/>
  <c r="Q25" i="1"/>
  <c r="S25" i="1"/>
  <c r="T25" i="1" s="1"/>
  <c r="V25" i="1" s="1"/>
  <c r="X25" i="1" s="1"/>
  <c r="S21" i="1"/>
  <c r="T21" i="1" s="1"/>
  <c r="V21" i="1" s="1"/>
  <c r="X21" i="1" s="1"/>
  <c r="T11" i="1"/>
  <c r="V11" i="1" s="1"/>
  <c r="X11" i="1" s="1"/>
  <c r="T37" i="1"/>
  <c r="V37" i="1" s="1"/>
  <c r="X37" i="1" s="1"/>
  <c r="V4" i="1"/>
  <c r="X4" i="1" s="1"/>
  <c r="S23" i="1"/>
  <c r="T23" i="1" s="1"/>
  <c r="V23" i="1" s="1"/>
  <c r="X23" i="1" s="1"/>
  <c r="S41" i="1"/>
  <c r="T41" i="1" s="1"/>
  <c r="V41" i="1" s="1"/>
  <c r="X41" i="1" s="1"/>
  <c r="T35" i="1"/>
  <c r="V35" i="1" s="1"/>
  <c r="X35" i="1" s="1"/>
  <c r="S29" i="1"/>
  <c r="T29" i="1" s="1"/>
  <c r="V29" i="1" s="1"/>
  <c r="X29" i="1" s="1"/>
  <c r="S19" i="1"/>
  <c r="T19" i="1" s="1"/>
  <c r="V19" i="1" s="1"/>
  <c r="X19" i="1" s="1"/>
  <c r="S31" i="1"/>
  <c r="T31" i="1" s="1"/>
  <c r="V31" i="1" s="1"/>
  <c r="X31" i="1" s="1"/>
  <c r="S18" i="1"/>
  <c r="T18" i="1" s="1"/>
  <c r="V18" i="1" s="1"/>
  <c r="X18" i="1" s="1"/>
  <c r="T16" i="1"/>
  <c r="V16" i="1" s="1"/>
  <c r="X16" i="1" s="1"/>
  <c r="S14" i="1"/>
  <c r="T14" i="1" s="1"/>
  <c r="V14" i="1" s="1"/>
  <c r="X14" i="1" s="1"/>
  <c r="T9" i="1"/>
  <c r="V9" i="1" s="1"/>
  <c r="X9" i="1" s="1"/>
  <c r="S7" i="1"/>
  <c r="T7" i="1" s="1"/>
  <c r="V7" i="1" s="1"/>
  <c r="X7" i="1" s="1"/>
  <c r="S17" i="1"/>
  <c r="T17" i="1" s="1"/>
  <c r="V17" i="1" s="1"/>
  <c r="X17" i="1" s="1"/>
  <c r="S33" i="1"/>
  <c r="T33" i="1" s="1"/>
  <c r="V33" i="1" s="1"/>
  <c r="X33" i="1" s="1"/>
  <c r="S27" i="1"/>
  <c r="T27" i="1" s="1"/>
  <c r="V27" i="1" s="1"/>
  <c r="X27" i="1" s="1"/>
  <c r="S5" i="1"/>
  <c r="T5" i="1" s="1"/>
  <c r="V5" i="1" s="1"/>
  <c r="X5" i="1" s="1"/>
  <c r="Q417" i="1"/>
  <c r="Q408" i="1"/>
  <c r="Q388" i="1"/>
  <c r="L388" i="1"/>
  <c r="O388" i="1" s="1"/>
  <c r="Q404" i="1"/>
  <c r="L25" i="1"/>
  <c r="O25" i="1" s="1"/>
  <c r="Q419" i="1"/>
  <c r="Q397" i="1"/>
  <c r="Q403" i="1"/>
  <c r="L383" i="1"/>
  <c r="O383" i="1" s="1"/>
  <c r="L424" i="1"/>
  <c r="O424" i="1" s="1"/>
  <c r="Q383" i="1"/>
  <c r="L392" i="1"/>
  <c r="O392" i="1" s="1"/>
  <c r="L399" i="1"/>
  <c r="O399" i="1" s="1"/>
  <c r="Q395" i="1"/>
  <c r="Q393" i="1"/>
  <c r="Q387" i="1"/>
  <c r="L407" i="1"/>
  <c r="O407" i="1" s="1"/>
  <c r="Q392" i="1"/>
  <c r="Q409" i="1"/>
  <c r="Q389" i="1"/>
  <c r="Q396" i="1"/>
  <c r="L393" i="1"/>
  <c r="O393" i="1" s="1"/>
  <c r="Q385" i="1"/>
  <c r="L385" i="1"/>
  <c r="O385" i="1" s="1"/>
  <c r="L389" i="1"/>
  <c r="O389" i="1" s="1"/>
  <c r="Q399" i="1"/>
  <c r="L387" i="1"/>
  <c r="O387" i="1" s="1"/>
  <c r="Q411" i="1"/>
  <c r="L417" i="1"/>
  <c r="O417" i="1" s="1"/>
  <c r="L403" i="1"/>
  <c r="O403" i="1" s="1"/>
  <c r="Q384" i="1"/>
  <c r="Q401" i="1"/>
  <c r="L411" i="1"/>
  <c r="O411" i="1" s="1"/>
  <c r="Q424" i="1"/>
  <c r="Q407" i="1"/>
  <c r="L405" i="1"/>
  <c r="O405" i="1" s="1"/>
  <c r="L396" i="1"/>
  <c r="O396" i="1" s="1"/>
  <c r="L395" i="1"/>
  <c r="O395" i="1" s="1"/>
  <c r="L409" i="1"/>
  <c r="O409" i="1" s="1"/>
  <c r="Q413" i="1"/>
  <c r="L404" i="1"/>
  <c r="O404" i="1" s="1"/>
  <c r="L408" i="1"/>
  <c r="O408" i="1" s="1"/>
  <c r="Q400" i="1"/>
  <c r="Q405" i="1"/>
  <c r="L384" i="1"/>
  <c r="O384" i="1" s="1"/>
  <c r="Q425" i="1"/>
  <c r="L419" i="1"/>
  <c r="O419" i="1" s="1"/>
  <c r="L397" i="1"/>
  <c r="O397" i="1" s="1"/>
  <c r="L413" i="1"/>
  <c r="O413" i="1" s="1"/>
  <c r="L400" i="1"/>
  <c r="O400" i="1" s="1"/>
  <c r="L425" i="1"/>
  <c r="O425" i="1" s="1"/>
  <c r="J24" i="1" l="1"/>
  <c r="J220" i="1"/>
  <c r="S10" i="1" s="1"/>
  <c r="T10" i="1" s="1"/>
  <c r="V10" i="1" s="1"/>
  <c r="X10" i="1" s="1"/>
  <c r="J38" i="1"/>
  <c r="J48" i="1"/>
  <c r="S6" i="1" s="1"/>
  <c r="T6" i="1" s="1"/>
  <c r="V6" i="1" s="1"/>
  <c r="X6" i="1" s="1"/>
  <c r="J238" i="1"/>
  <c r="S28" i="1" s="1"/>
  <c r="T28" i="1" s="1"/>
  <c r="V28" i="1" s="1"/>
  <c r="X28" i="1" s="1"/>
  <c r="S38" i="1" l="1"/>
  <c r="T38" i="1" s="1"/>
  <c r="V38" i="1" s="1"/>
  <c r="X38" i="1" s="1"/>
  <c r="S24" i="1"/>
  <c r="T24" i="1" s="1"/>
  <c r="V24" i="1" s="1"/>
  <c r="X24" i="1" s="1"/>
  <c r="Q220" i="1"/>
  <c r="L220" i="1"/>
  <c r="O220" i="1" s="1"/>
  <c r="T32" i="1"/>
  <c r="V32" i="1" s="1"/>
  <c r="X32" i="1" s="1"/>
  <c r="T40" i="1"/>
  <c r="V40" i="1" s="1"/>
  <c r="X40" i="1" s="1"/>
  <c r="Q238" i="1"/>
  <c r="L238" i="1"/>
  <c r="O238" i="1" s="1"/>
  <c r="Q38" i="1"/>
  <c r="L48" i="1"/>
  <c r="O48" i="1" s="1"/>
  <c r="Q48" i="1"/>
  <c r="L24" i="1"/>
  <c r="O24" i="1" s="1"/>
  <c r="Q24" i="1"/>
  <c r="L38" i="1"/>
  <c r="O38" i="1" s="1"/>
  <c r="T36" i="1" l="1"/>
  <c r="V36" i="1" s="1"/>
  <c r="X36" i="1" s="1"/>
  <c r="I255" i="1"/>
  <c r="J255" i="1" s="1"/>
  <c r="I265" i="1"/>
  <c r="J265" i="1" s="1"/>
  <c r="L265" i="1" s="1"/>
  <c r="O265" i="1" s="1"/>
  <c r="I412" i="1"/>
  <c r="J412" i="1" s="1"/>
  <c r="I213" i="1"/>
  <c r="J213" i="1" s="1"/>
  <c r="L213" i="1" s="1"/>
  <c r="O213" i="1" s="1"/>
  <c r="I297" i="1"/>
  <c r="J297" i="1" s="1"/>
  <c r="I171" i="1"/>
  <c r="J171" i="1" s="1"/>
  <c r="L171" i="1" s="1"/>
  <c r="O171" i="1" s="1"/>
  <c r="I212" i="1"/>
  <c r="J212" i="1" s="1"/>
  <c r="I139" i="1"/>
  <c r="J139" i="1" s="1"/>
  <c r="I210" i="1"/>
  <c r="J210" i="1" s="1"/>
  <c r="I97" i="1" l="1"/>
  <c r="J97" i="1" s="1"/>
  <c r="L97" i="1" s="1"/>
  <c r="O97" i="1" s="1"/>
  <c r="I433" i="1"/>
  <c r="J433" i="1" s="1"/>
  <c r="L433" i="1" s="1"/>
  <c r="O433" i="1" s="1"/>
  <c r="I391" i="1"/>
  <c r="J391" i="1" s="1"/>
  <c r="L391" i="1" s="1"/>
  <c r="O391" i="1" s="1"/>
  <c r="I339" i="1"/>
  <c r="J339" i="1" s="1"/>
  <c r="Q339" i="1" s="1"/>
  <c r="I307" i="1"/>
  <c r="J307" i="1" s="1"/>
  <c r="Q307" i="1" s="1"/>
  <c r="I465" i="1"/>
  <c r="J465" i="1" s="1"/>
  <c r="L465" i="1" s="1"/>
  <c r="O465" i="1" s="1"/>
  <c r="I475" i="1"/>
  <c r="J475" i="1" s="1"/>
  <c r="Q475" i="1" s="1"/>
  <c r="I129" i="1"/>
  <c r="J129" i="1" s="1"/>
  <c r="L129" i="1" s="1"/>
  <c r="O129" i="1" s="1"/>
  <c r="I181" i="1"/>
  <c r="J181" i="1" s="1"/>
  <c r="Q181" i="1" s="1"/>
  <c r="I13" i="1"/>
  <c r="J13" i="1" s="1"/>
  <c r="L13" i="1" s="1"/>
  <c r="O13" i="1" s="1"/>
  <c r="I507" i="1"/>
  <c r="J507" i="1" s="1"/>
  <c r="L507" i="1" s="1"/>
  <c r="O507" i="1" s="1"/>
  <c r="L412" i="1"/>
  <c r="O412" i="1" s="1"/>
  <c r="Q412" i="1"/>
  <c r="Q212" i="1"/>
  <c r="L212" i="1"/>
  <c r="O212" i="1" s="1"/>
  <c r="L139" i="1"/>
  <c r="O139" i="1" s="1"/>
  <c r="Q139" i="1"/>
  <c r="Q210" i="1"/>
  <c r="L210" i="1"/>
  <c r="O210" i="1" s="1"/>
  <c r="L297" i="1"/>
  <c r="O297" i="1" s="1"/>
  <c r="Q297" i="1"/>
  <c r="I85" i="1"/>
  <c r="J85" i="1" s="1"/>
  <c r="I505" i="1"/>
  <c r="J505" i="1" s="1"/>
  <c r="I253" i="1"/>
  <c r="J253" i="1" s="1"/>
  <c r="I169" i="1"/>
  <c r="J169" i="1" s="1"/>
  <c r="I211" i="1"/>
  <c r="J211" i="1" s="1"/>
  <c r="I168" i="1"/>
  <c r="J168" i="1" s="1"/>
  <c r="I252" i="1"/>
  <c r="J252" i="1" s="1"/>
  <c r="I379" i="1"/>
  <c r="J379" i="1" s="1"/>
  <c r="Q213" i="1"/>
  <c r="I170" i="1"/>
  <c r="J170" i="1" s="1"/>
  <c r="I420" i="1"/>
  <c r="J420" i="1" s="1"/>
  <c r="I421" i="1"/>
  <c r="J421" i="1" s="1"/>
  <c r="Q97" i="1"/>
  <c r="Q255" i="1"/>
  <c r="L255" i="1"/>
  <c r="O255" i="1" s="1"/>
  <c r="I337" i="1"/>
  <c r="J337" i="1" s="1"/>
  <c r="Q171" i="1"/>
  <c r="I338" i="1"/>
  <c r="J338" i="1" s="1"/>
  <c r="I86" i="1"/>
  <c r="J86" i="1" s="1"/>
  <c r="I254" i="1"/>
  <c r="J254" i="1" s="1"/>
  <c r="I44" i="1"/>
  <c r="J44" i="1" s="1"/>
  <c r="I128" i="1"/>
  <c r="J128" i="1" s="1"/>
  <c r="I76" i="1"/>
  <c r="J76" i="1" s="1"/>
  <c r="I160" i="1"/>
  <c r="J160" i="1" s="1"/>
  <c r="I328" i="1"/>
  <c r="J328" i="1" s="1"/>
  <c r="I286" i="1"/>
  <c r="J286" i="1" s="1"/>
  <c r="I84" i="1"/>
  <c r="J84" i="1" s="1"/>
  <c r="I454" i="1"/>
  <c r="J454" i="1" s="1"/>
  <c r="I504" i="1"/>
  <c r="J504" i="1" s="1"/>
  <c r="L307" i="1"/>
  <c r="O307" i="1" s="1"/>
  <c r="I294" i="1"/>
  <c r="J294" i="1" s="1"/>
  <c r="I55" i="1"/>
  <c r="J55" i="1" s="1"/>
  <c r="I349" i="1"/>
  <c r="J349" i="1" s="1"/>
  <c r="I223" i="1"/>
  <c r="J223" i="1" s="1"/>
  <c r="I42" i="1"/>
  <c r="J42" i="1" s="1"/>
  <c r="I296" i="1"/>
  <c r="J296" i="1" s="1"/>
  <c r="I381" i="1"/>
  <c r="J381" i="1" s="1"/>
  <c r="I423" i="1"/>
  <c r="J423" i="1" s="1"/>
  <c r="I87" i="1"/>
  <c r="J87" i="1" s="1"/>
  <c r="I45" i="1"/>
  <c r="J45" i="1" s="1"/>
  <c r="I202" i="1"/>
  <c r="J202" i="1" s="1"/>
  <c r="I127" i="1"/>
  <c r="J127" i="1" s="1"/>
  <c r="I380" i="1"/>
  <c r="J380" i="1" s="1"/>
  <c r="I370" i="1"/>
  <c r="J370" i="1" s="1"/>
  <c r="I118" i="1"/>
  <c r="J118" i="1" s="1"/>
  <c r="Q265" i="1"/>
  <c r="I378" i="1"/>
  <c r="J378" i="1" s="1"/>
  <c r="I462" i="1"/>
  <c r="J462" i="1" s="1"/>
  <c r="I126" i="1"/>
  <c r="J126" i="1" s="1"/>
  <c r="I336" i="1"/>
  <c r="J336" i="1" s="1"/>
  <c r="I464" i="1"/>
  <c r="J464" i="1" s="1"/>
  <c r="I496" i="1"/>
  <c r="J496" i="1" s="1"/>
  <c r="I295" i="1"/>
  <c r="J295" i="1" s="1"/>
  <c r="I506" i="1"/>
  <c r="J506" i="1" s="1"/>
  <c r="I422" i="1"/>
  <c r="J422" i="1" s="1"/>
  <c r="I34" i="1"/>
  <c r="J34" i="1" s="1"/>
  <c r="I463" i="1"/>
  <c r="J463" i="1" s="1"/>
  <c r="I43" i="1"/>
  <c r="J43" i="1" s="1"/>
  <c r="Q433" i="1"/>
  <c r="I244" i="1"/>
  <c r="J244" i="1" s="1"/>
  <c r="Q129" i="1" l="1"/>
  <c r="L339" i="1"/>
  <c r="O339" i="1" s="1"/>
  <c r="Q391" i="1"/>
  <c r="L475" i="1"/>
  <c r="O475" i="1" s="1"/>
  <c r="Q507" i="1"/>
  <c r="Q13" i="1"/>
  <c r="Q465" i="1"/>
  <c r="L181" i="1"/>
  <c r="O181" i="1" s="1"/>
  <c r="L463" i="1"/>
  <c r="O463" i="1" s="1"/>
  <c r="Q463" i="1"/>
  <c r="Q380" i="1"/>
  <c r="L380" i="1"/>
  <c r="O380" i="1" s="1"/>
  <c r="L42" i="1"/>
  <c r="O42" i="1" s="1"/>
  <c r="S42" i="1"/>
  <c r="T42" i="1" s="1"/>
  <c r="V42" i="1" s="1"/>
  <c r="X42" i="1" s="1"/>
  <c r="Q42" i="1"/>
  <c r="Q244" i="1"/>
  <c r="L244" i="1"/>
  <c r="O244" i="1" s="1"/>
  <c r="Q295" i="1"/>
  <c r="L295" i="1"/>
  <c r="O295" i="1" s="1"/>
  <c r="Q127" i="1"/>
  <c r="L127" i="1"/>
  <c r="O127" i="1" s="1"/>
  <c r="Q223" i="1"/>
  <c r="L223" i="1"/>
  <c r="O223" i="1" s="1"/>
  <c r="Q454" i="1"/>
  <c r="L454" i="1"/>
  <c r="O454" i="1" s="1"/>
  <c r="L254" i="1"/>
  <c r="O254" i="1" s="1"/>
  <c r="Q254" i="1"/>
  <c r="L420" i="1"/>
  <c r="O420" i="1" s="1"/>
  <c r="Q420" i="1"/>
  <c r="Q169" i="1"/>
  <c r="L169" i="1"/>
  <c r="O169" i="1" s="1"/>
  <c r="L422" i="1"/>
  <c r="O422" i="1" s="1"/>
  <c r="Q422" i="1"/>
  <c r="Q496" i="1"/>
  <c r="L496" i="1"/>
  <c r="O496" i="1" s="1"/>
  <c r="Q462" i="1"/>
  <c r="L462" i="1"/>
  <c r="O462" i="1" s="1"/>
  <c r="Q118" i="1"/>
  <c r="L118" i="1"/>
  <c r="O118" i="1" s="1"/>
  <c r="Q202" i="1"/>
  <c r="L202" i="1"/>
  <c r="O202" i="1" s="1"/>
  <c r="L381" i="1"/>
  <c r="O381" i="1" s="1"/>
  <c r="Q381" i="1"/>
  <c r="Q349" i="1"/>
  <c r="L349" i="1"/>
  <c r="O349" i="1" s="1"/>
  <c r="Q84" i="1"/>
  <c r="L84" i="1"/>
  <c r="O84" i="1" s="1"/>
  <c r="L76" i="1"/>
  <c r="O76" i="1" s="1"/>
  <c r="Q76" i="1"/>
  <c r="Q86" i="1"/>
  <c r="L86" i="1"/>
  <c r="O86" i="1" s="1"/>
  <c r="L170" i="1"/>
  <c r="O170" i="1" s="1"/>
  <c r="Q170" i="1"/>
  <c r="Q252" i="1"/>
  <c r="L252" i="1"/>
  <c r="O252" i="1" s="1"/>
  <c r="Q253" i="1"/>
  <c r="L253" i="1"/>
  <c r="O253" i="1" s="1"/>
  <c r="Q336" i="1"/>
  <c r="L336" i="1"/>
  <c r="O336" i="1" s="1"/>
  <c r="Q87" i="1"/>
  <c r="L87" i="1"/>
  <c r="O87" i="1" s="1"/>
  <c r="L34" i="1"/>
  <c r="O34" i="1" s="1"/>
  <c r="S34" i="1"/>
  <c r="T34" i="1" s="1"/>
  <c r="V34" i="1" s="1"/>
  <c r="X34" i="1" s="1"/>
  <c r="Q34" i="1"/>
  <c r="Q126" i="1"/>
  <c r="L126" i="1"/>
  <c r="O126" i="1" s="1"/>
  <c r="Q423" i="1"/>
  <c r="L423" i="1"/>
  <c r="O423" i="1" s="1"/>
  <c r="Q294" i="1"/>
  <c r="L294" i="1"/>
  <c r="O294" i="1" s="1"/>
  <c r="Q160" i="1"/>
  <c r="L160" i="1"/>
  <c r="O160" i="1" s="1"/>
  <c r="S13" i="1"/>
  <c r="T13" i="1" s="1"/>
  <c r="V13" i="1" s="1"/>
  <c r="X13" i="1" s="1"/>
  <c r="Q379" i="1"/>
  <c r="L379" i="1"/>
  <c r="O379" i="1" s="1"/>
  <c r="S43" i="1"/>
  <c r="T43" i="1" s="1"/>
  <c r="V43" i="1" s="1"/>
  <c r="X43" i="1" s="1"/>
  <c r="L43" i="1"/>
  <c r="O43" i="1" s="1"/>
  <c r="Q43" i="1"/>
  <c r="L506" i="1"/>
  <c r="O506" i="1" s="1"/>
  <c r="Q506" i="1"/>
  <c r="Q464" i="1"/>
  <c r="L464" i="1"/>
  <c r="O464" i="1" s="1"/>
  <c r="Q378" i="1"/>
  <c r="L378" i="1"/>
  <c r="O378" i="1" s="1"/>
  <c r="Q370" i="1"/>
  <c r="L370" i="1"/>
  <c r="O370" i="1" s="1"/>
  <c r="L45" i="1"/>
  <c r="O45" i="1" s="1"/>
  <c r="S45" i="1"/>
  <c r="T45" i="1" s="1"/>
  <c r="V45" i="1" s="1"/>
  <c r="X45" i="1" s="1"/>
  <c r="Q45" i="1"/>
  <c r="L296" i="1"/>
  <c r="O296" i="1" s="1"/>
  <c r="Q296" i="1"/>
  <c r="Q55" i="1"/>
  <c r="L55" i="1"/>
  <c r="O55" i="1" s="1"/>
  <c r="L286" i="1"/>
  <c r="O286" i="1" s="1"/>
  <c r="Q286" i="1"/>
  <c r="L128" i="1"/>
  <c r="O128" i="1" s="1"/>
  <c r="Q128" i="1"/>
  <c r="Q338" i="1"/>
  <c r="L338" i="1"/>
  <c r="O338" i="1" s="1"/>
  <c r="Q337" i="1"/>
  <c r="L337" i="1"/>
  <c r="O337" i="1" s="1"/>
  <c r="Q168" i="1"/>
  <c r="L168" i="1"/>
  <c r="O168" i="1" s="1"/>
  <c r="Q505" i="1"/>
  <c r="L505" i="1"/>
  <c r="O505" i="1" s="1"/>
  <c r="L504" i="1"/>
  <c r="O504" i="1" s="1"/>
  <c r="Q504" i="1"/>
  <c r="Q328" i="1"/>
  <c r="L328" i="1"/>
  <c r="O328" i="1" s="1"/>
  <c r="Q44" i="1"/>
  <c r="L44" i="1"/>
  <c r="O44" i="1" s="1"/>
  <c r="S44" i="1"/>
  <c r="T44" i="1" s="1"/>
  <c r="V44" i="1" s="1"/>
  <c r="X44" i="1" s="1"/>
  <c r="Q421" i="1"/>
  <c r="L421" i="1"/>
  <c r="O421" i="1" s="1"/>
  <c r="L211" i="1"/>
  <c r="O211" i="1" s="1"/>
  <c r="Q211" i="1"/>
  <c r="Q85" i="1"/>
  <c r="L85" i="1"/>
  <c r="O85" i="1" s="1"/>
  <c r="O508" i="1" l="1"/>
  <c r="O568" i="1" s="1"/>
  <c r="C6" i="3" s="1"/>
  <c r="X46" i="1"/>
  <c r="C3" i="3" s="1"/>
  <c r="Q508" i="1"/>
  <c r="Q568" i="1" s="1"/>
  <c r="C5" i="3" s="1"/>
  <c r="C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tc={00D0AE95-AB47-40A7-9D2D-3B9F0D2E0E8D}</author>
    <author>tc={310ECCEC-E02F-4A6C-930F-0917E2BA8E17}</author>
    <author>tc={3939DBF5-17F3-44B6-A635-7FAC4FA4576B}</author>
    <author>tc={FA8DFB43-8FF3-41C3-809D-65604DE49335}</author>
  </authors>
  <commentList>
    <comment ref="O3" authorId="0" shapeId="0" xr:uid="{00D0AE95-AB47-40A7-9D2D-3B9F0D2E0E8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w. O&amp; costs in tab</t>
      </text>
    </comment>
    <comment ref="U3" authorId="1" shapeId="0" xr:uid="{310ECCEC-E02F-4A6C-930F-0917E2BA8E17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Assumes new landfills will need to be constructed by 2030</t>
      </text>
    </comment>
    <comment ref="W4" authorId="2" shapeId="0" xr:uid="{3939DBF5-17F3-44B6-A635-7FAC4FA4576B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gaps filled with average of other numbers</t>
      </text>
    </comment>
    <comment ref="I8" authorId="3" shapeId="0" xr:uid="{FA8DFB43-8FF3-41C3-809D-65604DE49335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gap filled with average waste per capita values gathered for other cities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Moses Farley</author>
  </authors>
  <commentList>
    <comment ref="C1" authorId="0" shapeId="0" xr:uid="{B822C0FC-DD8F-4DAD-BC49-A601C64BE979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Baseline = 2011 census</t>
        </r>
      </text>
    </comment>
  </commentList>
</comments>
</file>

<file path=xl/sharedStrings.xml><?xml version="1.0" encoding="utf-8"?>
<sst xmlns="http://schemas.openxmlformats.org/spreadsheetml/2006/main" count="1043" uniqueCount="297">
  <si>
    <t>Year</t>
  </si>
  <si>
    <t>City</t>
  </si>
  <si>
    <t>Population</t>
  </si>
  <si>
    <t>Total Waste Generated per Year (Tons)</t>
  </si>
  <si>
    <t>Average GDP growth rate for the past 10 years (%)</t>
  </si>
  <si>
    <t>GDP per capita (projected, constant 2011 international $)</t>
  </si>
  <si>
    <t>Average inflation for the past 10 years (%)</t>
  </si>
  <si>
    <t>Variable</t>
  </si>
  <si>
    <t>Source</t>
  </si>
  <si>
    <t>WDI</t>
  </si>
  <si>
    <t>Waste Atlas</t>
  </si>
  <si>
    <t>GDP per capita in 2010, PPP (constant 2011 international $)</t>
  </si>
  <si>
    <t>S.No.</t>
  </si>
  <si>
    <t>Item</t>
  </si>
  <si>
    <t>Cost (USD 2019)</t>
  </si>
  <si>
    <t>Infrastructure</t>
  </si>
  <si>
    <t>Operation</t>
  </si>
  <si>
    <t>TOTAL</t>
  </si>
  <si>
    <t>No.</t>
  </si>
  <si>
    <t>Percentage of landfilled waste</t>
  </si>
  <si>
    <t>Amount landfilled (tons)</t>
  </si>
  <si>
    <t>Determine capacity required to provide complete management coverage</t>
  </si>
  <si>
    <t>Projected Waste Generated per capita (kg/yr-person)</t>
  </si>
  <si>
    <t>Max amount of waste dumped on each hectare of land (ton)</t>
  </si>
  <si>
    <t>Proxy waste generation per capita (kg/year-person)</t>
  </si>
  <si>
    <t>gen</t>
  </si>
  <si>
    <t>Demand</t>
  </si>
  <si>
    <t>Capital Cost</t>
  </si>
  <si>
    <t>O&amp;M</t>
  </si>
  <si>
    <t>Capacity</t>
  </si>
  <si>
    <t>Source Value</t>
  </si>
  <si>
    <t>Value (USD 2019) US PPP</t>
  </si>
  <si>
    <t>Collection, transportation</t>
  </si>
  <si>
    <t>Adequate Treatment of Waste, Operational Costs</t>
  </si>
  <si>
    <t>Waste Produced</t>
  </si>
  <si>
    <t>Waste distribution</t>
  </si>
  <si>
    <t>Population (2019)</t>
  </si>
  <si>
    <t>No. Landfills</t>
  </si>
  <si>
    <t>Name of landfill</t>
  </si>
  <si>
    <t>Percentage landfilled</t>
  </si>
  <si>
    <t>GDP per capita, PPP (constant 2011 international $) in 2017</t>
  </si>
  <si>
    <t>Annual receipt (ton/yr)</t>
  </si>
  <si>
    <t>Volume received (cubic m/yr)</t>
  </si>
  <si>
    <t>Life Span (yr)</t>
  </si>
  <si>
    <t>Land Required (includes facilities, road, etc.) (ha)</t>
  </si>
  <si>
    <t>Total Landfill Capacity (ton)</t>
  </si>
  <si>
    <t>Adequate sanitary landfills</t>
  </si>
  <si>
    <t>Cost of sanitary landfill installation</t>
  </si>
  <si>
    <t>Annual operations cost (EUR 2008)</t>
  </si>
  <si>
    <t>Annual repair and maintenance cost (EUR 2008)</t>
  </si>
  <si>
    <t>Annual personell and admin cost (EUR 2008)</t>
  </si>
  <si>
    <t>Annual operations cost (USD 2019 &amp; U.S. PPP)</t>
  </si>
  <si>
    <t>Annual repair and maintenance cost (USD 2019 &amp; U.S. PPP)</t>
  </si>
  <si>
    <t>Annual personell and admin cost (USD 2019 &amp; U.S. PPP)</t>
  </si>
  <si>
    <t>Inflation of USD from 2008. 1 USD 2008 = _____ USD 2019</t>
  </si>
  <si>
    <t>Price level ratio of PPP conversion factor (GDP) to market exchange rate of Germany in 2008</t>
  </si>
  <si>
    <t>https://www.statista.com/statistics/412794/euro-to-u-s-dollar-annual-average-exchange-rate/</t>
  </si>
  <si>
    <t>Exchange rate of Euro to USD in 2008 1 Euro = ____ USD</t>
  </si>
  <si>
    <t>http://www.in2013dollars.com/us/inflation/2008?amount=1</t>
  </si>
  <si>
    <t>Size of actual landfill (ha)</t>
  </si>
  <si>
    <t>https://www.thecalculatorsite.com/conversions/area/hectares-to-acres.php</t>
  </si>
  <si>
    <t>Collection cost (USD 2019)</t>
  </si>
  <si>
    <t>Annual operations cost (USD 2019 &amp; U.S. PPP) per ton/yr waste</t>
  </si>
  <si>
    <t>Annual repair and maintenance cost (USD 2019 &amp; U.S. PPP) per ton/yr waste</t>
  </si>
  <si>
    <t>Annual personell and admin cost (USD 2019 &amp; U.S. PPP) per ton/yr waste</t>
  </si>
  <si>
    <t>TOTAL (USD 2019/ton-yr and U.S. PPP)</t>
  </si>
  <si>
    <t>Source:  German Environment Agency
Best Practice Municipal Waste Management: Information pool on approaches towards a  sustainable design of municipal waste management and supporting technologies and equipment (2018)</t>
  </si>
  <si>
    <t>Link: https://www.umweltbundesamt.de/sites/default/files/medien/1410/publikationen/2018-05-30_texte_40-2018-municipal-waste-management_en.pdf</t>
  </si>
  <si>
    <t>U.S. EPA: Economic Impact Analysis for the Proposed New Subpart to the New Source Performance Standards (2014)</t>
  </si>
  <si>
    <t>calculated based on model from What A Waste 2.0 (2010) by World Bank</t>
  </si>
  <si>
    <t>Number of acres in 1 hectare (acre/ha)</t>
  </si>
  <si>
    <t>Assumption</t>
  </si>
  <si>
    <t>Landfill Model Parameters: Sanitary Landfill</t>
  </si>
  <si>
    <t>Annual administrative, operations, and maintenance costs per ton</t>
  </si>
  <si>
    <t>German Environment Agency; Best Practice Municipal Waste Management: Information pool on approaches towards a  sustainable design of municipal waste management and supporting technologies and equipment (2018)</t>
  </si>
  <si>
    <t>Yearly Administrative, Operations and Maintenance Costs, per ton (USD 2019)</t>
  </si>
  <si>
    <t>Cost of additional sanitary landfill construction (USD 2019)</t>
  </si>
  <si>
    <t>Landfill demand by 2030</t>
  </si>
  <si>
    <t>Total hectares of sanitary landfilled needed by 2030</t>
  </si>
  <si>
    <t>Existing hectares of sanitary landfill</t>
  </si>
  <si>
    <t>Additional hectares of sanitary landfill needed</t>
  </si>
  <si>
    <t>Estimated cost of per hectare landfill construction in US (high end, EPA 2005)</t>
  </si>
  <si>
    <t>Total waste generated by 2030 (tons)</t>
  </si>
  <si>
    <t>Price of vacant land outside city center (USD 2019/ha)</t>
  </si>
  <si>
    <t>Annual running costs</t>
  </si>
  <si>
    <t>Sanitary Landfill Construction</t>
  </si>
  <si>
    <t>Waste Collection and Transportation</t>
  </si>
  <si>
    <t>Administrative, O&amp;M Costs of Sanitary Landfills</t>
  </si>
  <si>
    <t>Average Cost of Land outside of city center  (USD 2019/Hectare)</t>
  </si>
  <si>
    <t>Average Annual Cost by City Type</t>
  </si>
  <si>
    <t>City Size</t>
  </si>
  <si>
    <t>Sample Size</t>
  </si>
  <si>
    <t>Total</t>
  </si>
  <si>
    <t>Small</t>
  </si>
  <si>
    <t>Medium</t>
  </si>
  <si>
    <t>Large</t>
  </si>
  <si>
    <t>.</t>
  </si>
  <si>
    <t>..</t>
  </si>
  <si>
    <t>Waste Per Capita in source year (kg/yr-person)</t>
  </si>
  <si>
    <t>Waste Per Capita in 2019 (kg/yr-person)</t>
  </si>
  <si>
    <t>GDP per capita, PPP (constant 2011 international $)</t>
  </si>
  <si>
    <t>Proxy waste per capita (kg/yr-person)</t>
  </si>
  <si>
    <t>Population in 2019</t>
  </si>
  <si>
    <t>Proxy waste generation in base year (2019)</t>
  </si>
  <si>
    <t>Project GDP per capita (projected, constant 2011 international $)</t>
  </si>
  <si>
    <t>India CPI in 2005 (2010=100)</t>
  </si>
  <si>
    <t>India CPI in 2012 (2010=100)</t>
  </si>
  <si>
    <t>India CPI in 2010 (2010=100)</t>
  </si>
  <si>
    <t>India CPI in 2017 (2010=100)</t>
  </si>
  <si>
    <t>Agartala</t>
  </si>
  <si>
    <t>Aizawl</t>
  </si>
  <si>
    <t>Bangalore</t>
  </si>
  <si>
    <t>Bhopal</t>
  </si>
  <si>
    <t>Bhubaneswar</t>
  </si>
  <si>
    <t>Chandigarh</t>
  </si>
  <si>
    <t>Chennai</t>
  </si>
  <si>
    <t>Daman</t>
  </si>
  <si>
    <t>Dehradun</t>
  </si>
  <si>
    <t>Dispur</t>
  </si>
  <si>
    <t>Gandhinagar</t>
  </si>
  <si>
    <t>Gangtok</t>
  </si>
  <si>
    <t>Hyderabad</t>
  </si>
  <si>
    <t>Imphal</t>
  </si>
  <si>
    <t>Itanagar</t>
  </si>
  <si>
    <t>Jaipur</t>
  </si>
  <si>
    <t>Kavaratti</t>
  </si>
  <si>
    <t>Kohima</t>
  </si>
  <si>
    <t>Kolkata</t>
  </si>
  <si>
    <t>Lucknow</t>
  </si>
  <si>
    <t>Mumbai</t>
  </si>
  <si>
    <t>New Delhi</t>
  </si>
  <si>
    <t>Panaji</t>
  </si>
  <si>
    <t>Patna</t>
  </si>
  <si>
    <t>Pondicherry</t>
  </si>
  <si>
    <t>Port Blair</t>
  </si>
  <si>
    <t>Raipur</t>
  </si>
  <si>
    <t>Ranchi</t>
  </si>
  <si>
    <t>Shillong</t>
  </si>
  <si>
    <t>Silvassa</t>
  </si>
  <si>
    <t>Simla</t>
  </si>
  <si>
    <t>Srinagar</t>
  </si>
  <si>
    <t>Thiruvananthapuram</t>
  </si>
  <si>
    <t>Kurnool</t>
  </si>
  <si>
    <t>Sirsa</t>
  </si>
  <si>
    <t>Aurangabad</t>
  </si>
  <si>
    <t>Bhiwani</t>
  </si>
  <si>
    <t>Jullundur</t>
  </si>
  <si>
    <t>Karur</t>
  </si>
  <si>
    <t>Jorhat</t>
  </si>
  <si>
    <t>Sopore</t>
  </si>
  <si>
    <t>Tezpur</t>
  </si>
  <si>
    <r>
      <t xml:space="preserve">Estimated cost of per hectare landfill construction in India in 2019 </t>
    </r>
    <r>
      <rPr>
        <i/>
        <u/>
        <sz val="11"/>
        <color theme="1"/>
        <rFont val="Calibri"/>
        <family val="2"/>
        <scheme val="minor"/>
      </rPr>
      <t>(adjusted for PPP)</t>
    </r>
  </si>
  <si>
    <t>WDI - Urban populatoin growth</t>
  </si>
  <si>
    <t>Price level ratio of PPP conversion factor (GDP) to market exchange rate in 2005 of India</t>
  </si>
  <si>
    <t>Price level ratio of PPP conversion factor (GDP) to market exchange rate in 2019 of India</t>
  </si>
  <si>
    <t>https://data.worldbank.org/indicator/PA.NUS.PPPC.RF?locations=IN</t>
  </si>
  <si>
    <t>WDI -  GDP deflator</t>
  </si>
  <si>
    <t>Annual administrative, operations, and maintenance costs per ton (USD 2019/ton)</t>
  </si>
  <si>
    <t>Devendra Chandra Nagar</t>
  </si>
  <si>
    <t>Source (SmartCities unless otherwise cited)</t>
  </si>
  <si>
    <t>Bellalhall</t>
  </si>
  <si>
    <t>Area (ha.)</t>
  </si>
  <si>
    <t>Solid Waste Porcessing Site Fact Sheet, retrieved from Agartalacity.tripura.gov, and SmartCities</t>
  </si>
  <si>
    <t>2015; 2018</t>
  </si>
  <si>
    <t>timesofindia.indiatimes.com/city/bengaluru/with-bellalhalli-landfill-brimming-bbmp-now-eyes-private-quarry/articleshow/70707298.cms</t>
  </si>
  <si>
    <t>Notes</t>
  </si>
  <si>
    <t>Considered inadequate landfill</t>
  </si>
  <si>
    <t xml:space="preserve">Patel, Munna Lal et. al. "Environmental Status &amp; MSW Management in Bhopal…" </t>
  </si>
  <si>
    <t>Adampur Chavni</t>
  </si>
  <si>
    <t>In Dadumarja Village</t>
  </si>
  <si>
    <t>Solid waste management and sustainable cities in India: the case of Chandigarh</t>
  </si>
  <si>
    <t>http://www.in2013dollars.com/us/inflation/2010?amount=1</t>
  </si>
  <si>
    <t>also has collection revenue as smart city</t>
  </si>
  <si>
    <t>Average</t>
  </si>
  <si>
    <t>Kodungaiyur and Perungudi Landfills</t>
  </si>
  <si>
    <t>http://rasayanjournal.co.in/vol-9/issue-2/23_Vol.9,%20No.2,%20287-293,%20April-June,%202016,%20RJC-1412.pdf &amp; https://www.thenewsminute.com/article/dear-chennai-do-you-know-what-happens-your-waste-nothing-65006</t>
  </si>
  <si>
    <t>2016, 2017</t>
  </si>
  <si>
    <t>Considered inadequate landfills</t>
  </si>
  <si>
    <t>https://theanalysisweb.files.wordpress.com/2017/04/solid-waste-management.pdf</t>
  </si>
  <si>
    <t>Langariyawas &amp; Village Sewapura</t>
  </si>
  <si>
    <t>Given more recent Smart City Data, assumes that other landfill has been closed</t>
  </si>
  <si>
    <t>http://digitalcollections.sit.edu/cgi/viewcontent.cgi?article=2069&amp;context=isp_collection</t>
  </si>
  <si>
    <t>https://cdn.s3waas.gov.in/s358238e9ae2dd305d79c2ebc8c1883422/uploads/2019/07/2019071866.pdf</t>
  </si>
  <si>
    <t>https://www.sipmiunagaland.com/Semi%20Annual%20SSMR%20-%20Jul-Dec%202014.pdf</t>
  </si>
  <si>
    <t>Assumed completed development</t>
  </si>
  <si>
    <t>Lerie</t>
  </si>
  <si>
    <t>https://www.telegraphindia.com/states/west-bengal/new-town-hunt-for-dumping-ground/cid/1689629</t>
  </si>
  <si>
    <t>Mollar Bhori</t>
  </si>
  <si>
    <t>https://www.hindustantimes.com/lucknow/lmc-turns-village-into-garbage-landfill-ngt-takes-note-after-villagers-choke/story-NU8ZWhze939YxFY8cx3OhM.html</t>
  </si>
  <si>
    <t>Shivari Village</t>
  </si>
  <si>
    <t>https://www.slideshare.net/Prashant_Pacific/assessment-of-municipal-solid-waste-management-status-in-patna</t>
  </si>
  <si>
    <t xml:space="preserve">Ramachak-Bairiya </t>
  </si>
  <si>
    <t>http://www.uniindia.com/andaman-identifies-new-site-for-municipal-dumpyard/others/news/267818.html</t>
  </si>
  <si>
    <t>Could not find indication of new landfill construction</t>
  </si>
  <si>
    <t>https://sswm.info/node/7932</t>
  </si>
  <si>
    <t>https://www.researchgate.net/publication/277363738_Solid_Waste_Management_in_Greater_Shillong_Planning_Area_GSPA_Using_Spatial_Multi-Criteria_Decision_Analysis_for_Site_Suitability_Assessment</t>
  </si>
  <si>
    <t>Marten</t>
  </si>
  <si>
    <t>Annepu, Ranjith. (10 January 2012) Sustainable Solid Waste Management in India. Colombia University. Pp129-144</t>
  </si>
  <si>
    <t>http://www.iosrjournals.org/iosr-jestft/papers/vol2-issue2/B0220411.pdf</t>
  </si>
  <si>
    <t>Achan</t>
  </si>
  <si>
    <t>Parameters for Benchmarking</t>
  </si>
  <si>
    <t>Table 4 : Summary of Key Parameters from Action Plans</t>
  </si>
  <si>
    <t>MSW management expenditure in Rs per capita/year</t>
  </si>
  <si>
    <t>MSW management expenditure as % of total municipal revenue expenditure</t>
  </si>
  <si>
    <t>MSW management costs per ton (Rs)</t>
  </si>
  <si>
    <t>Salaries as % of overall MSW management costs</t>
  </si>
  <si>
    <t>Cost of primary collection as % of total MSW management expenditure</t>
  </si>
  <si>
    <t>Cost of transportation as % of total MSW management expenditure</t>
  </si>
  <si>
    <t>Cost of MSW management contract as % of total MSW management expenditure</t>
  </si>
  <si>
    <t>1.5 +</t>
  </si>
  <si>
    <t>Population (in millions)</t>
  </si>
  <si>
    <t>0.5-1.5</t>
  </si>
  <si>
    <t>&lt;0.5</t>
  </si>
  <si>
    <t>*Values are in INR 2006</t>
  </si>
  <si>
    <t>Inflation of USD from 2010. 1 USD 2010 = _____ USD 2019</t>
  </si>
  <si>
    <t>http://www.in2013dollars.com/us/inflation/2006?amount=1</t>
  </si>
  <si>
    <t>Inflation of USD from 2006. 1 USD 2006 = _____ USD 2019</t>
  </si>
  <si>
    <t>https://data.worldbank.org/indicator/PA.NUS.FCRF?locations=IN</t>
  </si>
  <si>
    <t>Exchange rate of Indian Rupee to USD in 2018: 1 USD = ____ Rupee</t>
  </si>
  <si>
    <t>Exchange rate of Indian Rupee to USD in 2006: 1 USD = ____ Rupee</t>
  </si>
  <si>
    <t>Source: 
IMPROVING MANAGEMENT OF MUNICIPAL SOLID WASTE IN INDIA 
OVERVIEW AND CHALLENGES
World Bank, 2006
By: 
David Hanrahan
Sanjay Srivastava
A. Sita Ramakrishna</t>
  </si>
  <si>
    <t>http://documents.worldbank.org/curated/en/%20178191468035334268/pdf/370700IN0Munic1ver0P08436401PUBLIC1.pdf</t>
  </si>
  <si>
    <r>
      <t xml:space="preserve">Yearly Administrative, Operations and Maintenance Costs, per ton (% of total management costs </t>
    </r>
    <r>
      <rPr>
        <i/>
        <sz val="11"/>
        <color theme="1"/>
        <rFont val="Calibri"/>
        <family val="2"/>
        <scheme val="minor"/>
      </rPr>
      <t>in salaries and management contract)</t>
    </r>
  </si>
  <si>
    <t>Collection costs per ton (USD 2019)</t>
  </si>
  <si>
    <t>Collection costs per ton (% of total management costs)</t>
  </si>
  <si>
    <r>
      <t xml:space="preserve">Source, unless otherwise specified:
</t>
    </r>
    <r>
      <rPr>
        <i/>
        <sz val="11"/>
        <color rgb="FFFF0000"/>
        <rFont val="Calibri"/>
        <family val="2"/>
        <scheme val="minor"/>
      </rPr>
      <t>Annepu, Ranjith. (10 January 2012) Sustainable Solid Waste Management in India. Colombia University. Pp129-144</t>
    </r>
  </si>
  <si>
    <t>Refered to as "Delhi" City in Annepu, 2011</t>
  </si>
  <si>
    <t>No</t>
  </si>
  <si>
    <t>Average population growth rate for the past 10 years (%) in India</t>
  </si>
  <si>
    <t>https://property.mitula.in/detalle/740/7210057571317460538/8/1/land-agartala?page=1&amp;pos=8&amp;t_sec=76&amp;t_or=2&amp;t_pvid=705cfe21-bb41-4024-98ca-c0fd8ab03f70</t>
  </si>
  <si>
    <t>Sq.ft. in Sq.km</t>
  </si>
  <si>
    <t xml:space="preserve">1 USD = ____ INR </t>
  </si>
  <si>
    <t>https://property.mitula.in/detalle/740/4990074577539707521/16/1/land-bhubaneswar?page=1&amp;pos=16&amp;t_sec=76&amp;t_or=2&amp;t_pvid=21ccb188-9f73-4b61-a084-2a74d2123614</t>
  </si>
  <si>
    <t>https://property.mitula.in/searchRE/level1-Union+Territory+Of+Daman+And+Diu/level2-Daman/sort-0/op-1/type-Land/q-land-daman</t>
  </si>
  <si>
    <t>https://www.makaan.com/gandhinagar/builder-project-in-dehgam-naroda-road-8881186/87260-sqft-plot?utm_source=Mitula&amp;utm_medium=Referral&amp;utm_campaign=TA2_Buy</t>
  </si>
  <si>
    <t>http://www.69acres.in/detail-3553.html?utm_source=property.mitula.in&amp;utm_medium=referral</t>
  </si>
  <si>
    <t>https://www.sheryna.in/Plots-in-Phulera-Jaipur-Jaipur-339345?utm_source=property.mitula.in&amp;utm_medium=referral</t>
  </si>
  <si>
    <t>https://www.clickindia.com/detail.php?id=165925707</t>
  </si>
  <si>
    <t>https://property.mitula.in/detalle/102982/1530022521903080013/3/1/land-kohima?page=1&amp;pos=3&amp;t_sec=1&amp;t_or=2&amp;t_pvid=d10cf371-39e4-4de2-ab53-83395250722b</t>
  </si>
  <si>
    <t>https://www.magicbricks.com/propertyDetails/124000-Sq-ft-Agricultural-Land-FOR-Sale-Hardoi-Road-in-Lucknow&amp;id=4d423334383537383135</t>
  </si>
  <si>
    <t>https://www.magicbricks.com/propertyDetails/9-Acre-Agricultural-Land-FOR-Sale-Najafgarh-Extension-in-New-Delhi&amp;id=4d423435383838373537</t>
  </si>
  <si>
    <t>https://www.magicbricks.com/propertyDetails/2-Acre-Agricultural-Land-FOR-Sale-Virar-in-Mumbai-r3&amp;id=4d423431333231313533</t>
  </si>
  <si>
    <t>https://www.magicbricks.com/propertyDetails/77972-Sq-ft-Agricultural-Land-FOR-Sale-Semariya-2-in-Raipur&amp;id=4d423435343531383733</t>
  </si>
  <si>
    <t>https://www.magicbricks.com/propertyDetails/550-Cent-Residential-Plot-FOR-Sale-Nandiyal-in-Kurnool&amp;id=4d423436313638323937</t>
  </si>
  <si>
    <t>https://property.mitula.in/detalle/740/7990057554902113726/5/1/land-agricultural-patna?page=1&amp;pos=5&amp;t_sec=1&amp;t_or=2&amp;t_pvid=4e46fcca-a172-4f91-a327-1ce6c29a854c</t>
  </si>
  <si>
    <t>https://property.mitula.in/detalle/740/7760070575987808861/11/23/land-agricultural-pondicherry?page=1&amp;pos=11&amp;t_sec=76&amp;t_or=2&amp;t_pvid=00b21c26-3ee7-4ff7-95fc-6176adbdfb67</t>
  </si>
  <si>
    <t>https://property.mitula.in/detalle/740/1860099572448417080/27/23/land-agricultural-pondicherry?page=1&amp;pos=27&amp;t_sec=76&amp;t_or=2&amp;t_pvid=00b21c26-3ee7-4ff7-95fc-6176adbdfb67</t>
  </si>
  <si>
    <t>https://property.mitula.in/detalle/740/2810055554815597232/4/1/land-agricultural-raipur?page=1&amp;pos=4&amp;t_sec=76&amp;t_or=2&amp;t_pvid=07fe7861-e8ad-464d-a1a2-b5d524284969</t>
  </si>
  <si>
    <t>https://property.mitula.in/detalle/740/7680109569418831201/20/1/land-agricultural-shillong?page=1&amp;pos=20&amp;t_sec=76&amp;t_or=2&amp;t_pvid=f630417c-6f2e-49cf-aa1a-27dfd3da4ef6</t>
  </si>
  <si>
    <t>https://property.mitula.in/detalle/740/5440103555766487256/8/1/land-silvassa?page=1&amp;pos=8&amp;t_sec=76&amp;t_or=2&amp;t_pvid=c2db0748-5679-4bef-86a9-8f7b14182ddc</t>
  </si>
  <si>
    <t>https://property.mitula.in/detalle/740/2090055551362195691/13/1/land-srinagar?page=1&amp;pos=13&amp;t_sec=76&amp;t_or=2&amp;t_pvid=a9c62dd1-0b8e-464a-8bf9-cbc818f4cb6d</t>
  </si>
  <si>
    <t>https://property.mitula.in/detalle/740/5080093552227172504/2/1/land-agricultural-sirsa?page=1&amp;pos=2&amp;t_sec=76&amp;t_or=2&amp;t_pvid=d2ff4e90-ae40-42da-afd1-ff1a16c52705</t>
  </si>
  <si>
    <t>https://property.mitula.in/detalle/102982/2340019530706131215/5/23/land-agricultural-sirsa?page=1&amp;pos=5&amp;t_sec=76&amp;t_or=2&amp;t_pvid=d2ff4e90-ae40-42da-afd1-ff1a16c52705</t>
  </si>
  <si>
    <t>https://www.clickindia.com/detail.php?id=165239634</t>
  </si>
  <si>
    <t>https://property.mitula.in/detalle/102982/6330018559220393446/4/1/land-agricultural-sopore?page=1&amp;pos=4&amp;t_sec=76&amp;t_or=2&amp;t_pvid=8ecdb73c-2299-4a42-ac4b-19f80677d474</t>
  </si>
  <si>
    <t>https://property.mitula.in/detalle/740/3860100571836676484/4/1/land-agricultural-tezpur?page=1&amp;pos=4&amp;t_sec=76&amp;t_or=2&amp;t_pvid=6af1e0b3-084a-4388-9a65-bbb0dc4dbe34</t>
  </si>
  <si>
    <t>Aizawl Development Authority, Master Plan for Aizawl: VISION 2030 &amp;
https://www.downtoearth.org.in/feature/two-years-of-swachh-bharat-mission-55883</t>
  </si>
  <si>
    <t>2012
2016</t>
  </si>
  <si>
    <t>Assumed inadequate/unsafe</t>
  </si>
  <si>
    <t>Tuirial (90% capacity), Durtland (10% capacity)</t>
  </si>
  <si>
    <t>https://www.orissapost.com/bmcs-waste-to-energy-plant-in-limbo/</t>
  </si>
  <si>
    <t>Project is stalled</t>
  </si>
  <si>
    <t>assumption</t>
  </si>
  <si>
    <t>http://www.timothybouldry.com/boragaon-india</t>
  </si>
  <si>
    <t>Boragaon</t>
  </si>
  <si>
    <t>https://www.ijert.org/research/muncipal-solid-waste-management-using-landfills-in-hyderabad-city-IJERTV4IS020842.pdf</t>
  </si>
  <si>
    <t xml:space="preserve">Jawahar Nagar </t>
  </si>
  <si>
    <t>Significant environmental concerns, but addressing with capping/leachate treatment. Unable to determine current existing capacity</t>
  </si>
  <si>
    <t>https://swachhindia.ndtv.com/landfill-crisis-garbage-dumping-ground-at-mulund-in-mumbai-permanently-shut-26059/</t>
  </si>
  <si>
    <t>Mulund and Deonar landfills shut down, Kanjurmarg near full capacity</t>
  </si>
  <si>
    <t>Mulund Deonar and Kanjurmarg</t>
  </si>
  <si>
    <t>Table 14.7, estimate use since 2007</t>
  </si>
  <si>
    <t>misc.</t>
  </si>
  <si>
    <t>Master Plan for Delhi - 2021</t>
  </si>
  <si>
    <t>-</t>
  </si>
  <si>
    <t>Revised City Development Plan - Panaji</t>
  </si>
  <si>
    <t>https://tcpd.py.gov.in/sites/default/files/FINAL%20REPORT%20-CDP-2036%20_6-11-2019.pdf</t>
  </si>
  <si>
    <t>Kurumbapet</t>
  </si>
  <si>
    <t>assume</t>
  </si>
  <si>
    <t>http://www.shimlamc.org/MC/admin/Pages/page/City-Development-Plan.aspx</t>
  </si>
  <si>
    <t>Solid Waste Management - uses open dumping practices</t>
  </si>
  <si>
    <t>https://timesofindia.indiatimes.com/city/thiruvananthapuram/vilappilsala-still-poses-health-hazards-vasuki/articleshow/59960753.cms</t>
  </si>
  <si>
    <t>https://globaljournals.org/GJRE_Volume12/3-Municipal-Solid-Waste-Management.pdf</t>
  </si>
  <si>
    <t>Gargeyapuram dumping yard</t>
  </si>
  <si>
    <t>Taloja</t>
  </si>
  <si>
    <t>Regional landfill plan was cancelled</t>
  </si>
  <si>
    <t>https://indianexpress.com/article/cities/mumbai/hc-permits-bmc-to-begin-waste-processing-at-kanjurmarg-landfill/
https://mmrda.maharashtra.gov.in/regional-landfill-site-at-taloja</t>
  </si>
  <si>
    <t>http://www.jda.gov.in/wp-content/uploads/2016/03/Report-Master-Plan-Jalandhar.pdf</t>
  </si>
  <si>
    <t>Suchi Pind; Village Wariana</t>
  </si>
  <si>
    <t>Extrapolated to 2020</t>
  </si>
  <si>
    <t>http://www.rroij.com/open-access/a-snapshot-of-solid-waste-disposal-site-in-jorhat-town-assam.pdf</t>
  </si>
  <si>
    <t>Average cost by city size</t>
  </si>
  <si>
    <t>Cost of Land outside of city center  (USD 2019/Hectare)</t>
  </si>
  <si>
    <t>Cost of Land outside of city center  (INR/Sq.km.)</t>
  </si>
  <si>
    <t>Cost of Land outside of city center (INR/Sq.ft.)</t>
  </si>
  <si>
    <t>Average waste per capita</t>
  </si>
  <si>
    <t>Collection and Transportation cost per ton (USD 2019/ton)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</si>
</sst>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_);_(* \(#,##0.0\);_(* &quot;-&quot;??_);_(@_)"/>
    <numFmt numFmtId="167" formatCode="_-[$£-809]* #,##0.00_-;\-[$£-809]* #,##0.00_-;_-[$£-809]* &quot;-&quot;??_-;_-@_-"/>
    <numFmt numFmtId="168" formatCode="0.0%"/>
  </numFmts>
  <fonts count="5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u/>
      <sz val="12"/>
      <name val="Calibri"/>
      <family val="2"/>
      <scheme val="minor"/>
    </font>
    <font>
      <u/>
      <sz val="11"/>
      <name val="Calibri"/>
      <family val="2"/>
    </font>
    <font>
      <sz val="12"/>
      <color theme="1"/>
      <name val="Calibri  "/>
    </font>
    <font>
      <sz val="11"/>
      <color theme="0"/>
      <name val="Calibri  "/>
    </font>
    <font>
      <sz val="11"/>
      <color theme="1"/>
      <name val="Calibri  "/>
    </font>
    <font>
      <sz val="11"/>
      <name val="Calibri  "/>
    </font>
    <font>
      <sz val="11"/>
      <color rgb="FF0070C0"/>
      <name val="Calibri  "/>
    </font>
    <font>
      <sz val="11"/>
      <color theme="4"/>
      <name val="Calibri  "/>
    </font>
    <font>
      <sz val="11"/>
      <color rgb="FF000000"/>
      <name val="Calibri  "/>
    </font>
    <font>
      <b/>
      <i/>
      <u val="singleAccounting"/>
      <sz val="11"/>
      <color rgb="FF0070C0"/>
      <name val="Calibri  "/>
    </font>
    <font>
      <b/>
      <u val="singleAccounting"/>
      <sz val="11"/>
      <color rgb="FF0070C0"/>
      <name val="Calibri  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i/>
      <u/>
      <sz val="11"/>
      <color rgb="FFFF0000"/>
      <name val="Calibri"/>
      <family val="2"/>
      <scheme val="minor"/>
    </font>
    <font>
      <sz val="11"/>
      <color rgb="FFFF0000"/>
      <name val="Calibri  "/>
    </font>
    <font>
      <i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rgb="FFBFBFBF"/>
      </patternFill>
    </fill>
  </fills>
  <borders count="2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2" fillId="0" borderId="0" applyFon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310">
    <xf numFmtId="0" fontId="0" fillId="0" borderId="0" xfId="0"/>
    <xf numFmtId="0" fontId="0" fillId="0" borderId="0" xfId="0" applyBorder="1"/>
    <xf numFmtId="43" fontId="0" fillId="0" borderId="0" xfId="1" applyFont="1"/>
    <xf numFmtId="44" fontId="0" fillId="0" borderId="0" xfId="2" applyFont="1"/>
    <xf numFmtId="44" fontId="0" fillId="0" borderId="1" xfId="0" applyNumberFormat="1" applyBorder="1"/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44" fontId="0" fillId="4" borderId="2" xfId="0" applyNumberFormat="1" applyFill="1" applyBorder="1" applyAlignment="1">
      <alignment vertical="center"/>
    </xf>
    <xf numFmtId="0" fontId="10" fillId="0" borderId="0" xfId="0" applyFont="1"/>
    <xf numFmtId="43" fontId="0" fillId="0" borderId="0" xfId="1" applyFont="1" applyBorder="1"/>
    <xf numFmtId="0" fontId="10" fillId="0" borderId="0" xfId="0" applyFont="1" applyAlignment="1">
      <alignment horizontal="left" vertical="center"/>
    </xf>
    <xf numFmtId="0" fontId="17" fillId="0" borderId="0" xfId="4" applyFont="1"/>
    <xf numFmtId="43" fontId="16" fillId="0" borderId="0" xfId="1" applyFont="1"/>
    <xf numFmtId="0" fontId="14" fillId="0" borderId="3" xfId="0" applyFont="1" applyBorder="1"/>
    <xf numFmtId="164" fontId="14" fillId="0" borderId="0" xfId="0" applyNumberFormat="1" applyFont="1"/>
    <xf numFmtId="0" fontId="14" fillId="0" borderId="0" xfId="0" applyFont="1"/>
    <xf numFmtId="0" fontId="9" fillId="0" borderId="0" xfId="0" applyFont="1"/>
    <xf numFmtId="0" fontId="9" fillId="0" borderId="4" xfId="0" applyFont="1" applyBorder="1" applyAlignment="1">
      <alignment wrapText="1"/>
    </xf>
    <xf numFmtId="0" fontId="9" fillId="0" borderId="4" xfId="0" applyFont="1" applyBorder="1"/>
    <xf numFmtId="43" fontId="16" fillId="0" borderId="0" xfId="1" applyFont="1" applyAlignment="1">
      <alignment horizontal="right" vertical="center" wrapText="1"/>
    </xf>
    <xf numFmtId="0" fontId="19" fillId="0" borderId="0" xfId="0" applyFont="1" applyAlignment="1">
      <alignment horizontal="center"/>
    </xf>
    <xf numFmtId="44" fontId="19" fillId="0" borderId="0" xfId="2" applyFont="1" applyAlignment="1">
      <alignment horizontal="center" wrapText="1"/>
    </xf>
    <xf numFmtId="0" fontId="15" fillId="0" borderId="0" xfId="4"/>
    <xf numFmtId="0" fontId="0" fillId="0" borderId="0" xfId="0" applyFill="1"/>
    <xf numFmtId="164" fontId="0" fillId="0" borderId="0" xfId="1" applyNumberFormat="1" applyFont="1" applyFill="1"/>
    <xf numFmtId="43" fontId="0" fillId="0" borderId="0" xfId="0" applyNumberFormat="1"/>
    <xf numFmtId="0" fontId="0" fillId="0" borderId="0" xfId="0" applyAlignment="1">
      <alignment wrapText="1"/>
    </xf>
    <xf numFmtId="44" fontId="22" fillId="0" borderId="0" xfId="0" applyNumberFormat="1" applyFont="1"/>
    <xf numFmtId="0" fontId="22" fillId="0" borderId="0" xfId="0" applyFont="1" applyFill="1"/>
    <xf numFmtId="0" fontId="0" fillId="3" borderId="8" xfId="0" applyFill="1" applyBorder="1"/>
    <xf numFmtId="0" fontId="0" fillId="3" borderId="9" xfId="0" applyFill="1" applyBorder="1"/>
    <xf numFmtId="164" fontId="0" fillId="0" borderId="5" xfId="1" applyNumberFormat="1" applyFont="1" applyFill="1" applyBorder="1"/>
    <xf numFmtId="164" fontId="0" fillId="0" borderId="6" xfId="1" applyNumberFormat="1" applyFont="1" applyFill="1" applyBorder="1"/>
    <xf numFmtId="0" fontId="0" fillId="0" borderId="6" xfId="0" applyFill="1" applyBorder="1"/>
    <xf numFmtId="164" fontId="0" fillId="0" borderId="7" xfId="1" applyNumberFormat="1" applyFont="1" applyFill="1" applyBorder="1"/>
    <xf numFmtId="167" fontId="0" fillId="0" borderId="6" xfId="0" applyNumberFormat="1" applyFill="1" applyBorder="1" applyAlignment="1">
      <alignment vertical="center"/>
    </xf>
    <xf numFmtId="44" fontId="0" fillId="0" borderId="6" xfId="2" applyFont="1" applyFill="1" applyBorder="1" applyAlignment="1"/>
    <xf numFmtId="44" fontId="11" fillId="6" borderId="6" xfId="2" applyFont="1" applyFill="1" applyBorder="1"/>
    <xf numFmtId="44" fontId="21" fillId="6" borderId="7" xfId="0" applyNumberFormat="1" applyFont="1" applyFill="1" applyBorder="1"/>
    <xf numFmtId="44" fontId="11" fillId="6" borderId="5" xfId="2" applyFont="1" applyFill="1" applyBorder="1"/>
    <xf numFmtId="44" fontId="11" fillId="6" borderId="7" xfId="2" applyFont="1" applyFill="1" applyBorder="1"/>
    <xf numFmtId="0" fontId="0" fillId="0" borderId="10" xfId="0" applyFill="1" applyBorder="1"/>
    <xf numFmtId="0" fontId="0" fillId="0" borderId="11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21" fillId="6" borderId="12" xfId="0" applyFont="1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167" fontId="0" fillId="0" borderId="5" xfId="0" applyNumberFormat="1" applyFill="1" applyBorder="1" applyAlignment="1">
      <alignment vertical="top"/>
    </xf>
    <xf numFmtId="0" fontId="0" fillId="0" borderId="13" xfId="0" applyFill="1" applyBorder="1"/>
    <xf numFmtId="167" fontId="0" fillId="0" borderId="14" xfId="0" applyNumberFormat="1" applyFill="1" applyBorder="1" applyAlignment="1">
      <alignment vertical="center"/>
    </xf>
    <xf numFmtId="44" fontId="0" fillId="0" borderId="0" xfId="0" applyNumberFormat="1"/>
    <xf numFmtId="43" fontId="0" fillId="0" borderId="6" xfId="1" applyFont="1" applyBorder="1"/>
    <xf numFmtId="43" fontId="0" fillId="0" borderId="7" xfId="1" applyFont="1" applyBorder="1"/>
    <xf numFmtId="0" fontId="0" fillId="0" borderId="11" xfId="0" applyBorder="1"/>
    <xf numFmtId="0" fontId="0" fillId="0" borderId="12" xfId="0" applyBorder="1"/>
    <xf numFmtId="43" fontId="0" fillId="0" borderId="15" xfId="0" applyNumberFormat="1" applyBorder="1"/>
    <xf numFmtId="0" fontId="24" fillId="2" borderId="0" xfId="0" applyFont="1" applyFill="1" applyAlignment="1">
      <alignment horizontal="center"/>
    </xf>
    <xf numFmtId="0" fontId="7" fillId="0" borderId="0" xfId="0" applyFont="1"/>
    <xf numFmtId="0" fontId="18" fillId="0" borderId="8" xfId="0" applyFont="1" applyBorder="1" applyAlignment="1"/>
    <xf numFmtId="0" fontId="18" fillId="0" borderId="9" xfId="0" applyFont="1" applyBorder="1" applyAlignment="1"/>
    <xf numFmtId="0" fontId="0" fillId="0" borderId="18" xfId="0" applyFont="1" applyBorder="1" applyAlignment="1"/>
    <xf numFmtId="0" fontId="0" fillId="0" borderId="6" xfId="0" applyFont="1" applyBorder="1" applyAlignment="1"/>
    <xf numFmtId="0" fontId="18" fillId="0" borderId="19" xfId="1" applyNumberFormat="1" applyFont="1" applyBorder="1" applyAlignment="1"/>
    <xf numFmtId="43" fontId="18" fillId="0" borderId="0" xfId="1" applyFont="1" applyBorder="1" applyAlignment="1"/>
    <xf numFmtId="43" fontId="27" fillId="0" borderId="0" xfId="1" applyFont="1" applyBorder="1"/>
    <xf numFmtId="43" fontId="27" fillId="0" borderId="0" xfId="1" applyFont="1"/>
    <xf numFmtId="0" fontId="18" fillId="0" borderId="0" xfId="0" applyFont="1" applyBorder="1" applyAlignment="1"/>
    <xf numFmtId="0" fontId="0" fillId="0" borderId="0" xfId="0" applyFont="1" applyBorder="1" applyAlignment="1"/>
    <xf numFmtId="0" fontId="6" fillId="0" borderId="0" xfId="0" applyFont="1"/>
    <xf numFmtId="43" fontId="0" fillId="0" borderId="0" xfId="0" applyNumberFormat="1" applyFont="1" applyBorder="1" applyAlignment="1"/>
    <xf numFmtId="0" fontId="6" fillId="0" borderId="0" xfId="0" applyFont="1" applyFill="1" applyBorder="1"/>
    <xf numFmtId="0" fontId="5" fillId="0" borderId="0" xfId="0" applyFont="1"/>
    <xf numFmtId="0" fontId="0" fillId="0" borderId="20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0" xfId="0" applyFont="1" applyFill="1" applyBorder="1" applyAlignment="1"/>
    <xf numFmtId="0" fontId="4" fillId="0" borderId="0" xfId="0" applyFont="1"/>
    <xf numFmtId="0" fontId="4" fillId="6" borderId="23" xfId="0" applyFont="1" applyFill="1" applyBorder="1"/>
    <xf numFmtId="0" fontId="4" fillId="6" borderId="25" xfId="0" applyFont="1" applyFill="1" applyBorder="1"/>
    <xf numFmtId="43" fontId="4" fillId="6" borderId="25" xfId="1" applyFont="1" applyFill="1" applyBorder="1"/>
    <xf numFmtId="43" fontId="4" fillId="6" borderId="15" xfId="1" applyFont="1" applyFill="1" applyBorder="1"/>
    <xf numFmtId="43" fontId="4" fillId="6" borderId="7" xfId="1" applyFont="1" applyFill="1" applyBorder="1"/>
    <xf numFmtId="0" fontId="4" fillId="0" borderId="18" xfId="0" applyFont="1" applyBorder="1"/>
    <xf numFmtId="43" fontId="4" fillId="0" borderId="23" xfId="1" applyFont="1" applyBorder="1"/>
    <xf numFmtId="43" fontId="4" fillId="0" borderId="24" xfId="1" applyFont="1" applyBorder="1"/>
    <xf numFmtId="43" fontId="4" fillId="0" borderId="5" xfId="1" applyFont="1" applyBorder="1"/>
    <xf numFmtId="43" fontId="4" fillId="0" borderId="18" xfId="1" applyFont="1" applyBorder="1"/>
    <xf numFmtId="43" fontId="4" fillId="0" borderId="0" xfId="1" applyFont="1" applyBorder="1"/>
    <xf numFmtId="43" fontId="4" fillId="0" borderId="6" xfId="1" applyFont="1" applyBorder="1"/>
    <xf numFmtId="0" fontId="4" fillId="0" borderId="25" xfId="0" applyFont="1" applyBorder="1"/>
    <xf numFmtId="0" fontId="4" fillId="0" borderId="18" xfId="0" applyFont="1" applyFill="1" applyBorder="1"/>
    <xf numFmtId="43" fontId="4" fillId="0" borderId="0" xfId="1" applyFont="1"/>
    <xf numFmtId="0" fontId="4" fillId="0" borderId="23" xfId="0" applyFont="1" applyFill="1" applyBorder="1" applyAlignment="1">
      <alignment wrapText="1"/>
    </xf>
    <xf numFmtId="0" fontId="4" fillId="0" borderId="25" xfId="0" applyFont="1" applyFill="1" applyBorder="1"/>
    <xf numFmtId="44" fontId="33" fillId="6" borderId="25" xfId="2" applyFont="1" applyFill="1" applyBorder="1"/>
    <xf numFmtId="44" fontId="33" fillId="6" borderId="15" xfId="2" applyFont="1" applyFill="1" applyBorder="1"/>
    <xf numFmtId="44" fontId="33" fillId="6" borderId="7" xfId="2" applyFont="1" applyFill="1" applyBorder="1"/>
    <xf numFmtId="0" fontId="31" fillId="0" borderId="0" xfId="0" applyFont="1" applyAlignment="1">
      <alignment wrapText="1"/>
    </xf>
    <xf numFmtId="0" fontId="18" fillId="0" borderId="22" xfId="0" applyFont="1" applyBorder="1" applyAlignment="1"/>
    <xf numFmtId="0" fontId="4" fillId="0" borderId="23" xfId="0" applyFont="1" applyBorder="1"/>
    <xf numFmtId="44" fontId="4" fillId="6" borderId="25" xfId="2" applyFont="1" applyFill="1" applyBorder="1"/>
    <xf numFmtId="44" fontId="4" fillId="6" borderId="15" xfId="2" applyFont="1" applyFill="1" applyBorder="1"/>
    <xf numFmtId="44" fontId="4" fillId="6" borderId="7" xfId="2" applyFont="1" applyFill="1" applyBorder="1"/>
    <xf numFmtId="168" fontId="4" fillId="0" borderId="23" xfId="1" applyNumberFormat="1" applyFont="1" applyBorder="1"/>
    <xf numFmtId="168" fontId="4" fillId="0" borderId="24" xfId="1" applyNumberFormat="1" applyFont="1" applyBorder="1"/>
    <xf numFmtId="168" fontId="4" fillId="0" borderId="5" xfId="1" applyNumberFormat="1" applyFont="1" applyBorder="1"/>
    <xf numFmtId="168" fontId="4" fillId="0" borderId="18" xfId="3" applyNumberFormat="1" applyFont="1" applyBorder="1"/>
    <xf numFmtId="168" fontId="4" fillId="0" borderId="0" xfId="3" applyNumberFormat="1" applyFont="1" applyBorder="1"/>
    <xf numFmtId="168" fontId="4" fillId="0" borderId="6" xfId="3" applyNumberFormat="1" applyFont="1" applyBorder="1"/>
    <xf numFmtId="168" fontId="4" fillId="0" borderId="25" xfId="3" applyNumberFormat="1" applyFont="1" applyBorder="1"/>
    <xf numFmtId="168" fontId="4" fillId="0" borderId="15" xfId="3" applyNumberFormat="1" applyFont="1" applyBorder="1"/>
    <xf numFmtId="168" fontId="4" fillId="0" borderId="7" xfId="3" applyNumberFormat="1" applyFont="1" applyBorder="1"/>
    <xf numFmtId="0" fontId="22" fillId="0" borderId="4" xfId="0" applyFont="1" applyBorder="1" applyAlignment="1">
      <alignment wrapText="1"/>
    </xf>
    <xf numFmtId="0" fontId="22" fillId="0" borderId="0" xfId="0" applyFont="1"/>
    <xf numFmtId="0" fontId="34" fillId="0" borderId="0" xfId="4" applyFont="1"/>
    <xf numFmtId="0" fontId="32" fillId="0" borderId="0" xfId="0" applyFont="1"/>
    <xf numFmtId="0" fontId="8" fillId="0" borderId="21" xfId="0" applyFont="1" applyBorder="1" applyAlignment="1">
      <alignment horizontal="left" vertical="center"/>
    </xf>
    <xf numFmtId="43" fontId="16" fillId="0" borderId="21" xfId="1" applyFont="1" applyBorder="1" applyAlignment="1">
      <alignment wrapText="1"/>
    </xf>
    <xf numFmtId="0" fontId="10" fillId="0" borderId="22" xfId="0" applyFont="1" applyBorder="1"/>
    <xf numFmtId="0" fontId="10" fillId="0" borderId="0" xfId="0" applyFont="1" applyBorder="1" applyAlignment="1">
      <alignment horizontal="left" vertical="center"/>
    </xf>
    <xf numFmtId="43" fontId="16" fillId="0" borderId="0" xfId="1" applyFont="1" applyBorder="1"/>
    <xf numFmtId="0" fontId="10" fillId="0" borderId="6" xfId="0" applyFont="1" applyBorder="1"/>
    <xf numFmtId="0" fontId="0" fillId="0" borderId="8" xfId="0" applyFont="1" applyBorder="1" applyAlignment="1"/>
    <xf numFmtId="0" fontId="28" fillId="0" borderId="9" xfId="0" applyFont="1" applyBorder="1" applyAlignment="1"/>
    <xf numFmtId="0" fontId="10" fillId="0" borderId="19" xfId="0" applyFont="1" applyBorder="1" applyAlignment="1">
      <alignment horizontal="left" vertical="center"/>
    </xf>
    <xf numFmtId="43" fontId="16" fillId="0" borderId="19" xfId="1" applyFont="1" applyBorder="1"/>
    <xf numFmtId="0" fontId="10" fillId="0" borderId="9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center" wrapText="1"/>
    </xf>
    <xf numFmtId="0" fontId="4" fillId="0" borderId="0" xfId="0" applyFont="1" applyAlignment="1"/>
    <xf numFmtId="0" fontId="4" fillId="0" borderId="18" xfId="0" applyFont="1" applyBorder="1" applyAlignment="1"/>
    <xf numFmtId="0" fontId="4" fillId="0" borderId="6" xfId="0" applyFont="1" applyBorder="1" applyAlignment="1"/>
    <xf numFmtId="164" fontId="4" fillId="0" borderId="0" xfId="0" applyNumberFormat="1" applyFont="1"/>
    <xf numFmtId="43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 wrapText="1"/>
    </xf>
    <xf numFmtId="0" fontId="19" fillId="0" borderId="0" xfId="0" applyFont="1" applyFill="1" applyAlignment="1">
      <alignment horizontal="center"/>
    </xf>
    <xf numFmtId="164" fontId="8" fillId="0" borderId="21" xfId="1" applyNumberFormat="1" applyFont="1" applyBorder="1" applyAlignment="1">
      <alignment horizontal="left" vertical="center"/>
    </xf>
    <xf numFmtId="164" fontId="10" fillId="0" borderId="0" xfId="1" applyNumberFormat="1" applyFont="1" applyBorder="1" applyAlignment="1">
      <alignment horizontal="left" vertical="center"/>
    </xf>
    <xf numFmtId="164" fontId="10" fillId="0" borderId="19" xfId="1" applyNumberFormat="1" applyFont="1" applyBorder="1" applyAlignment="1">
      <alignment horizontal="left" vertical="center"/>
    </xf>
    <xf numFmtId="164" fontId="10" fillId="0" borderId="0" xfId="1" applyNumberFormat="1" applyFont="1" applyAlignment="1">
      <alignment horizontal="left" vertical="center"/>
    </xf>
    <xf numFmtId="164" fontId="0" fillId="0" borderId="0" xfId="1" applyNumberFormat="1" applyFont="1" applyBorder="1"/>
    <xf numFmtId="164" fontId="0" fillId="0" borderId="0" xfId="1" applyNumberFormat="1" applyFont="1"/>
    <xf numFmtId="0" fontId="3" fillId="0" borderId="0" xfId="0" applyFont="1" applyFill="1"/>
    <xf numFmtId="0" fontId="3" fillId="0" borderId="0" xfId="0" applyFont="1"/>
    <xf numFmtId="0" fontId="3" fillId="0" borderId="0" xfId="0" applyFont="1" applyFill="1" applyAlignment="1">
      <alignment horizontal="center"/>
    </xf>
    <xf numFmtId="44" fontId="3" fillId="0" borderId="0" xfId="2" applyFont="1" applyFill="1"/>
    <xf numFmtId="3" fontId="3" fillId="0" borderId="0" xfId="0" applyNumberFormat="1" applyFont="1" applyFill="1"/>
    <xf numFmtId="4" fontId="3" fillId="0" borderId="0" xfId="0" applyNumberFormat="1" applyFont="1" applyFill="1"/>
    <xf numFmtId="43" fontId="3" fillId="0" borderId="0" xfId="1" applyFont="1" applyFill="1"/>
    <xf numFmtId="0" fontId="3" fillId="0" borderId="0" xfId="2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44" fontId="3" fillId="0" borderId="0" xfId="2" applyFont="1"/>
    <xf numFmtId="43" fontId="3" fillId="0" borderId="0" xfId="1" applyFont="1"/>
    <xf numFmtId="165" fontId="3" fillId="0" borderId="0" xfId="0" applyNumberFormat="1" applyFont="1" applyFill="1"/>
    <xf numFmtId="43" fontId="3" fillId="0" borderId="0" xfId="1" applyFont="1" applyFill="1" applyAlignment="1">
      <alignment horizontal="center"/>
    </xf>
    <xf numFmtId="0" fontId="3" fillId="0" borderId="0" xfId="0" applyFont="1" applyAlignment="1">
      <alignment wrapText="1"/>
    </xf>
    <xf numFmtId="44" fontId="3" fillId="0" borderId="0" xfId="0" applyNumberFormat="1" applyFont="1"/>
    <xf numFmtId="0" fontId="3" fillId="0" borderId="0" xfId="0" applyFont="1" applyAlignment="1">
      <alignment horizontal="center"/>
    </xf>
    <xf numFmtId="9" fontId="3" fillId="0" borderId="0" xfId="3" applyFont="1" applyFill="1"/>
    <xf numFmtId="9" fontId="3" fillId="0" borderId="0" xfId="3" applyFont="1" applyFill="1" applyAlignment="1">
      <alignment horizontal="center"/>
    </xf>
    <xf numFmtId="44" fontId="3" fillId="0" borderId="0" xfId="2" applyFont="1" applyFill="1" applyAlignment="1">
      <alignment wrapText="1"/>
    </xf>
    <xf numFmtId="10" fontId="3" fillId="0" borderId="0" xfId="3" applyNumberFormat="1" applyFont="1" applyFill="1"/>
    <xf numFmtId="165" fontId="0" fillId="0" borderId="0" xfId="0" applyNumberFormat="1" applyFont="1" applyFill="1"/>
    <xf numFmtId="43" fontId="14" fillId="0" borderId="4" xfId="1" applyFont="1" applyBorder="1" applyAlignment="1">
      <alignment wrapText="1"/>
    </xf>
    <xf numFmtId="0" fontId="35" fillId="0" borderId="4" xfId="0" applyFont="1" applyBorder="1" applyAlignment="1">
      <alignment wrapText="1"/>
    </xf>
    <xf numFmtId="0" fontId="35" fillId="0" borderId="0" xfId="0" applyFont="1"/>
    <xf numFmtId="43" fontId="36" fillId="0" borderId="0" xfId="1" applyFont="1"/>
    <xf numFmtId="43" fontId="14" fillId="0" borderId="0" xfId="1" applyFont="1"/>
    <xf numFmtId="0" fontId="35" fillId="0" borderId="0" xfId="0" applyFont="1" applyBorder="1"/>
    <xf numFmtId="0" fontId="35" fillId="0" borderId="18" xfId="0" applyFont="1" applyBorder="1" applyAlignment="1"/>
    <xf numFmtId="0" fontId="35" fillId="0" borderId="6" xfId="0" applyFont="1" applyBorder="1" applyAlignment="1"/>
    <xf numFmtId="0" fontId="14" fillId="0" borderId="8" xfId="0" applyFont="1" applyBorder="1" applyAlignment="1"/>
    <xf numFmtId="0" fontId="14" fillId="0" borderId="9" xfId="0" applyFont="1" applyBorder="1" applyAlignment="1"/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wrapText="1"/>
    </xf>
    <xf numFmtId="0" fontId="14" fillId="0" borderId="18" xfId="0" applyFont="1" applyBorder="1" applyAlignment="1"/>
    <xf numFmtId="0" fontId="14" fillId="0" borderId="6" xfId="0" applyFont="1" applyBorder="1" applyAlignment="1"/>
    <xf numFmtId="164" fontId="14" fillId="0" borderId="0" xfId="1" applyNumberFormat="1" applyFont="1"/>
    <xf numFmtId="0" fontId="37" fillId="0" borderId="0" xfId="4" applyFont="1"/>
    <xf numFmtId="0" fontId="14" fillId="0" borderId="0" xfId="0" applyFont="1" applyBorder="1"/>
    <xf numFmtId="0" fontId="14" fillId="0" borderId="0" xfId="0" applyFont="1" applyAlignment="1"/>
    <xf numFmtId="0" fontId="14" fillId="0" borderId="16" xfId="0" applyFont="1" applyBorder="1"/>
    <xf numFmtId="0" fontId="38" fillId="0" borderId="0" xfId="4" applyFont="1"/>
    <xf numFmtId="0" fontId="14" fillId="0" borderId="17" xfId="0" applyFont="1" applyBorder="1"/>
    <xf numFmtId="0" fontId="14" fillId="0" borderId="0" xfId="0" applyFont="1" applyFill="1" applyBorder="1"/>
    <xf numFmtId="44" fontId="14" fillId="0" borderId="0" xfId="2" applyFont="1" applyFill="1" applyBorder="1"/>
    <xf numFmtId="164" fontId="14" fillId="0" borderId="0" xfId="1" applyNumberFormat="1" applyFont="1" applyFill="1" applyBorder="1"/>
    <xf numFmtId="0" fontId="39" fillId="0" borderId="0" xfId="0" applyFont="1" applyAlignment="1"/>
    <xf numFmtId="0" fontId="40" fillId="0" borderId="0" xfId="0" applyFont="1" applyFill="1" applyAlignment="1"/>
    <xf numFmtId="0" fontId="40" fillId="0" borderId="0" xfId="0" applyFont="1" applyFill="1" applyAlignment="1">
      <alignment horizontal="center"/>
    </xf>
    <xf numFmtId="0" fontId="41" fillId="0" borderId="0" xfId="0" applyFont="1" applyFill="1"/>
    <xf numFmtId="0" fontId="39" fillId="0" borderId="0" xfId="0" applyFont="1" applyAlignment="1">
      <alignment vertical="center"/>
    </xf>
    <xf numFmtId="0" fontId="39" fillId="0" borderId="0" xfId="0" applyFont="1" applyAlignment="1">
      <alignment horizontal="center" vertical="center" wrapText="1"/>
    </xf>
    <xf numFmtId="164" fontId="41" fillId="0" borderId="0" xfId="1" applyNumberFormat="1" applyFont="1" applyFill="1" applyAlignment="1">
      <alignment horizontal="center" vertical="center" wrapText="1"/>
    </xf>
    <xf numFmtId="43" fontId="41" fillId="5" borderId="0" xfId="1" applyFont="1" applyFill="1" applyAlignment="1">
      <alignment horizontal="center" vertical="center" wrapText="1"/>
    </xf>
    <xf numFmtId="166" fontId="42" fillId="5" borderId="0" xfId="1" applyNumberFormat="1" applyFont="1" applyFill="1" applyAlignment="1">
      <alignment horizontal="center" vertical="center" wrapText="1"/>
    </xf>
    <xf numFmtId="0" fontId="41" fillId="5" borderId="0" xfId="0" applyFont="1" applyFill="1" applyAlignment="1">
      <alignment horizontal="center" vertical="center" wrapText="1"/>
    </xf>
    <xf numFmtId="0" fontId="41" fillId="3" borderId="0" xfId="0" applyFont="1" applyFill="1" applyAlignment="1">
      <alignment horizontal="center" vertical="center" wrapText="1"/>
    </xf>
    <xf numFmtId="164" fontId="41" fillId="3" borderId="0" xfId="1" applyNumberFormat="1" applyFont="1" applyFill="1" applyAlignment="1">
      <alignment horizontal="center" vertical="center" wrapText="1"/>
    </xf>
    <xf numFmtId="0" fontId="41" fillId="0" borderId="0" xfId="0" applyFont="1" applyFill="1" applyAlignment="1">
      <alignment horizontal="center" vertical="center" wrapText="1"/>
    </xf>
    <xf numFmtId="0" fontId="43" fillId="0" borderId="0" xfId="0" applyFont="1" applyFill="1" applyAlignment="1">
      <alignment horizontal="center" vertical="center" wrapText="1"/>
    </xf>
    <xf numFmtId="0" fontId="42" fillId="3" borderId="0" xfId="0" applyFont="1" applyFill="1" applyAlignment="1">
      <alignment horizontal="center" vertical="center" wrapText="1"/>
    </xf>
    <xf numFmtId="0" fontId="43" fillId="3" borderId="0" xfId="0" applyFont="1" applyFill="1" applyAlignment="1">
      <alignment horizontal="center" vertical="center" wrapText="1"/>
    </xf>
    <xf numFmtId="0" fontId="44" fillId="3" borderId="0" xfId="0" applyFont="1" applyFill="1" applyAlignment="1">
      <alignment horizontal="center" vertical="center" wrapText="1"/>
    </xf>
    <xf numFmtId="164" fontId="41" fillId="0" borderId="0" xfId="1" applyNumberFormat="1" applyFont="1"/>
    <xf numFmtId="164" fontId="41" fillId="0" borderId="0" xfId="1" applyNumberFormat="1" applyFont="1" applyAlignment="1">
      <alignment horizontal="center"/>
    </xf>
    <xf numFmtId="43" fontId="41" fillId="5" borderId="0" xfId="1" applyFont="1" applyFill="1"/>
    <xf numFmtId="166" fontId="42" fillId="5" borderId="0" xfId="1" applyNumberFormat="1" applyFont="1" applyFill="1"/>
    <xf numFmtId="9" fontId="41" fillId="3" borderId="0" xfId="3" applyFont="1" applyFill="1"/>
    <xf numFmtId="164" fontId="41" fillId="3" borderId="0" xfId="1" applyNumberFormat="1" applyFont="1" applyFill="1"/>
    <xf numFmtId="0" fontId="41" fillId="0" borderId="0" xfId="0" applyFont="1"/>
    <xf numFmtId="44" fontId="41" fillId="0" borderId="0" xfId="2" applyFont="1"/>
    <xf numFmtId="44" fontId="43" fillId="0" borderId="0" xfId="2" applyFont="1"/>
    <xf numFmtId="44" fontId="42" fillId="3" borderId="0" xfId="2" applyFont="1" applyFill="1"/>
    <xf numFmtId="44" fontId="43" fillId="3" borderId="0" xfId="2" applyFont="1" applyFill="1"/>
    <xf numFmtId="164" fontId="42" fillId="5" borderId="0" xfId="1" applyNumberFormat="1" applyFont="1" applyFill="1"/>
    <xf numFmtId="44" fontId="41" fillId="3" borderId="0" xfId="2" applyFont="1" applyFill="1"/>
    <xf numFmtId="44" fontId="43" fillId="3" borderId="0" xfId="2" applyNumberFormat="1" applyFont="1" applyFill="1"/>
    <xf numFmtId="0" fontId="45" fillId="0" borderId="0" xfId="0" applyFont="1"/>
    <xf numFmtId="164" fontId="42" fillId="0" borderId="0" xfId="1" applyNumberFormat="1" applyFont="1" applyFill="1"/>
    <xf numFmtId="43" fontId="41" fillId="0" borderId="0" xfId="1" applyFont="1" applyFill="1"/>
    <xf numFmtId="44" fontId="41" fillId="0" borderId="0" xfId="2" applyFont="1" applyFill="1"/>
    <xf numFmtId="44" fontId="46" fillId="3" borderId="0" xfId="2" applyNumberFormat="1" applyFont="1" applyFill="1"/>
    <xf numFmtId="44" fontId="47" fillId="0" borderId="0" xfId="2" applyFont="1" applyFill="1" applyAlignment="1">
      <alignment horizontal="center"/>
    </xf>
    <xf numFmtId="44" fontId="43" fillId="0" borderId="0" xfId="2" applyNumberFormat="1" applyFont="1" applyFill="1"/>
    <xf numFmtId="44" fontId="43" fillId="0" borderId="0" xfId="2" applyFont="1" applyFill="1"/>
    <xf numFmtId="0" fontId="39" fillId="0" borderId="0" xfId="0" applyFont="1" applyBorder="1" applyAlignment="1"/>
    <xf numFmtId="164" fontId="41" fillId="0" borderId="0" xfId="1" applyNumberFormat="1" applyFont="1" applyFill="1"/>
    <xf numFmtId="164" fontId="41" fillId="0" borderId="0" xfId="1" applyNumberFormat="1" applyFont="1" applyFill="1" applyAlignment="1">
      <alignment horizontal="center"/>
    </xf>
    <xf numFmtId="166" fontId="42" fillId="0" borderId="0" xfId="1" applyNumberFormat="1" applyFont="1" applyFill="1"/>
    <xf numFmtId="9" fontId="41" fillId="0" borderId="0" xfId="3" applyFont="1" applyFill="1"/>
    <xf numFmtId="44" fontId="46" fillId="0" borderId="0" xfId="2" applyFont="1" applyFill="1"/>
    <xf numFmtId="44" fontId="42" fillId="0" borderId="0" xfId="2" applyFont="1" applyFill="1"/>
    <xf numFmtId="0" fontId="41" fillId="0" borderId="0" xfId="0" applyFont="1" applyAlignment="1">
      <alignment horizontal="center"/>
    </xf>
    <xf numFmtId="44" fontId="47" fillId="0" borderId="0" xfId="0" applyNumberFormat="1" applyFont="1" applyFill="1"/>
    <xf numFmtId="0" fontId="42" fillId="0" borderId="0" xfId="0" applyFont="1" applyFill="1"/>
    <xf numFmtId="0" fontId="43" fillId="0" borderId="0" xfId="0" applyFont="1"/>
    <xf numFmtId="0" fontId="43" fillId="0" borderId="0" xfId="0" applyFont="1" applyFill="1"/>
    <xf numFmtId="0" fontId="41" fillId="5" borderId="0" xfId="0" applyFont="1" applyFill="1"/>
    <xf numFmtId="0" fontId="41" fillId="3" borderId="0" xfId="0" applyFont="1" applyFill="1"/>
    <xf numFmtId="0" fontId="41" fillId="0" borderId="0" xfId="0" applyFont="1" applyAlignment="1"/>
    <xf numFmtId="0" fontId="41" fillId="0" borderId="0" xfId="0" applyFont="1" applyAlignment="1">
      <alignment vertical="center"/>
    </xf>
    <xf numFmtId="0" fontId="41" fillId="0" borderId="0" xfId="0" applyFont="1" applyAlignment="1">
      <alignment horizontal="center" vertical="center" wrapText="1"/>
    </xf>
    <xf numFmtId="0" fontId="45" fillId="0" borderId="0" xfId="0" applyFont="1" applyBorder="1"/>
    <xf numFmtId="0" fontId="2" fillId="0" borderId="0" xfId="0" applyFont="1"/>
    <xf numFmtId="0" fontId="15" fillId="0" borderId="0" xfId="4" applyAlignment="1">
      <alignment wrapText="1"/>
    </xf>
    <xf numFmtId="43" fontId="0" fillId="0" borderId="0" xfId="0" applyNumberFormat="1" applyFont="1" applyFill="1" applyBorder="1" applyAlignment="1"/>
    <xf numFmtId="43" fontId="2" fillId="0" borderId="0" xfId="1" applyFont="1"/>
    <xf numFmtId="1" fontId="14" fillId="0" borderId="0" xfId="0" applyNumberFormat="1" applyFont="1" applyFill="1" applyAlignment="1">
      <alignment horizontal="left" vertical="center"/>
    </xf>
    <xf numFmtId="0" fontId="48" fillId="0" borderId="0" xfId="0" applyFont="1" applyFill="1" applyAlignment="1">
      <alignment horizontal="left" vertical="center"/>
    </xf>
    <xf numFmtId="164" fontId="48" fillId="0" borderId="0" xfId="1" applyNumberFormat="1" applyFont="1" applyFill="1" applyAlignment="1">
      <alignment horizontal="center" vertical="center"/>
    </xf>
    <xf numFmtId="0" fontId="48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wrapText="1"/>
    </xf>
    <xf numFmtId="164" fontId="14" fillId="0" borderId="0" xfId="1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64" fontId="14" fillId="0" borderId="0" xfId="1" applyNumberFormat="1" applyFont="1" applyFill="1" applyAlignment="1">
      <alignment horizontal="center" vertical="center"/>
    </xf>
    <xf numFmtId="0" fontId="14" fillId="0" borderId="0" xfId="0" applyFont="1" applyFill="1"/>
    <xf numFmtId="0" fontId="14" fillId="0" borderId="26" xfId="0" applyFont="1" applyBorder="1"/>
    <xf numFmtId="0" fontId="14" fillId="0" borderId="9" xfId="0" applyFont="1" applyBorder="1"/>
    <xf numFmtId="44" fontId="14" fillId="0" borderId="0" xfId="0" applyNumberFormat="1" applyFont="1" applyFill="1" applyBorder="1"/>
    <xf numFmtId="44" fontId="14" fillId="0" borderId="6" xfId="2" applyFont="1" applyBorder="1"/>
    <xf numFmtId="44" fontId="14" fillId="0" borderId="7" xfId="2" applyFont="1" applyBorder="1"/>
    <xf numFmtId="44" fontId="14" fillId="0" borderId="4" xfId="2" applyFont="1" applyBorder="1" applyAlignment="1">
      <alignment wrapText="1"/>
    </xf>
    <xf numFmtId="44" fontId="14" fillId="0" borderId="0" xfId="2" applyFont="1"/>
    <xf numFmtId="44" fontId="36" fillId="0" borderId="0" xfId="2" applyFont="1"/>
    <xf numFmtId="44" fontId="35" fillId="0" borderId="0" xfId="2" applyFont="1" applyBorder="1"/>
    <xf numFmtId="44" fontId="48" fillId="0" borderId="0" xfId="2" applyFont="1"/>
    <xf numFmtId="43" fontId="14" fillId="0" borderId="0" xfId="1" applyFont="1" applyAlignment="1">
      <alignment horizontal="left"/>
    </xf>
    <xf numFmtId="0" fontId="14" fillId="0" borderId="4" xfId="0" applyFont="1" applyBorder="1" applyAlignment="1">
      <alignment horizontal="left" wrapText="1"/>
    </xf>
    <xf numFmtId="0" fontId="1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29" fillId="0" borderId="0" xfId="0" applyFont="1" applyBorder="1"/>
    <xf numFmtId="43" fontId="0" fillId="0" borderId="6" xfId="0" applyNumberFormat="1" applyBorder="1"/>
    <xf numFmtId="43" fontId="0" fillId="0" borderId="7" xfId="0" applyNumberFormat="1" applyBorder="1"/>
    <xf numFmtId="43" fontId="30" fillId="0" borderId="0" xfId="0" applyNumberFormat="1" applyFont="1" applyFill="1" applyBorder="1"/>
    <xf numFmtId="0" fontId="1" fillId="0" borderId="21" xfId="0" applyFont="1" applyBorder="1" applyAlignment="1">
      <alignment horizontal="left" vertical="center" wrapText="1"/>
    </xf>
    <xf numFmtId="43" fontId="1" fillId="0" borderId="0" xfId="0" applyNumberFormat="1" applyFont="1" applyBorder="1" applyAlignment="1">
      <alignment horizontal="left" vertical="center"/>
    </xf>
    <xf numFmtId="43" fontId="49" fillId="0" borderId="0" xfId="0" applyNumberFormat="1" applyFont="1" applyBorder="1" applyAlignment="1">
      <alignment horizontal="left" vertical="center"/>
    </xf>
    <xf numFmtId="43" fontId="50" fillId="0" borderId="19" xfId="0" applyNumberFormat="1" applyFont="1" applyBorder="1" applyAlignment="1">
      <alignment horizontal="left" vertical="center"/>
    </xf>
    <xf numFmtId="43" fontId="49" fillId="0" borderId="0" xfId="0" applyNumberFormat="1" applyFont="1" applyAlignment="1">
      <alignment horizontal="left" vertical="center"/>
    </xf>
    <xf numFmtId="43" fontId="1" fillId="0" borderId="0" xfId="0" applyNumberFormat="1" applyFont="1" applyAlignment="1">
      <alignment horizontal="left" vertical="center"/>
    </xf>
    <xf numFmtId="0" fontId="0" fillId="0" borderId="0" xfId="0" applyFont="1" applyBorder="1"/>
    <xf numFmtId="0" fontId="0" fillId="0" borderId="0" xfId="0" applyFont="1"/>
    <xf numFmtId="0" fontId="0" fillId="4" borderId="2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23" fillId="0" borderId="0" xfId="0" applyFont="1" applyAlignment="1">
      <alignment horizontal="center"/>
    </xf>
    <xf numFmtId="0" fontId="40" fillId="2" borderId="0" xfId="0" applyFont="1" applyFill="1" applyAlignment="1">
      <alignment horizontal="center"/>
    </xf>
    <xf numFmtId="0" fontId="41" fillId="5" borderId="0" xfId="0" applyFont="1" applyFill="1" applyAlignment="1">
      <alignment horizontal="center"/>
    </xf>
    <xf numFmtId="0" fontId="41" fillId="3" borderId="0" xfId="0" applyFont="1" applyFill="1" applyAlignment="1">
      <alignment horizontal="center"/>
    </xf>
    <xf numFmtId="43" fontId="42" fillId="5" borderId="0" xfId="1" applyFont="1" applyFill="1" applyAlignment="1">
      <alignment horizontal="center" wrapText="1"/>
    </xf>
    <xf numFmtId="0" fontId="42" fillId="3" borderId="0" xfId="0" applyFont="1" applyFill="1" applyAlignment="1">
      <alignment horizontal="center"/>
    </xf>
    <xf numFmtId="0" fontId="41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3" fontId="4" fillId="6" borderId="23" xfId="1" applyFont="1" applyFill="1" applyBorder="1" applyAlignment="1">
      <alignment horizontal="center"/>
    </xf>
    <xf numFmtId="43" fontId="4" fillId="6" borderId="24" xfId="1" applyFont="1" applyFill="1" applyBorder="1" applyAlignment="1">
      <alignment horizontal="center"/>
    </xf>
    <xf numFmtId="43" fontId="4" fillId="6" borderId="5" xfId="1" applyFont="1" applyFill="1" applyBorder="1" applyAlignment="1">
      <alignment horizontal="center"/>
    </xf>
    <xf numFmtId="0" fontId="14" fillId="7" borderId="8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52" fillId="0" borderId="4" xfId="0" applyFont="1" applyBorder="1" applyAlignment="1">
      <alignment wrapText="1"/>
    </xf>
    <xf numFmtId="2" fontId="42" fillId="5" borderId="0" xfId="1" applyNumberFormat="1" applyFont="1" applyFill="1" applyAlignment="1">
      <alignment horizontal="center" vertical="center" wrapText="1"/>
    </xf>
    <xf numFmtId="2" fontId="42" fillId="5" borderId="0" xfId="1" applyNumberFormat="1" applyFont="1" applyFill="1" applyAlignment="1">
      <alignment horizontal="center"/>
    </xf>
    <xf numFmtId="2" fontId="42" fillId="0" borderId="0" xfId="1" applyNumberFormat="1" applyFont="1" applyFill="1" applyAlignment="1">
      <alignment horizontal="center"/>
    </xf>
    <xf numFmtId="1" fontId="51" fillId="5" borderId="0" xfId="1" applyNumberFormat="1" applyFont="1" applyFill="1" applyAlignment="1">
      <alignment horizontal="center"/>
    </xf>
    <xf numFmtId="1" fontId="42" fillId="5" borderId="0" xfId="1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18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OneDrive\DOCUME~1\Adulting\Jobs\AIDDAT~1\UNHABI~1\WORKIN~1\RESEAR~1\India\TRANSPORTATION%20SHEET_INDIA_Suzy%20edi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Transportation"/>
      <sheetName val="Cost Calculations"/>
      <sheetName val="Variables"/>
      <sheetName val="Area"/>
      <sheetName val="Household Information"/>
      <sheetName val="Population"/>
      <sheetName val="Urban road length (WDI)"/>
      <sheetName val="Existing Fleet"/>
      <sheetName val="% Urban Roads Surfaced (WDI)"/>
      <sheetName val="Standard bus O&amp;M"/>
      <sheetName val="Road Proportions"/>
      <sheetName val="CP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1">
          <cell r="C41">
            <v>0</v>
          </cell>
        </row>
      </sheetData>
      <sheetData sheetId="8"/>
      <sheetData sheetId="9"/>
      <sheetData sheetId="10"/>
      <sheetData sheetId="1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uzz Schadel" id="{3CE85E2A-B85D-4E59-A852-3F6D7DB60763}" userId="a5a390a5ff5e99d3" providerId="Windows Live"/>
  <person displayName="Suzanne Schadel" id="{BCF6406D-A516-4A08-90E4-309416373434}" userId="f44dd92c4f2be79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19-08-23T16:23:05.49" personId="{3CE85E2A-B85D-4E59-A852-3F6D7DB60763}" id="{00D0AE95-AB47-40A7-9D2D-3B9F0D2E0E8D}">
    <text>replace w. O&amp; costs in tab</text>
  </threadedComment>
  <threadedComment ref="U3" dT="2019-08-23T20:03:50.79" personId="{3CE85E2A-B85D-4E59-A852-3F6D7DB60763}" id="{310ECCEC-E02F-4A6C-930F-0917E2BA8E17}">
    <text>Assumes new landfills will need to be constructed by 2030</text>
  </threadedComment>
  <threadedComment ref="W4" dT="2019-08-22T22:00:42.26" personId="{3CE85E2A-B85D-4E59-A852-3F6D7DB60763}" id="{3939DBF5-17F3-44B6-A635-7FAC4FA4576B}">
    <text>Data gaps filled with average of other numbers</text>
  </threadedComment>
  <threadedComment ref="I8" dT="2019-08-15T22:20:35.72" personId="{BCF6406D-A516-4A08-90E4-309416373434}" id="{FA8DFB43-8FF3-41C3-809D-65604DE49335}">
    <text>Data gap filled with average waste per capita values gathered for other cities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thecalculatorsite.com/conversions/area/hectares-to-acres.php" TargetMode="External"/><Relationship Id="rId7" Type="http://schemas.openxmlformats.org/officeDocument/2006/relationships/hyperlink" Target="https://data.worldbank.org/indicator/PA.NUS.FCRF?locations=IN" TargetMode="External"/><Relationship Id="rId2" Type="http://schemas.openxmlformats.org/officeDocument/2006/relationships/hyperlink" Target="http://www.in2013dollars.com/us/inflation/2008?amount=1" TargetMode="External"/><Relationship Id="rId1" Type="http://schemas.openxmlformats.org/officeDocument/2006/relationships/hyperlink" Target="https://www.statista.com/statistics/412794/euro-to-u-s-dollar-annual-average-exchange-rate/" TargetMode="External"/><Relationship Id="rId6" Type="http://schemas.openxmlformats.org/officeDocument/2006/relationships/hyperlink" Target="http://www.in2013dollars.com/us/inflation/2006?amount=1" TargetMode="External"/><Relationship Id="rId5" Type="http://schemas.openxmlformats.org/officeDocument/2006/relationships/hyperlink" Target="http://www.in2013dollars.com/us/inflation/2010?amount=1" TargetMode="External"/><Relationship Id="rId4" Type="http://schemas.openxmlformats.org/officeDocument/2006/relationships/hyperlink" Target="https://data.worldbank.org/indicator/PA.NUS.PPPC.RF?locations=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documents.worldbank.org/curated/en/%20178191468035334268/pdf/370700IN0Munic1ver0P08436401PUBLIC1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roperty.mitula.in/detalle/102982/1530022521903080013/3/1/land-kohima?page=1&amp;pos=3&amp;t_sec=1&amp;t_or=2&amp;t_pvid=d10cf371-39e4-4de2-ab53-83395250722b" TargetMode="External"/><Relationship Id="rId13" Type="http://schemas.openxmlformats.org/officeDocument/2006/relationships/hyperlink" Target="https://property.mitula.in/detalle/740/7990057554902113726/5/1/land-agricultural-patna?page=1&amp;pos=5&amp;t_sec=1&amp;t_or=2&amp;t_pvid=4e46fcca-a172-4f91-a327-1ce6c29a854c" TargetMode="External"/><Relationship Id="rId18" Type="http://schemas.openxmlformats.org/officeDocument/2006/relationships/hyperlink" Target="https://property.mitula.in/detalle/740/5440103555766487256/8/1/land-silvassa?page=1&amp;pos=8&amp;t_sec=76&amp;t_or=2&amp;t_pvid=c2db0748-5679-4bef-86a9-8f7b14182ddc" TargetMode="External"/><Relationship Id="rId3" Type="http://schemas.openxmlformats.org/officeDocument/2006/relationships/hyperlink" Target="https://property.mitula.in/searchRE/level1-Union+Territory+Of+Daman+And+Diu/level2-Daman/sort-0/op-1/type-Land/q-land-daman" TargetMode="External"/><Relationship Id="rId21" Type="http://schemas.openxmlformats.org/officeDocument/2006/relationships/hyperlink" Target="https://property.mitula.in/detalle/102982/2340019530706131215/5/23/land-agricultural-sirsa?page=1&amp;pos=5&amp;t_sec=76&amp;t_or=2&amp;t_pvid=d2ff4e90-ae40-42da-afd1-ff1a16c52705" TargetMode="External"/><Relationship Id="rId7" Type="http://schemas.openxmlformats.org/officeDocument/2006/relationships/hyperlink" Target="https://www.clickindia.com/detail.php?id=165925707" TargetMode="External"/><Relationship Id="rId12" Type="http://schemas.openxmlformats.org/officeDocument/2006/relationships/hyperlink" Target="https://www.magicbricks.com/propertyDetails/77972-Sq-ft-Agricultural-Land-FOR-Sale-Semariya-2-in-Raipur&amp;id=4d423435343531383733" TargetMode="External"/><Relationship Id="rId17" Type="http://schemas.openxmlformats.org/officeDocument/2006/relationships/hyperlink" Target="https://property.mitula.in/detalle/740/7680109569418831201/20/1/land-agricultural-shillong?page=1&amp;pos=20&amp;t_sec=76&amp;t_or=2&amp;t_pvid=f630417c-6f2e-49cf-aa1a-27dfd3da4ef6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s://property.mitula.in/detalle/740/4990074577539707521/16/1/land-bhubaneswar?page=1&amp;pos=16&amp;t_sec=76&amp;t_or=2&amp;t_pvid=21ccb188-9f73-4b61-a084-2a74d2123614" TargetMode="External"/><Relationship Id="rId16" Type="http://schemas.openxmlformats.org/officeDocument/2006/relationships/hyperlink" Target="https://property.mitula.in/detalle/740/2810055554815597232/4/1/land-agricultural-raipur?page=1&amp;pos=4&amp;t_sec=76&amp;t_or=2&amp;t_pvid=07fe7861-e8ad-464d-a1a2-b5d524284969" TargetMode="External"/><Relationship Id="rId20" Type="http://schemas.openxmlformats.org/officeDocument/2006/relationships/hyperlink" Target="https://property.mitula.in/detalle/740/5080093552227172504/2/1/land-agricultural-sirsa?page=1&amp;pos=2&amp;t_sec=76&amp;t_or=2&amp;t_pvid=d2ff4e90-ae40-42da-afd1-ff1a16c52705" TargetMode="External"/><Relationship Id="rId1" Type="http://schemas.openxmlformats.org/officeDocument/2006/relationships/hyperlink" Target="https://property.mitula.in/detalle/740/7210057571317460538/8/1/land-agartala?page=1&amp;pos=8&amp;t_sec=76&amp;t_or=2&amp;t_pvid=705cfe21-bb41-4024-98ca-c0fd8ab03f70" TargetMode="External"/><Relationship Id="rId6" Type="http://schemas.openxmlformats.org/officeDocument/2006/relationships/hyperlink" Target="https://www.sheryna.in/Plots-in-Phulera-Jaipur-Jaipur-339345?utm_source=property.mitula.in&amp;utm_medium=referral" TargetMode="External"/><Relationship Id="rId11" Type="http://schemas.openxmlformats.org/officeDocument/2006/relationships/hyperlink" Target="https://www.magicbricks.com/propertyDetails/2-Acre-Agricultural-Land-FOR-Sale-Virar-in-Mumbai-r3&amp;id=4d423431333231313533" TargetMode="External"/><Relationship Id="rId24" Type="http://schemas.openxmlformats.org/officeDocument/2006/relationships/hyperlink" Target="https://property.mitula.in/detalle/740/3860100571836676484/4/1/land-agricultural-tezpur?page=1&amp;pos=4&amp;t_sec=76&amp;t_or=2&amp;t_pvid=6af1e0b3-084a-4388-9a65-bbb0dc4dbe34" TargetMode="External"/><Relationship Id="rId5" Type="http://schemas.openxmlformats.org/officeDocument/2006/relationships/hyperlink" Target="http://www.69acres.in/detail-3553.html?utm_source=property.mitula.in&amp;utm_medium=referral" TargetMode="External"/><Relationship Id="rId15" Type="http://schemas.openxmlformats.org/officeDocument/2006/relationships/hyperlink" Target="https://property.mitula.in/detalle/740/1860099572448417080/27/23/land-agricultural-pondicherry?page=1&amp;pos=27&amp;t_sec=76&amp;t_or=2&amp;t_pvid=00b21c26-3ee7-4ff7-95fc-6176adbdfb67" TargetMode="External"/><Relationship Id="rId23" Type="http://schemas.openxmlformats.org/officeDocument/2006/relationships/hyperlink" Target="https://property.mitula.in/detalle/102982/6330018559220393446/4/1/land-agricultural-sopore?page=1&amp;pos=4&amp;t_sec=76&amp;t_or=2&amp;t_pvid=8ecdb73c-2299-4a42-ac4b-19f80677d474" TargetMode="External"/><Relationship Id="rId10" Type="http://schemas.openxmlformats.org/officeDocument/2006/relationships/hyperlink" Target="https://www.magicbricks.com/propertyDetails/9-Acre-Agricultural-Land-FOR-Sale-Najafgarh-Extension-in-New-Delhi&amp;id=4d423435383838373537" TargetMode="External"/><Relationship Id="rId19" Type="http://schemas.openxmlformats.org/officeDocument/2006/relationships/hyperlink" Target="https://property.mitula.in/detalle/740/2090055551362195691/13/1/land-srinagar?page=1&amp;pos=13&amp;t_sec=76&amp;t_or=2&amp;t_pvid=a9c62dd1-0b8e-464a-8bf9-cbc818f4cb6d" TargetMode="External"/><Relationship Id="rId4" Type="http://schemas.openxmlformats.org/officeDocument/2006/relationships/hyperlink" Target="https://www.makaan.com/gandhinagar/builder-project-in-dehgam-naroda-road-8881186/87260-sqft-plot?utm_source=Mitula&amp;utm_medium=Referral&amp;utm_campaign=TA2_Buy" TargetMode="External"/><Relationship Id="rId9" Type="http://schemas.openxmlformats.org/officeDocument/2006/relationships/hyperlink" Target="https://www.magicbricks.com/propertyDetails/124000-Sq-ft-Agricultural-Land-FOR-Sale-Hardoi-Road-in-Lucknow&amp;id=4d423334383537383135" TargetMode="External"/><Relationship Id="rId14" Type="http://schemas.openxmlformats.org/officeDocument/2006/relationships/hyperlink" Target="https://property.mitula.in/detalle/740/7760070575987808861/11/23/land-agricultural-pondicherry?page=1&amp;pos=11&amp;t_sec=76&amp;t_or=2&amp;t_pvid=00b21c26-3ee7-4ff7-95fc-6176adbdfb67" TargetMode="External"/><Relationship Id="rId22" Type="http://schemas.openxmlformats.org/officeDocument/2006/relationships/hyperlink" Target="https://www.clickindia.com/detail.php?id=165239634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lideshare.net/Prashant_Pacific/assessment-of-municipal-solid-waste-management-status-in-patna" TargetMode="External"/><Relationship Id="rId13" Type="http://schemas.openxmlformats.org/officeDocument/2006/relationships/hyperlink" Target="https://www.downtoearth.org.in/feature/two-years-of-swachh-bharat-mission-55883" TargetMode="External"/><Relationship Id="rId18" Type="http://schemas.openxmlformats.org/officeDocument/2006/relationships/hyperlink" Target="https://tcpd.py.gov.in/sites/default/files/FINAL%20REPORT%20-CDP-2036%20_6-11-2019.pdf" TargetMode="External"/><Relationship Id="rId3" Type="http://schemas.openxmlformats.org/officeDocument/2006/relationships/hyperlink" Target="http://digitalcollections.sit.edu/cgi/viewcontent.cgi?article=2069&amp;context=isp_collection" TargetMode="External"/><Relationship Id="rId21" Type="http://schemas.openxmlformats.org/officeDocument/2006/relationships/hyperlink" Target="https://globaljournals.org/GJRE_Volume12/3-Municipal-Solid-Waste-Management.pdf" TargetMode="External"/><Relationship Id="rId7" Type="http://schemas.openxmlformats.org/officeDocument/2006/relationships/hyperlink" Target="https://www.hindustantimes.com/lucknow/lmc-turns-village-into-garbage-landfill-ngt-takes-note-after-villagers-choke/story-NU8ZWhze939YxFY8cx3OhM.html" TargetMode="External"/><Relationship Id="rId12" Type="http://schemas.openxmlformats.org/officeDocument/2006/relationships/hyperlink" Target="http://www.iosrjournals.org/iosr-jestft/papers/vol2-issue2/B0220411.pdf" TargetMode="External"/><Relationship Id="rId17" Type="http://schemas.openxmlformats.org/officeDocument/2006/relationships/hyperlink" Target="https://swachhindia.ndtv.com/landfill-crisis-garbage-dumping-ground-at-mulund-in-mumbai-permanently-shut-26059/" TargetMode="External"/><Relationship Id="rId2" Type="http://schemas.openxmlformats.org/officeDocument/2006/relationships/hyperlink" Target="https://theanalysisweb.files.wordpress.com/2017/04/solid-waste-management.pdf" TargetMode="External"/><Relationship Id="rId16" Type="http://schemas.openxmlformats.org/officeDocument/2006/relationships/hyperlink" Target="https://www.ijert.org/research/muncipal-solid-waste-management-using-landfills-in-hyderabad-city-IJERTV4IS020842.pdf" TargetMode="External"/><Relationship Id="rId20" Type="http://schemas.openxmlformats.org/officeDocument/2006/relationships/hyperlink" Target="https://timesofindia.indiatimes.com/city/thiruvananthapuram/vilappilsala-still-poses-health-hazards-vasuki/articleshow/59960753.cms" TargetMode="External"/><Relationship Id="rId1" Type="http://schemas.openxmlformats.org/officeDocument/2006/relationships/hyperlink" Target="http://rasayanjournal.co.in/vol-9/issue-2/23_Vol.9,%20No.2,%20287-293,%20April-June,%202016,%20RJC-1412.pdf" TargetMode="External"/><Relationship Id="rId6" Type="http://schemas.openxmlformats.org/officeDocument/2006/relationships/hyperlink" Target="https://www.telegraphindia.com/states/west-bengal/new-town-hunt-for-dumping-ground/cid/1689629" TargetMode="External"/><Relationship Id="rId11" Type="http://schemas.openxmlformats.org/officeDocument/2006/relationships/hyperlink" Target="https://www.researchgate.net/publication/277363738_Solid_Waste_Management_in_Greater_Shillong_Planning_Area_GSPA_Using_Spatial_Multi-Criteria_Decision_Analysis_for_Site_Suitability_Assessment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https://www.sipmiunagaland.com/Semi%20Annual%20SSMR%20-%20Jul-Dec%202014.pdf" TargetMode="External"/><Relationship Id="rId15" Type="http://schemas.openxmlformats.org/officeDocument/2006/relationships/hyperlink" Target="http://www.timothybouldry.com/boragaon-india" TargetMode="External"/><Relationship Id="rId23" Type="http://schemas.openxmlformats.org/officeDocument/2006/relationships/hyperlink" Target="http://www.rroij.com/open-access/a-snapshot-of-solid-waste-disposal-site-in-jorhat-town-assam.pdf" TargetMode="External"/><Relationship Id="rId10" Type="http://schemas.openxmlformats.org/officeDocument/2006/relationships/hyperlink" Target="https://sswm.info/node/7932" TargetMode="External"/><Relationship Id="rId19" Type="http://schemas.openxmlformats.org/officeDocument/2006/relationships/hyperlink" Target="http://www.shimlamc.org/MC/admin/Pages/page/City-Development-Plan.aspx" TargetMode="External"/><Relationship Id="rId4" Type="http://schemas.openxmlformats.org/officeDocument/2006/relationships/hyperlink" Target="https://cdn.s3waas.gov.in/s358238e9ae2dd305d79c2ebc8c1883422/uploads/2019/07/2019071866.pdf" TargetMode="External"/><Relationship Id="rId9" Type="http://schemas.openxmlformats.org/officeDocument/2006/relationships/hyperlink" Target="http://www.uniindia.com/andaman-identifies-new-site-for-municipal-dumpyard/others/news/267818.html" TargetMode="External"/><Relationship Id="rId14" Type="http://schemas.openxmlformats.org/officeDocument/2006/relationships/hyperlink" Target="https://www.orissapost.com/bmcs-waste-to-energy-plant-in-limbo/" TargetMode="External"/><Relationship Id="rId22" Type="http://schemas.openxmlformats.org/officeDocument/2006/relationships/hyperlink" Target="http://www.jda.gov.in/wp-content/uploads/2016/03/Report-Master-Plan-Jalandhar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C3" sqref="C3"/>
    </sheetView>
  </sheetViews>
  <sheetFormatPr defaultColWidth="11" defaultRowHeight="15.5"/>
  <cols>
    <col min="1" max="1" width="5" customWidth="1"/>
    <col min="2" max="2" width="44.33203125" bestFit="1" customWidth="1"/>
    <col min="3" max="3" width="36.83203125" bestFit="1" customWidth="1"/>
    <col min="4" max="4" width="12.1640625" bestFit="1" customWidth="1"/>
    <col min="7" max="9" width="15" bestFit="1" customWidth="1"/>
  </cols>
  <sheetData>
    <row r="1" spans="1:9">
      <c r="A1" s="5" t="s">
        <v>12</v>
      </c>
      <c r="B1" s="6" t="s">
        <v>13</v>
      </c>
      <c r="C1" s="6" t="s">
        <v>14</v>
      </c>
      <c r="E1" s="289" t="s">
        <v>89</v>
      </c>
      <c r="F1" s="289"/>
      <c r="G1" s="289"/>
      <c r="H1" s="289"/>
      <c r="I1" s="289"/>
    </row>
    <row r="2" spans="1:9">
      <c r="A2" s="288" t="s">
        <v>15</v>
      </c>
      <c r="B2" s="288"/>
      <c r="C2" s="288"/>
      <c r="E2" s="60" t="s">
        <v>90</v>
      </c>
      <c r="F2" s="60" t="s">
        <v>91</v>
      </c>
      <c r="G2" s="60" t="s">
        <v>15</v>
      </c>
      <c r="H2" s="60" t="s">
        <v>16</v>
      </c>
      <c r="I2" s="60" t="s">
        <v>92</v>
      </c>
    </row>
    <row r="3" spans="1:9">
      <c r="A3" s="7">
        <v>1</v>
      </c>
      <c r="B3" t="s">
        <v>85</v>
      </c>
      <c r="C3" s="3">
        <f>'Cost Calculation'!X46</f>
        <v>27273281404.470039</v>
      </c>
      <c r="E3" t="s">
        <v>93</v>
      </c>
      <c r="G3" s="54"/>
      <c r="H3" s="54"/>
      <c r="I3" s="54"/>
    </row>
    <row r="4" spans="1:9">
      <c r="A4" s="288" t="s">
        <v>16</v>
      </c>
      <c r="B4" s="288"/>
      <c r="C4" s="288"/>
      <c r="E4" t="s">
        <v>94</v>
      </c>
      <c r="G4" s="54"/>
      <c r="H4" s="54"/>
      <c r="I4" s="54"/>
    </row>
    <row r="5" spans="1:9">
      <c r="A5" s="7">
        <v>1</v>
      </c>
      <c r="B5" s="1" t="s">
        <v>86</v>
      </c>
      <c r="C5" s="4">
        <f>'Cost Calculation'!Q568</f>
        <v>2533643117.4615307</v>
      </c>
      <c r="E5" t="s">
        <v>95</v>
      </c>
      <c r="G5" s="54"/>
      <c r="H5" s="54"/>
      <c r="I5" s="54"/>
    </row>
    <row r="6" spans="1:9">
      <c r="A6" s="7">
        <v>2</v>
      </c>
      <c r="B6" s="1" t="s">
        <v>87</v>
      </c>
      <c r="C6" s="4">
        <f>'Cost Calculation'!O568</f>
        <v>17798448270.084625</v>
      </c>
    </row>
    <row r="7" spans="1:9" ht="16" thickBot="1">
      <c r="A7" s="287" t="s">
        <v>17</v>
      </c>
      <c r="B7" s="287"/>
      <c r="C7" s="8">
        <f>SUM(C3:C3,C5:C6)</f>
        <v>47605372792.016197</v>
      </c>
    </row>
    <row r="8" spans="1:9" ht="16" thickTop="1"/>
  </sheetData>
  <mergeCells count="4">
    <mergeCell ref="A7:B7"/>
    <mergeCell ref="A2:C2"/>
    <mergeCell ref="A4:C4"/>
    <mergeCell ref="E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X637"/>
  <sheetViews>
    <sheetView zoomScale="85" zoomScaleNormal="85" workbookViewId="0">
      <pane xSplit="1" topLeftCell="B1" activePane="topRight" state="frozen"/>
      <selection activeCell="A200" sqref="A200"/>
      <selection pane="topRight"/>
    </sheetView>
  </sheetViews>
  <sheetFormatPr defaultColWidth="11" defaultRowHeight="15.5"/>
  <cols>
    <col min="1" max="1" width="3.1640625" style="244" customWidth="1"/>
    <col min="2" max="2" width="18.5" style="191" bestFit="1" customWidth="1"/>
    <col min="3" max="3" width="5.75" style="191" bestFit="1" customWidth="1"/>
    <col min="4" max="4" width="13.5" style="214" bestFit="1" customWidth="1"/>
    <col min="5" max="5" width="9.83203125" style="237" customWidth="1"/>
    <col min="6" max="6" width="7.6640625" style="214" customWidth="1"/>
    <col min="7" max="7" width="14" style="210" customWidth="1"/>
    <col min="8" max="8" width="15.83203125" style="210" customWidth="1"/>
    <col min="9" max="9" width="16.1640625" style="211" customWidth="1"/>
    <col min="10" max="10" width="17.4140625" style="242" bestFit="1" customWidth="1"/>
    <col min="11" max="11" width="11.08203125" style="243" bestFit="1" customWidth="1"/>
    <col min="12" max="12" width="14.75" style="213" bestFit="1" customWidth="1"/>
    <col min="13" max="13" width="6.4140625" style="214" customWidth="1"/>
    <col min="14" max="14" width="13.6640625" style="214" customWidth="1"/>
    <col min="15" max="15" width="20.4140625" style="240" bestFit="1" customWidth="1"/>
    <col min="16" max="16" width="15.33203125" style="239" customWidth="1"/>
    <col min="17" max="17" width="19.83203125" style="241" customWidth="1"/>
    <col min="18" max="18" width="7" style="214" customWidth="1"/>
    <col min="19" max="19" width="12.9140625" style="223" bestFit="1" customWidth="1"/>
    <col min="20" max="20" width="14" style="224" customWidth="1"/>
    <col min="21" max="21" width="10.1640625" style="307" customWidth="1"/>
    <col min="22" max="22" width="12.08203125" style="224" customWidth="1"/>
    <col min="23" max="23" width="16.58203125" style="225" bestFit="1" customWidth="1"/>
    <col min="24" max="24" width="21.1640625" style="229" customWidth="1"/>
    <col min="25" max="16384" width="11" style="214"/>
  </cols>
  <sheetData>
    <row r="1" spans="1:24" s="194" customFormat="1">
      <c r="A1" s="244"/>
      <c r="B1" s="191"/>
      <c r="C1" s="191"/>
      <c r="D1" s="192"/>
      <c r="E1" s="193"/>
      <c r="F1" s="192"/>
      <c r="G1" s="290" t="s">
        <v>21</v>
      </c>
      <c r="H1" s="290"/>
      <c r="I1" s="290"/>
      <c r="J1" s="290"/>
      <c r="K1" s="290"/>
      <c r="L1" s="290"/>
      <c r="N1" s="290" t="s">
        <v>33</v>
      </c>
      <c r="O1" s="290"/>
      <c r="P1" s="290"/>
      <c r="Q1" s="290"/>
      <c r="R1" s="192"/>
      <c r="S1" s="290" t="s">
        <v>46</v>
      </c>
      <c r="T1" s="290"/>
      <c r="U1" s="290"/>
      <c r="V1" s="290"/>
      <c r="W1" s="290"/>
      <c r="X1" s="290"/>
    </row>
    <row r="2" spans="1:24" s="194" customFormat="1">
      <c r="A2" s="245"/>
      <c r="B2" s="195"/>
      <c r="C2" s="195"/>
      <c r="D2" s="192"/>
      <c r="E2" s="193"/>
      <c r="F2" s="192"/>
      <c r="G2" s="293" t="s">
        <v>34</v>
      </c>
      <c r="H2" s="293"/>
      <c r="I2" s="293"/>
      <c r="J2" s="293"/>
      <c r="K2" s="294" t="s">
        <v>35</v>
      </c>
      <c r="L2" s="294"/>
      <c r="N2" s="295" t="s">
        <v>84</v>
      </c>
      <c r="O2" s="295"/>
      <c r="P2" s="294" t="s">
        <v>32</v>
      </c>
      <c r="Q2" s="294"/>
      <c r="S2" s="291" t="s">
        <v>77</v>
      </c>
      <c r="T2" s="291"/>
      <c r="U2" s="291"/>
      <c r="V2" s="291"/>
      <c r="W2" s="292" t="s">
        <v>47</v>
      </c>
      <c r="X2" s="292"/>
    </row>
    <row r="3" spans="1:24" s="203" customFormat="1" ht="84">
      <c r="A3" s="246" t="s">
        <v>227</v>
      </c>
      <c r="B3" s="196" t="s">
        <v>1</v>
      </c>
      <c r="C3" s="196" t="s">
        <v>0</v>
      </c>
      <c r="D3" s="197" t="s">
        <v>2</v>
      </c>
      <c r="E3" s="197" t="s">
        <v>90</v>
      </c>
      <c r="F3" s="197"/>
      <c r="G3" s="198" t="s">
        <v>5</v>
      </c>
      <c r="H3" s="198" t="s">
        <v>24</v>
      </c>
      <c r="I3" s="199" t="s">
        <v>22</v>
      </c>
      <c r="J3" s="200" t="s">
        <v>3</v>
      </c>
      <c r="K3" s="201" t="s">
        <v>19</v>
      </c>
      <c r="L3" s="202" t="s">
        <v>20</v>
      </c>
      <c r="N3" s="203" t="s">
        <v>157</v>
      </c>
      <c r="O3" s="204" t="s">
        <v>75</v>
      </c>
      <c r="P3" s="205" t="s">
        <v>296</v>
      </c>
      <c r="Q3" s="206" t="s">
        <v>61</v>
      </c>
      <c r="S3" s="200" t="s">
        <v>82</v>
      </c>
      <c r="T3" s="198" t="s">
        <v>78</v>
      </c>
      <c r="U3" s="305" t="s">
        <v>79</v>
      </c>
      <c r="V3" s="198" t="s">
        <v>80</v>
      </c>
      <c r="W3" s="201" t="s">
        <v>83</v>
      </c>
      <c r="X3" s="207" t="s">
        <v>76</v>
      </c>
    </row>
    <row r="4" spans="1:24">
      <c r="A4" s="222">
        <v>1</v>
      </c>
      <c r="B4" s="191" t="s">
        <v>109</v>
      </c>
      <c r="C4" s="191">
        <v>2019</v>
      </c>
      <c r="D4" s="208">
        <f>Population!D2</f>
        <v>482442.94573535857</v>
      </c>
      <c r="E4" s="209" t="str">
        <f>IF(D4&lt;100000,"Small",IF(D4&lt;1000000,"Medium","Large"))</f>
        <v>Medium</v>
      </c>
      <c r="F4" s="208"/>
      <c r="G4" s="210">
        <f>Variables!$C$3*POWER(SUM(1,Variables!$C$2/100),C4-2017)</f>
        <v>7477.1093832531187</v>
      </c>
      <c r="H4" s="210">
        <f>1647.41-417.73*LN(G4)+29.43*(LN(G4))^2</f>
        <v>262.85480252960178</v>
      </c>
      <c r="I4" s="211">
        <f>VLOOKUP(B4,'Waste per capita'!$B$2:$F$48,4,FALSE)</f>
        <v>202.65853046450243</v>
      </c>
      <c r="J4" s="210">
        <f>I4*D4/1000</f>
        <v>97771.178415693459</v>
      </c>
      <c r="K4" s="212">
        <f>Variables!$C$13</f>
        <v>1</v>
      </c>
      <c r="L4" s="213">
        <f t="shared" ref="L4:L67" si="0">J4*K4</f>
        <v>97771.178415693459</v>
      </c>
      <c r="N4" s="215">
        <f>IF(D4&gt;1500000,Budgeting!$B$13,(IF(D4&gt;500000,Budgeting!$C$13,Budgeting!$D$13)))</f>
        <v>26.27408568212417</v>
      </c>
      <c r="O4" s="216">
        <f t="shared" ref="O4:O67" si="1">N4*L4</f>
        <v>2568848.3189361794</v>
      </c>
      <c r="P4" s="217">
        <f>IF(D4&gt;1500000,Budgeting!$B$15,(IF(D4&gt;500000,Budgeting!$C$15,Budgeting!$D$15)))</f>
        <v>7.6279603593263765</v>
      </c>
      <c r="Q4" s="218">
        <f t="shared" ref="Q4:Q67" si="2">P4*J4</f>
        <v>745794.67323953635</v>
      </c>
      <c r="S4" s="219">
        <f>SUM(J4,J130,J46,J88,J172,J214,J256,J298,J340,J382,J424,J466)</f>
        <v>1588232.9450714032</v>
      </c>
      <c r="T4" s="210">
        <f>S4/Variables!$C$8</f>
        <v>9.926455906696269</v>
      </c>
      <c r="U4" s="306">
        <f>'Existing landfills'!C2</f>
        <v>6.9292328125000004</v>
      </c>
      <c r="V4" s="210">
        <f>IF(T4-U4&gt;0,T4-U4,0)</f>
        <v>2.9972230941962685</v>
      </c>
      <c r="W4" s="220">
        <f>VLOOKUP(B4,'Land cost'!$B$2:$F$63,4,FALSE)</f>
        <v>23405297.760473449</v>
      </c>
      <c r="X4" s="221">
        <f>V4*(W4+Variables!$E$10)</f>
        <v>70816479.936743945</v>
      </c>
    </row>
    <row r="5" spans="1:24">
      <c r="A5" s="222">
        <v>2</v>
      </c>
      <c r="B5" s="191" t="s">
        <v>110</v>
      </c>
      <c r="C5" s="191">
        <v>2019</v>
      </c>
      <c r="D5" s="208">
        <f>Population!D3</f>
        <v>353887.65953811951</v>
      </c>
      <c r="E5" s="209" t="str">
        <f t="shared" ref="E5:E68" si="3">IF(D5&lt;100000,"Small",IF(D5&lt;1000000,"Medium","Large"))</f>
        <v>Medium</v>
      </c>
      <c r="F5" s="208"/>
      <c r="G5" s="210">
        <f>Variables!$C$3*POWER(SUM(1,Variables!$C$2/100),C5-2017)</f>
        <v>7477.1093832531187</v>
      </c>
      <c r="H5" s="210">
        <f t="shared" ref="H5:H59" si="4">1647.41-417.73*LN(G5)+29.43*(LN(G5))^2</f>
        <v>262.85480252960178</v>
      </c>
      <c r="I5" s="211">
        <f>VLOOKUP(B5,'Waste per capita'!$B$2:$F$48,4,FALSE)</f>
        <v>126.66158154031402</v>
      </c>
      <c r="J5" s="210">
        <f t="shared" ref="J5:J67" si="5">I5*D5/1000</f>
        <v>44823.970644698413</v>
      </c>
      <c r="K5" s="212">
        <f>Variables!$C$13</f>
        <v>1</v>
      </c>
      <c r="L5" s="213">
        <f t="shared" si="0"/>
        <v>44823.970644698413</v>
      </c>
      <c r="N5" s="215">
        <f>IF(D5&gt;1500000,Budgeting!$B$13,(IF(D5&gt;500000,Budgeting!$C$13,Budgeting!$D$13)))</f>
        <v>26.27408568212417</v>
      </c>
      <c r="O5" s="216">
        <f t="shared" si="1"/>
        <v>1177708.8453318246</v>
      </c>
      <c r="P5" s="217">
        <f>IF(D5&gt;1500000,Budgeting!$B$15,(IF(D5&gt;500000,Budgeting!$C$15,Budgeting!$D$15)))</f>
        <v>7.6279603593263765</v>
      </c>
      <c r="Q5" s="218">
        <f t="shared" si="2"/>
        <v>341915.47122536867</v>
      </c>
      <c r="S5" s="219">
        <f t="shared" ref="S5:S45" si="6">SUM(J5,J131,J47,J89,J173,J215,J257,J299,J341,J383,J425,J467)</f>
        <v>728137.96520014608</v>
      </c>
      <c r="T5" s="210">
        <f>S5/Variables!$C$8</f>
        <v>4.5508622825009128</v>
      </c>
      <c r="U5" s="309">
        <f>'Existing landfills'!C3</f>
        <v>0</v>
      </c>
      <c r="V5" s="210">
        <f t="shared" ref="V5:V45" si="7">IF(T5-U5&gt;0,T5-U5,0)</f>
        <v>4.5508622825009128</v>
      </c>
      <c r="W5" s="220">
        <f>VLOOKUP(B5,'Land cost'!$B$2:$F$63,4,FALSE)</f>
        <v>23405297.760473449</v>
      </c>
      <c r="X5" s="221">
        <f>V5*(W5+Variables!$E$10)</f>
        <v>107524877.99378569</v>
      </c>
    </row>
    <row r="6" spans="1:24">
      <c r="A6" s="222">
        <v>3</v>
      </c>
      <c r="B6" s="191" t="s">
        <v>111</v>
      </c>
      <c r="C6" s="191">
        <v>2019</v>
      </c>
      <c r="D6" s="208">
        <f>Population!D4</f>
        <v>10183876.760812402</v>
      </c>
      <c r="E6" s="209" t="str">
        <f t="shared" si="3"/>
        <v>Large</v>
      </c>
      <c r="F6" s="208"/>
      <c r="G6" s="210">
        <f>Variables!$C$3*POWER(SUM(1,Variables!$C$2/100),C6-2017)</f>
        <v>7477.1093832531187</v>
      </c>
      <c r="H6" s="210">
        <f t="shared" si="4"/>
        <v>262.85480252960178</v>
      </c>
      <c r="I6" s="211">
        <f>VLOOKUP(B6,'Waste per capita'!$B$2:$F$48,4,FALSE)</f>
        <v>327.53631756159069</v>
      </c>
      <c r="J6" s="210">
        <f t="shared" si="5"/>
        <v>3335589.4927375545</v>
      </c>
      <c r="K6" s="212">
        <f>Variables!$C$13</f>
        <v>1</v>
      </c>
      <c r="L6" s="213">
        <f t="shared" si="0"/>
        <v>3335589.4927375545</v>
      </c>
      <c r="N6" s="215">
        <f>IF(D6&gt;1500000,Budgeting!$B$13,(IF(D6&gt;500000,Budgeting!$C$13,Budgeting!$D$13)))</f>
        <v>25.956254000485576</v>
      </c>
      <c r="O6" s="216">
        <f t="shared" si="1"/>
        <v>86579408.114846796</v>
      </c>
      <c r="P6" s="217">
        <f>IF(D6&gt;1500000,Budgeting!$B$15,(IF(D6&gt;500000,Budgeting!$C$15,Budgeting!$D$15)))</f>
        <v>3.7080362857836535</v>
      </c>
      <c r="Q6" s="218">
        <f t="shared" si="2"/>
        <v>12368486.873549543</v>
      </c>
      <c r="S6" s="219">
        <f t="shared" si="6"/>
        <v>54184609.508086376</v>
      </c>
      <c r="T6" s="210">
        <f>S6/Variables!$C$8</f>
        <v>338.65380942553986</v>
      </c>
      <c r="U6" s="309">
        <f>'Existing landfills'!C4</f>
        <v>0</v>
      </c>
      <c r="V6" s="210">
        <f t="shared" si="7"/>
        <v>338.65380942553986</v>
      </c>
      <c r="W6" s="220">
        <f>VLOOKUP(B6,'Land cost'!$B$2:$F$63,4,FALSE)</f>
        <v>14423399.891132133</v>
      </c>
      <c r="X6" s="221">
        <f>V6*(W6+Variables!$E$10)</f>
        <v>4959742771.7809191</v>
      </c>
    </row>
    <row r="7" spans="1:24">
      <c r="A7" s="222">
        <v>4</v>
      </c>
      <c r="B7" s="191" t="s">
        <v>112</v>
      </c>
      <c r="C7" s="191">
        <v>2019</v>
      </c>
      <c r="D7" s="208">
        <f>Population!D5</f>
        <v>2168822.2842630199</v>
      </c>
      <c r="E7" s="209" t="str">
        <f t="shared" si="3"/>
        <v>Large</v>
      </c>
      <c r="F7" s="208"/>
      <c r="G7" s="210">
        <f>Variables!$C$3*POWER(SUM(1,Variables!$C$2/100),C7-2017)</f>
        <v>7477.1093832531187</v>
      </c>
      <c r="H7" s="210">
        <f t="shared" si="4"/>
        <v>262.85480252960178</v>
      </c>
      <c r="I7" s="211">
        <f>VLOOKUP(B7,'Waste per capita'!$B$2:$F$48,4,FALSE)</f>
        <v>202.65853046450243</v>
      </c>
      <c r="J7" s="210">
        <f t="shared" si="5"/>
        <v>439530.33696740895</v>
      </c>
      <c r="K7" s="212">
        <f>Variables!$C$13</f>
        <v>1</v>
      </c>
      <c r="L7" s="213">
        <f t="shared" si="0"/>
        <v>439530.33696740895</v>
      </c>
      <c r="N7" s="215">
        <f>IF(D7&gt;1500000,Budgeting!$B$13,(IF(D7&gt;500000,Budgeting!$C$13,Budgeting!$D$13)))</f>
        <v>25.956254000485576</v>
      </c>
      <c r="O7" s="216">
        <f t="shared" si="1"/>
        <v>11408561.067245081</v>
      </c>
      <c r="P7" s="217">
        <f>IF(D7&gt;1500000,Budgeting!$B$15,(IF(D7&gt;500000,Budgeting!$C$15,Budgeting!$D$15)))</f>
        <v>3.7080362857836535</v>
      </c>
      <c r="Q7" s="218">
        <f t="shared" si="2"/>
        <v>1629794.4381778687</v>
      </c>
      <c r="S7" s="219">
        <f t="shared" si="6"/>
        <v>7139901.2760382611</v>
      </c>
      <c r="T7" s="210">
        <f>S7/Variables!$C$8</f>
        <v>44.624382975239129</v>
      </c>
      <c r="U7" s="309">
        <f>'Existing landfills'!C5</f>
        <v>0</v>
      </c>
      <c r="V7" s="210">
        <f t="shared" si="7"/>
        <v>44.624382975239129</v>
      </c>
      <c r="W7" s="220">
        <f>VLOOKUP(B7,'Land cost'!$B$2:$F$63,4,FALSE)</f>
        <v>14423399.891132133</v>
      </c>
      <c r="X7" s="221">
        <f>V7*(W7+Variables!$E$10)</f>
        <v>653544873.10230243</v>
      </c>
    </row>
    <row r="8" spans="1:24">
      <c r="A8" s="222">
        <v>5</v>
      </c>
      <c r="B8" s="191" t="s">
        <v>113</v>
      </c>
      <c r="C8" s="191">
        <v>2019</v>
      </c>
      <c r="D8" s="208">
        <f>Population!D6</f>
        <v>1017223.1910658216</v>
      </c>
      <c r="E8" s="209" t="str">
        <f t="shared" si="3"/>
        <v>Large</v>
      </c>
      <c r="F8" s="208"/>
      <c r="G8" s="210">
        <f>Variables!$C$3*POWER(SUM(1,Variables!$C$2/100),C8-2017)</f>
        <v>7477.1093832531187</v>
      </c>
      <c r="H8" s="210">
        <f t="shared" si="4"/>
        <v>262.85480252960178</v>
      </c>
      <c r="I8" s="211">
        <f>VLOOKUP(B8,'Waste per capita'!$B$2:$F$48,4,FALSE)</f>
        <v>202.65853046450243</v>
      </c>
      <c r="J8" s="210">
        <f t="shared" si="5"/>
        <v>206148.95705581116</v>
      </c>
      <c r="K8" s="212">
        <f>Variables!$C$13</f>
        <v>1</v>
      </c>
      <c r="L8" s="213">
        <f t="shared" si="0"/>
        <v>206148.95705581116</v>
      </c>
      <c r="N8" s="215">
        <f>IF(D8&gt;1500000,Budgeting!$B$13,(IF(D8&gt;500000,Budgeting!$C$13,Budgeting!$D$13)))</f>
        <v>26.132827156951464</v>
      </c>
      <c r="O8" s="216">
        <f t="shared" si="1"/>
        <v>5387255.0633253232</v>
      </c>
      <c r="P8" s="217">
        <f>IF(D8&gt;1500000,Budgeting!$B$15,(IF(D8&gt;500000,Budgeting!$C$15,Budgeting!$D$15)))</f>
        <v>2.1188778775906578</v>
      </c>
      <c r="Q8" s="218">
        <f t="shared" si="2"/>
        <v>436804.46459394484</v>
      </c>
      <c r="S8" s="219">
        <f t="shared" si="6"/>
        <v>3348763.6182115972</v>
      </c>
      <c r="T8" s="210">
        <f>S8/Variables!$C$8</f>
        <v>20.929772613822482</v>
      </c>
      <c r="U8" s="309">
        <f>'Existing landfills'!C6</f>
        <v>0</v>
      </c>
      <c r="V8" s="210">
        <f t="shared" si="7"/>
        <v>20.929772613822482</v>
      </c>
      <c r="W8" s="220">
        <f>VLOOKUP(B8,'Land cost'!$B$2:$F$63,4,FALSE)</f>
        <v>14423399.891132133</v>
      </c>
      <c r="X8" s="221">
        <f>V8*(W8+Variables!$E$10)</f>
        <v>306526268.26348537</v>
      </c>
    </row>
    <row r="9" spans="1:24">
      <c r="A9" s="222">
        <v>6</v>
      </c>
      <c r="B9" s="191" t="s">
        <v>114</v>
      </c>
      <c r="C9" s="191">
        <v>2019</v>
      </c>
      <c r="D9" s="208">
        <f>Population!D7</f>
        <v>1159765.5644964206</v>
      </c>
      <c r="E9" s="209" t="str">
        <f t="shared" si="3"/>
        <v>Large</v>
      </c>
      <c r="F9" s="208"/>
      <c r="G9" s="210">
        <f>Variables!$C$3*POWER(SUM(1,Variables!$C$2/100),C9-2017)</f>
        <v>7477.1093832531187</v>
      </c>
      <c r="H9" s="210">
        <f t="shared" si="4"/>
        <v>262.85480252960178</v>
      </c>
      <c r="I9" s="211">
        <f>VLOOKUP(B9,'Waste per capita'!$B$2:$F$48,4,FALSE)</f>
        <v>202.65853046450243</v>
      </c>
      <c r="J9" s="210">
        <f t="shared" si="5"/>
        <v>235036.38498417873</v>
      </c>
      <c r="K9" s="212">
        <f>Variables!$C$13</f>
        <v>1</v>
      </c>
      <c r="L9" s="213">
        <f t="shared" si="0"/>
        <v>235036.38498417873</v>
      </c>
      <c r="N9" s="215">
        <f>IF(D9&gt;1500000,Budgeting!$B$13,(IF(D9&gt;500000,Budgeting!$C$13,Budgeting!$D$13)))</f>
        <v>26.132827156951464</v>
      </c>
      <c r="O9" s="216">
        <f t="shared" si="1"/>
        <v>6142165.224386245</v>
      </c>
      <c r="P9" s="217">
        <f>IF(D9&gt;1500000,Budgeting!$B$15,(IF(D9&gt;500000,Budgeting!$C$15,Budgeting!$D$15)))</f>
        <v>2.1188778775906578</v>
      </c>
      <c r="Q9" s="218">
        <f t="shared" si="2"/>
        <v>498013.39657185739</v>
      </c>
      <c r="S9" s="219">
        <f t="shared" si="6"/>
        <v>3818022.2021589177</v>
      </c>
      <c r="T9" s="210">
        <f>S9/Variables!$C$8</f>
        <v>23.862638763493237</v>
      </c>
      <c r="U9" s="306">
        <f>'Existing landfills'!C7</f>
        <v>19.5</v>
      </c>
      <c r="V9" s="210">
        <f t="shared" si="7"/>
        <v>4.3626387634932371</v>
      </c>
      <c r="W9" s="220">
        <f>VLOOKUP(B9,'Land cost'!$B$2:$F$63,4,FALSE)</f>
        <v>14423399.891132133</v>
      </c>
      <c r="X9" s="221">
        <f>V9*(W9+Variables!$E$10)</f>
        <v>63892876.651323482</v>
      </c>
    </row>
    <row r="10" spans="1:24">
      <c r="A10" s="222">
        <v>7</v>
      </c>
      <c r="B10" s="191" t="s">
        <v>115</v>
      </c>
      <c r="C10" s="191">
        <v>2019</v>
      </c>
      <c r="D10" s="208">
        <f>Population!D8</f>
        <v>5604401.6412904728</v>
      </c>
      <c r="E10" s="209" t="str">
        <f t="shared" si="3"/>
        <v>Large</v>
      </c>
      <c r="F10" s="208"/>
      <c r="G10" s="210">
        <f>Variables!$C$3*POWER(SUM(1,Variables!$C$2/100),C10-2017)</f>
        <v>7477.1093832531187</v>
      </c>
      <c r="H10" s="210">
        <f t="shared" si="4"/>
        <v>262.85480252960178</v>
      </c>
      <c r="I10" s="211">
        <f>VLOOKUP(B10,'Waste per capita'!$B$2:$F$48,4,FALSE)</f>
        <v>314.65403414225375</v>
      </c>
      <c r="J10" s="210">
        <f t="shared" si="5"/>
        <v>1763447.5853855154</v>
      </c>
      <c r="K10" s="212">
        <f>Variables!$C$13</f>
        <v>1</v>
      </c>
      <c r="L10" s="213">
        <f t="shared" si="0"/>
        <v>1763447.5853855154</v>
      </c>
      <c r="N10" s="215">
        <f>IF(D10&gt;1500000,Budgeting!$B$13,(IF(D10&gt;500000,Budgeting!$C$13,Budgeting!$D$13)))</f>
        <v>25.956254000485576</v>
      </c>
      <c r="O10" s="216">
        <f t="shared" si="1"/>
        <v>45772493.44280941</v>
      </c>
      <c r="P10" s="217">
        <f>IF(D10&gt;1500000,Budgeting!$B$15,(IF(D10&gt;500000,Budgeting!$C$15,Budgeting!$D$15)))</f>
        <v>3.7080362857836535</v>
      </c>
      <c r="Q10" s="218">
        <f t="shared" si="2"/>
        <v>6538927.6346870586</v>
      </c>
      <c r="S10" s="219">
        <f t="shared" si="6"/>
        <v>28646126.572269429</v>
      </c>
      <c r="T10" s="210">
        <f>S10/Variables!$C$8</f>
        <v>179.03829107668392</v>
      </c>
      <c r="U10" s="309">
        <f>'Existing landfills'!C8</f>
        <v>0</v>
      </c>
      <c r="V10" s="210">
        <f t="shared" si="7"/>
        <v>179.03829107668392</v>
      </c>
      <c r="W10" s="220">
        <f>VLOOKUP(B10,'Land cost'!$B$2:$F$63,4,FALSE)</f>
        <v>14423399.891132133</v>
      </c>
      <c r="X10" s="221">
        <f>V10*(W10+Variables!$E$10)</f>
        <v>2622099162.4038801</v>
      </c>
    </row>
    <row r="11" spans="1:24">
      <c r="A11" s="222">
        <v>8</v>
      </c>
      <c r="B11" s="191" t="s">
        <v>116</v>
      </c>
      <c r="C11" s="191">
        <v>2019</v>
      </c>
      <c r="D11" s="208">
        <f>Population!D9</f>
        <v>53408.312224510621</v>
      </c>
      <c r="E11" s="209" t="str">
        <f t="shared" si="3"/>
        <v>Small</v>
      </c>
      <c r="F11" s="208"/>
      <c r="G11" s="210">
        <f>Variables!$C$3*POWER(SUM(1,Variables!$C$2/100),C11-2017)</f>
        <v>7477.1093832531187</v>
      </c>
      <c r="H11" s="210">
        <f t="shared" si="4"/>
        <v>262.85480252960178</v>
      </c>
      <c r="I11" s="211">
        <f>VLOOKUP(B11,'Waste per capita'!$B$2:$F$48,4,FALSE)</f>
        <v>212.88034230810669</v>
      </c>
      <c r="J11" s="210">
        <f t="shared" si="5"/>
        <v>11369.579788452062</v>
      </c>
      <c r="K11" s="212">
        <f>Variables!$C$13</f>
        <v>1</v>
      </c>
      <c r="L11" s="213">
        <f t="shared" si="0"/>
        <v>11369.579788452062</v>
      </c>
      <c r="N11" s="215">
        <f>IF(D11&gt;1500000,Budgeting!$B$13,(IF(D11&gt;500000,Budgeting!$C$13,Budgeting!$D$13)))</f>
        <v>26.27408568212417</v>
      </c>
      <c r="O11" s="216">
        <f t="shared" si="1"/>
        <v>298725.31353153667</v>
      </c>
      <c r="P11" s="217">
        <f>IF(D11&gt;1500000,Budgeting!$B$15,(IF(D11&gt;500000,Budgeting!$C$15,Budgeting!$D$15)))</f>
        <v>7.6279603593263765</v>
      </c>
      <c r="Q11" s="218">
        <f t="shared" si="2"/>
        <v>86726.703928510702</v>
      </c>
      <c r="S11" s="219">
        <f t="shared" si="6"/>
        <v>184691.86404670627</v>
      </c>
      <c r="T11" s="210">
        <f>S11/Variables!$C$8</f>
        <v>1.1543241502919142</v>
      </c>
      <c r="U11" s="309">
        <f>'Existing landfills'!C9</f>
        <v>0</v>
      </c>
      <c r="V11" s="210">
        <f t="shared" si="7"/>
        <v>1.1543241502919142</v>
      </c>
      <c r="W11" s="220">
        <f>VLOOKUP(B11,'Land cost'!$B$2:$F$63,4,FALSE)</f>
        <v>4796053.4579697149</v>
      </c>
      <c r="X11" s="221">
        <f>V11*(W11+Variables!$E$10)</f>
        <v>5792536.3326018229</v>
      </c>
    </row>
    <row r="12" spans="1:24">
      <c r="A12" s="222">
        <v>9</v>
      </c>
      <c r="B12" s="191" t="s">
        <v>117</v>
      </c>
      <c r="C12" s="191">
        <v>2019</v>
      </c>
      <c r="D12" s="208">
        <f>Population!D10</f>
        <v>686965.35071162798</v>
      </c>
      <c r="E12" s="209" t="str">
        <f t="shared" si="3"/>
        <v>Medium</v>
      </c>
      <c r="F12" s="208"/>
      <c r="G12" s="210">
        <f>Variables!$C$3*POWER(SUM(1,Variables!$C$2/100),C12-2017)</f>
        <v>7477.1093832531187</v>
      </c>
      <c r="H12" s="210">
        <f t="shared" si="4"/>
        <v>262.85480252960178</v>
      </c>
      <c r="I12" s="211">
        <f>VLOOKUP(B12,'Waste per capita'!$B$2:$F$48,4,FALSE)</f>
        <v>157.32701707112687</v>
      </c>
      <c r="J12" s="210">
        <f t="shared" si="5"/>
        <v>108078.20945868095</v>
      </c>
      <c r="K12" s="212">
        <f>Variables!$C$13</f>
        <v>1</v>
      </c>
      <c r="L12" s="213">
        <f t="shared" si="0"/>
        <v>108078.20945868095</v>
      </c>
      <c r="N12" s="215">
        <f>IF(D12&gt;1500000,Budgeting!$B$13,(IF(D12&gt;500000,Budgeting!$C$13,Budgeting!$D$13)))</f>
        <v>26.132827156951464</v>
      </c>
      <c r="O12" s="216">
        <f t="shared" si="1"/>
        <v>2824389.1672165063</v>
      </c>
      <c r="P12" s="217">
        <f>IF(D12&gt;1500000,Budgeting!$B$15,(IF(D12&gt;500000,Budgeting!$C$15,Budgeting!$D$15)))</f>
        <v>2.1188778775906578</v>
      </c>
      <c r="Q12" s="218">
        <f t="shared" si="2"/>
        <v>229004.52707160846</v>
      </c>
      <c r="S12" s="219">
        <f t="shared" si="6"/>
        <v>1755664.3551618727</v>
      </c>
      <c r="T12" s="210">
        <f>S12/Variables!$C$8</f>
        <v>10.972902219761705</v>
      </c>
      <c r="U12" s="309">
        <f>'Existing landfills'!C10</f>
        <v>0</v>
      </c>
      <c r="V12" s="210">
        <f t="shared" si="7"/>
        <v>10.972902219761705</v>
      </c>
      <c r="W12" s="220">
        <f>VLOOKUP(B12,'Land cost'!$B$2:$F$63,4,FALSE)</f>
        <v>23405297.760473449</v>
      </c>
      <c r="X12" s="221">
        <f>V12*(W12+Variables!$E$10)</f>
        <v>259260750.85911611</v>
      </c>
    </row>
    <row r="13" spans="1:24">
      <c r="A13" s="222">
        <v>10</v>
      </c>
      <c r="B13" s="191" t="s">
        <v>118</v>
      </c>
      <c r="C13" s="191">
        <v>2019</v>
      </c>
      <c r="D13" s="208">
        <f>Population!D11</f>
        <v>637497.35184327734</v>
      </c>
      <c r="E13" s="209" t="str">
        <f t="shared" si="3"/>
        <v>Medium</v>
      </c>
      <c r="F13" s="208"/>
      <c r="G13" s="210">
        <f>Variables!$C$3*POWER(SUM(1,Variables!$C$2/100),C13-2017)</f>
        <v>7477.1093832531187</v>
      </c>
      <c r="H13" s="210">
        <f t="shared" si="4"/>
        <v>262.85480252960178</v>
      </c>
      <c r="I13" s="211">
        <f>VLOOKUP(B13,'Waste per capita'!$B$2:$F$48,4,FALSE)</f>
        <v>180.37794348945772</v>
      </c>
      <c r="J13" s="210">
        <f t="shared" si="5"/>
        <v>114990.46130546562</v>
      </c>
      <c r="K13" s="212">
        <f>Variables!$C$13</f>
        <v>1</v>
      </c>
      <c r="L13" s="213">
        <f t="shared" si="0"/>
        <v>114990.46130546562</v>
      </c>
      <c r="N13" s="215">
        <f>IF(D13&gt;1500000,Budgeting!$B$13,(IF(D13&gt;500000,Budgeting!$C$13,Budgeting!$D$13)))</f>
        <v>26.132827156951464</v>
      </c>
      <c r="O13" s="216">
        <f t="shared" si="1"/>
        <v>3005025.8499938487</v>
      </c>
      <c r="P13" s="217">
        <f>IF(D13&gt;1500000,Budgeting!$B$15,(IF(D13&gt;500000,Budgeting!$C$15,Budgeting!$D$15)))</f>
        <v>2.1188778775906578</v>
      </c>
      <c r="Q13" s="218">
        <f t="shared" si="2"/>
        <v>243650.74459409565</v>
      </c>
      <c r="S13" s="219">
        <f t="shared" si="6"/>
        <v>1867949.6552430256</v>
      </c>
      <c r="T13" s="210">
        <f>S13/Variables!$C$8</f>
        <v>11.674685345268911</v>
      </c>
      <c r="U13" s="309">
        <f>'Existing landfills'!C11</f>
        <v>94</v>
      </c>
      <c r="V13" s="210">
        <f t="shared" si="7"/>
        <v>0</v>
      </c>
      <c r="W13" s="220">
        <f>VLOOKUP(B13,'Land cost'!$B$2:$F$63,4,FALSE)</f>
        <v>23405297.760473449</v>
      </c>
      <c r="X13" s="221">
        <f>V13*(W13+Variables!$E$10)</f>
        <v>0</v>
      </c>
    </row>
    <row r="14" spans="1:24">
      <c r="A14" s="222">
        <v>11</v>
      </c>
      <c r="B14" s="191" t="s">
        <v>119</v>
      </c>
      <c r="C14" s="191">
        <v>2019</v>
      </c>
      <c r="D14" s="208">
        <f>Population!D12</f>
        <v>248657.05041305005</v>
      </c>
      <c r="E14" s="209" t="str">
        <f t="shared" si="3"/>
        <v>Medium</v>
      </c>
      <c r="F14" s="208"/>
      <c r="G14" s="210">
        <f>Variables!$C$3*POWER(SUM(1,Variables!$C$2/100),C14-2017)</f>
        <v>7477.1093832531187</v>
      </c>
      <c r="H14" s="210">
        <f t="shared" si="4"/>
        <v>262.85480252960178</v>
      </c>
      <c r="I14" s="211">
        <f>VLOOKUP(B14,'Waste per capita'!$B$2:$F$48,4,FALSE)</f>
        <v>111.5510770758555</v>
      </c>
      <c r="J14" s="210">
        <f t="shared" si="5"/>
        <v>27737.961796081032</v>
      </c>
      <c r="K14" s="212">
        <f>Variables!$C$13</f>
        <v>1</v>
      </c>
      <c r="L14" s="213">
        <f t="shared" si="0"/>
        <v>27737.961796081032</v>
      </c>
      <c r="N14" s="215">
        <f>IF(D14&gt;1500000,Budgeting!$B$13,(IF(D14&gt;500000,Budgeting!$C$13,Budgeting!$D$13)))</f>
        <v>26.27408568212417</v>
      </c>
      <c r="O14" s="216">
        <f t="shared" si="1"/>
        <v>728789.58487771987</v>
      </c>
      <c r="P14" s="217">
        <f>IF(D14&gt;1500000,Budgeting!$B$15,(IF(D14&gt;500000,Budgeting!$C$15,Budgeting!$D$15)))</f>
        <v>7.6279603593263765</v>
      </c>
      <c r="Q14" s="218">
        <f t="shared" si="2"/>
        <v>211584.07302901556</v>
      </c>
      <c r="S14" s="219">
        <f t="shared" si="6"/>
        <v>450586.21024656272</v>
      </c>
      <c r="T14" s="210">
        <f>S14/Variables!$C$8</f>
        <v>2.8161638140410172</v>
      </c>
      <c r="U14" s="309">
        <f>'Existing landfills'!C12</f>
        <v>0</v>
      </c>
      <c r="V14" s="210">
        <f t="shared" si="7"/>
        <v>2.8161638140410172</v>
      </c>
      <c r="W14" s="220">
        <f>VLOOKUP(B14,'Land cost'!$B$2:$F$63,4,FALSE)</f>
        <v>23405297.760473449</v>
      </c>
      <c r="X14" s="221">
        <f>V14*(W14+Variables!$E$10)</f>
        <v>66538526.485329613</v>
      </c>
    </row>
    <row r="15" spans="1:24">
      <c r="A15" s="222">
        <v>12</v>
      </c>
      <c r="B15" s="191" t="s">
        <v>120</v>
      </c>
      <c r="C15" s="191">
        <v>2019</v>
      </c>
      <c r="D15" s="208">
        <f>Population!D13</f>
        <v>120954.47359530447</v>
      </c>
      <c r="E15" s="209" t="str">
        <f t="shared" si="3"/>
        <v>Medium</v>
      </c>
      <c r="F15" s="208"/>
      <c r="G15" s="210">
        <f>Variables!$C$3*POWER(SUM(1,Variables!$C$2/100),C15-2017)</f>
        <v>7477.1093832531187</v>
      </c>
      <c r="H15" s="210">
        <f t="shared" si="4"/>
        <v>262.85480252960178</v>
      </c>
      <c r="I15" s="211">
        <f>VLOOKUP(B15,'Waste per capita'!$B$2:$F$48,4,FALSE)</f>
        <v>223.10215415171101</v>
      </c>
      <c r="J15" s="210">
        <f t="shared" si="5"/>
        <v>26985.20361339868</v>
      </c>
      <c r="K15" s="212">
        <f>Variables!$C$13</f>
        <v>1</v>
      </c>
      <c r="L15" s="213">
        <f t="shared" si="0"/>
        <v>26985.20361339868</v>
      </c>
      <c r="N15" s="215">
        <f>IF(D15&gt;1500000,Budgeting!$B$13,(IF(D15&gt;500000,Budgeting!$C$13,Budgeting!$D$13)))</f>
        <v>26.27408568212417</v>
      </c>
      <c r="O15" s="216">
        <f t="shared" si="1"/>
        <v>709011.55188800371</v>
      </c>
      <c r="P15" s="217">
        <f>IF(D15&gt;1500000,Budgeting!$B$15,(IF(D15&gt;500000,Budgeting!$C$15,Budgeting!$D$15)))</f>
        <v>7.6279603593263765</v>
      </c>
      <c r="Q15" s="218">
        <f t="shared" si="2"/>
        <v>205842.06345135602</v>
      </c>
      <c r="S15" s="219">
        <f t="shared" si="6"/>
        <v>438358.11435182922</v>
      </c>
      <c r="T15" s="210">
        <f>S15/Variables!$C$8</f>
        <v>2.7397382146989329</v>
      </c>
      <c r="U15" s="309">
        <f>'Existing landfills'!C13</f>
        <v>0</v>
      </c>
      <c r="V15" s="210">
        <f t="shared" si="7"/>
        <v>2.7397382146989329</v>
      </c>
      <c r="W15" s="220">
        <f>VLOOKUP(B15,'Land cost'!$B$2:$F$63,4,FALSE)</f>
        <v>23405297.760473449</v>
      </c>
      <c r="X15" s="221">
        <f>V15*(W15+Variables!$E$10)</f>
        <v>64732791.058780164</v>
      </c>
    </row>
    <row r="16" spans="1:24">
      <c r="A16" s="222">
        <v>13</v>
      </c>
      <c r="B16" s="191" t="s">
        <v>121</v>
      </c>
      <c r="C16" s="191">
        <v>2019</v>
      </c>
      <c r="D16" s="208">
        <f>Population!D14</f>
        <v>8119180.3023765497</v>
      </c>
      <c r="E16" s="209" t="str">
        <f t="shared" si="3"/>
        <v>Large</v>
      </c>
      <c r="F16" s="208"/>
      <c r="G16" s="210">
        <f>Variables!$C$3*POWER(SUM(1,Variables!$C$2/100),C16-2017)</f>
        <v>7477.1093832531187</v>
      </c>
      <c r="H16" s="210">
        <f t="shared" si="4"/>
        <v>262.85480252960178</v>
      </c>
      <c r="I16" s="211">
        <f>VLOOKUP(B16,'Waste per capita'!$B$2:$F$48,4,FALSE)</f>
        <v>288.87729123229514</v>
      </c>
      <c r="J16" s="210">
        <f t="shared" si="5"/>
        <v>2345446.8127771444</v>
      </c>
      <c r="K16" s="212">
        <f>Variables!$C$13</f>
        <v>1</v>
      </c>
      <c r="L16" s="213">
        <f t="shared" si="0"/>
        <v>2345446.8127771444</v>
      </c>
      <c r="N16" s="215">
        <f>IF(D16&gt;1500000,Budgeting!$B$13,(IF(D16&gt;500000,Budgeting!$C$13,Budgeting!$D$13)))</f>
        <v>25.956254000485576</v>
      </c>
      <c r="O16" s="216">
        <f t="shared" si="1"/>
        <v>60879013.217072897</v>
      </c>
      <c r="P16" s="217">
        <f>IF(D16&gt;1500000,Budgeting!$B$15,(IF(D16&gt;500000,Budgeting!$C$15,Budgeting!$D$15)))</f>
        <v>3.7080362857836535</v>
      </c>
      <c r="Q16" s="218">
        <f t="shared" si="2"/>
        <v>8697001.8881532699</v>
      </c>
      <c r="S16" s="219">
        <f t="shared" si="6"/>
        <v>38100347.764320835</v>
      </c>
      <c r="T16" s="210">
        <f>S16/Variables!$C$8</f>
        <v>238.12717352700523</v>
      </c>
      <c r="U16" s="309">
        <f>'Existing landfills'!C14</f>
        <v>13</v>
      </c>
      <c r="V16" s="210">
        <f t="shared" si="7"/>
        <v>225.12717352700523</v>
      </c>
      <c r="W16" s="220">
        <f>VLOOKUP(B16,'Land cost'!$B$2:$F$63,4,FALSE)</f>
        <v>14423399.891132133</v>
      </c>
      <c r="X16" s="221">
        <f>V16*(W16+Variables!$E$10)</f>
        <v>3297092312.4298553</v>
      </c>
    </row>
    <row r="17" spans="1:24">
      <c r="A17" s="222">
        <v>14</v>
      </c>
      <c r="B17" s="191" t="s">
        <v>122</v>
      </c>
      <c r="C17" s="191">
        <v>2019</v>
      </c>
      <c r="D17" s="208">
        <f>Population!D15</f>
        <v>323526.6224659998</v>
      </c>
      <c r="E17" s="209" t="str">
        <f t="shared" si="3"/>
        <v>Medium</v>
      </c>
      <c r="F17" s="208"/>
      <c r="G17" s="210">
        <f>Variables!$C$3*POWER(SUM(1,Variables!$C$2/100),C17-2017)</f>
        <v>7477.1093832531187</v>
      </c>
      <c r="H17" s="210">
        <f t="shared" si="4"/>
        <v>262.85480252960178</v>
      </c>
      <c r="I17" s="211">
        <f>VLOOKUP(B17,'Waste per capita'!$B$2:$F$48,4,FALSE)</f>
        <v>96.440572611396988</v>
      </c>
      <c r="J17" s="210">
        <f t="shared" si="5"/>
        <v>31201.092725652274</v>
      </c>
      <c r="K17" s="212">
        <f>Variables!$C$13</f>
        <v>1</v>
      </c>
      <c r="L17" s="213">
        <f t="shared" si="0"/>
        <v>31201.092725652274</v>
      </c>
      <c r="N17" s="215">
        <f>IF(D17&gt;1500000,Budgeting!$B$13,(IF(D17&gt;500000,Budgeting!$C$13,Budgeting!$D$13)))</f>
        <v>26.27408568212417</v>
      </c>
      <c r="O17" s="216">
        <f t="shared" si="1"/>
        <v>819780.18364968896</v>
      </c>
      <c r="P17" s="217">
        <f>IF(D17&gt;1500000,Budgeting!$B$15,(IF(D17&gt;500000,Budgeting!$C$15,Budgeting!$D$15)))</f>
        <v>7.6279603593263765</v>
      </c>
      <c r="Q17" s="218">
        <f t="shared" si="2"/>
        <v>238000.6984789421</v>
      </c>
      <c r="S17" s="219">
        <f t="shared" si="6"/>
        <v>506842.65232456825</v>
      </c>
      <c r="T17" s="210">
        <f>S17/Variables!$C$8</f>
        <v>3.1677665770285515</v>
      </c>
      <c r="U17" s="309">
        <f>'Existing landfills'!C15</f>
        <v>0</v>
      </c>
      <c r="V17" s="210">
        <f t="shared" si="7"/>
        <v>3.1677665770285515</v>
      </c>
      <c r="W17" s="220">
        <f>VLOOKUP(B17,'Land cost'!$B$2:$F$63,4,FALSE)</f>
        <v>23405297.760473449</v>
      </c>
      <c r="X17" s="221">
        <f>V17*(W17+Variables!$E$10)</f>
        <v>74845972.820914254</v>
      </c>
    </row>
    <row r="18" spans="1:24">
      <c r="A18" s="222">
        <v>15</v>
      </c>
      <c r="B18" s="191" t="s">
        <v>123</v>
      </c>
      <c r="C18" s="191">
        <v>2019</v>
      </c>
      <c r="D18" s="208">
        <f>Population!D16</f>
        <v>71750.609598395211</v>
      </c>
      <c r="E18" s="209" t="str">
        <f t="shared" si="3"/>
        <v>Small</v>
      </c>
      <c r="F18" s="208"/>
      <c r="G18" s="210">
        <f>Variables!$C$3*POWER(SUM(1,Variables!$C$2/100),C18-2017)</f>
        <v>7477.1093832531187</v>
      </c>
      <c r="H18" s="210">
        <f t="shared" si="4"/>
        <v>262.85480252960178</v>
      </c>
      <c r="I18" s="211">
        <f>VLOOKUP(B18,'Waste per capita'!$B$2:$F$48,4,FALSE)</f>
        <v>172.4375215355854</v>
      </c>
      <c r="J18" s="210">
        <f t="shared" si="5"/>
        <v>12372.497287814655</v>
      </c>
      <c r="K18" s="212">
        <f>Variables!$C$13</f>
        <v>1</v>
      </c>
      <c r="L18" s="213">
        <f t="shared" si="0"/>
        <v>12372.497287814655</v>
      </c>
      <c r="N18" s="215">
        <f>IF(D18&gt;1500000,Budgeting!$B$13,(IF(D18&gt;500000,Budgeting!$C$13,Budgeting!$D$13)))</f>
        <v>26.27408568212417</v>
      </c>
      <c r="O18" s="216">
        <f t="shared" si="1"/>
        <v>325076.05384189112</v>
      </c>
      <c r="P18" s="217">
        <f>IF(D18&gt;1500000,Budgeting!$B$15,(IF(D18&gt;500000,Budgeting!$C$15,Budgeting!$D$15)))</f>
        <v>7.6279603593263765</v>
      </c>
      <c r="Q18" s="218">
        <f t="shared" si="2"/>
        <v>94376.918857323297</v>
      </c>
      <c r="S18" s="219">
        <f t="shared" si="6"/>
        <v>200983.64491185977</v>
      </c>
      <c r="T18" s="210">
        <f>S18/Variables!$C$8</f>
        <v>1.2561477806991235</v>
      </c>
      <c r="U18" s="309">
        <f>'Existing landfills'!C16</f>
        <v>0</v>
      </c>
      <c r="V18" s="210">
        <f t="shared" si="7"/>
        <v>1.2561477806991235</v>
      </c>
      <c r="W18" s="220">
        <f>VLOOKUP(B18,'Land cost'!$B$2:$F$63,4,FALSE)</f>
        <v>4796053.4579697149</v>
      </c>
      <c r="X18" s="221">
        <f>V18*(W18+Variables!$E$10)</f>
        <v>6303499.460681594</v>
      </c>
    </row>
    <row r="19" spans="1:24">
      <c r="A19" s="222">
        <v>16</v>
      </c>
      <c r="B19" s="191" t="s">
        <v>124</v>
      </c>
      <c r="C19" s="191">
        <v>2019</v>
      </c>
      <c r="D19" s="208">
        <f>Population!D17</f>
        <v>3673962.8876462663</v>
      </c>
      <c r="E19" s="209" t="str">
        <f t="shared" si="3"/>
        <v>Large</v>
      </c>
      <c r="F19" s="208"/>
      <c r="G19" s="210">
        <f>Variables!$C$3*POWER(SUM(1,Variables!$C$2/100),C19-2017)</f>
        <v>7477.1093832531187</v>
      </c>
      <c r="H19" s="210">
        <f t="shared" si="4"/>
        <v>262.85480252960178</v>
      </c>
      <c r="I19" s="211">
        <f>VLOOKUP(B19,'Waste per capita'!$B$2:$F$48,4,FALSE)</f>
        <v>197.76983784364822</v>
      </c>
      <c r="J19" s="210">
        <f t="shared" si="5"/>
        <v>726599.04453338357</v>
      </c>
      <c r="K19" s="212">
        <f>Variables!$C$13</f>
        <v>1</v>
      </c>
      <c r="L19" s="213">
        <f t="shared" si="0"/>
        <v>726599.04453338357</v>
      </c>
      <c r="N19" s="215">
        <f>IF(D19&gt;1500000,Budgeting!$B$13,(IF(D19&gt;500000,Budgeting!$C$13,Budgeting!$D$13)))</f>
        <v>25.956254000485576</v>
      </c>
      <c r="O19" s="216">
        <f t="shared" si="1"/>
        <v>18859789.356418636</v>
      </c>
      <c r="P19" s="217">
        <f>IF(D19&gt;1500000,Budgeting!$B$15,(IF(D19&gt;500000,Budgeting!$C$15,Budgeting!$D$15)))</f>
        <v>3.7080362857836535</v>
      </c>
      <c r="Q19" s="218">
        <f t="shared" si="2"/>
        <v>2694255.6223455193</v>
      </c>
      <c r="S19" s="219">
        <f t="shared" si="6"/>
        <v>11803156.70819501</v>
      </c>
      <c r="T19" s="210">
        <f>S19/Variables!$C$8</f>
        <v>73.769729426218817</v>
      </c>
      <c r="U19" s="309">
        <f>'Existing landfills'!C17</f>
        <v>165</v>
      </c>
      <c r="V19" s="210">
        <f t="shared" si="7"/>
        <v>0</v>
      </c>
      <c r="W19" s="220">
        <f>VLOOKUP(B19,'Land cost'!$B$2:$F$63,4,FALSE)</f>
        <v>14423399.891132133</v>
      </c>
      <c r="X19" s="221">
        <f>V19*(W19+Variables!$E$10)</f>
        <v>0</v>
      </c>
    </row>
    <row r="20" spans="1:24">
      <c r="A20" s="222">
        <v>17</v>
      </c>
      <c r="B20" s="191" t="s">
        <v>125</v>
      </c>
      <c r="C20" s="191">
        <v>2019</v>
      </c>
      <c r="D20" s="208">
        <f>Population!D18</f>
        <v>13520.328350949914</v>
      </c>
      <c r="E20" s="209" t="str">
        <f t="shared" si="3"/>
        <v>Small</v>
      </c>
      <c r="F20" s="208"/>
      <c r="G20" s="210">
        <f>Variables!$C$3*POWER(SUM(1,Variables!$C$2/100),C20-2017)</f>
        <v>7477.1093832531187</v>
      </c>
      <c r="H20" s="210">
        <f t="shared" si="4"/>
        <v>262.85480252960178</v>
      </c>
      <c r="I20" s="211">
        <f>VLOOKUP(B20,'Waste per capita'!$B$2:$F$48,4,FALSE)</f>
        <v>152.20089106021874</v>
      </c>
      <c r="J20" s="210">
        <f t="shared" si="5"/>
        <v>2057.8060224413148</v>
      </c>
      <c r="K20" s="212">
        <f>Variables!$C$13</f>
        <v>1</v>
      </c>
      <c r="L20" s="213">
        <f t="shared" si="0"/>
        <v>2057.8060224413148</v>
      </c>
      <c r="N20" s="215">
        <f>IF(D20&gt;1500000,Budgeting!$B$13,(IF(D20&gt;500000,Budgeting!$C$13,Budgeting!$D$13)))</f>
        <v>26.27408568212417</v>
      </c>
      <c r="O20" s="216">
        <f t="shared" si="1"/>
        <v>54066.971750814235</v>
      </c>
      <c r="P20" s="217">
        <f>IF(D20&gt;1500000,Budgeting!$B$15,(IF(D20&gt;500000,Budgeting!$C$15,Budgeting!$D$15)))</f>
        <v>7.6279603593263765</v>
      </c>
      <c r="Q20" s="218">
        <f t="shared" si="2"/>
        <v>15696.862766365433</v>
      </c>
      <c r="S20" s="219">
        <f t="shared" si="6"/>
        <v>33427.799197754604</v>
      </c>
      <c r="T20" s="210">
        <f>S20/Variables!$C$8</f>
        <v>0.20892374498596628</v>
      </c>
      <c r="U20" s="309">
        <f>'Existing landfills'!C18</f>
        <v>0</v>
      </c>
      <c r="V20" s="210">
        <f t="shared" si="7"/>
        <v>0.20892374498596628</v>
      </c>
      <c r="W20" s="220">
        <f>VLOOKUP(B20,'Land cost'!$B$2:$F$63,4,FALSE)</f>
        <v>4796053.4579697149</v>
      </c>
      <c r="X20" s="221">
        <f>V20*(W20+Variables!$E$10)</f>
        <v>1048404.2833795027</v>
      </c>
    </row>
    <row r="21" spans="1:24">
      <c r="A21" s="222">
        <v>18</v>
      </c>
      <c r="B21" s="191" t="s">
        <v>126</v>
      </c>
      <c r="C21" s="191">
        <v>2019</v>
      </c>
      <c r="D21" s="208">
        <f>Population!D19</f>
        <v>119450.47275198292</v>
      </c>
      <c r="E21" s="209" t="str">
        <f t="shared" si="3"/>
        <v>Medium</v>
      </c>
      <c r="F21" s="208"/>
      <c r="G21" s="210">
        <f>Variables!$C$3*POWER(SUM(1,Variables!$C$2/100),C21-2017)</f>
        <v>7477.1093832531187</v>
      </c>
      <c r="H21" s="210">
        <f t="shared" si="4"/>
        <v>262.85480252960178</v>
      </c>
      <c r="I21" s="211">
        <f>VLOOKUP(B21,'Waste per capita'!$B$2:$F$48,4,FALSE)</f>
        <v>86.218760767792702</v>
      </c>
      <c r="J21" s="210">
        <f t="shared" si="5"/>
        <v>10298.871733802956</v>
      </c>
      <c r="K21" s="212">
        <f>Variables!$C$13</f>
        <v>1</v>
      </c>
      <c r="L21" s="213">
        <f t="shared" si="0"/>
        <v>10298.871733802956</v>
      </c>
      <c r="N21" s="215">
        <f>IF(D21&gt;1500000,Budgeting!$B$13,(IF(D21&gt;500000,Budgeting!$C$13,Budgeting!$D$13)))</f>
        <v>26.27408568212417</v>
      </c>
      <c r="O21" s="216">
        <f t="shared" si="1"/>
        <v>270593.43836314557</v>
      </c>
      <c r="P21" s="217">
        <f>IF(D21&gt;1500000,Budgeting!$B$15,(IF(D21&gt;500000,Budgeting!$C$15,Budgeting!$D$15)))</f>
        <v>7.6279603593263765</v>
      </c>
      <c r="Q21" s="218">
        <f t="shared" si="2"/>
        <v>78559.385331235855</v>
      </c>
      <c r="S21" s="219">
        <f t="shared" si="6"/>
        <v>167298.86710729264</v>
      </c>
      <c r="T21" s="210">
        <f>S21/Variables!$C$8</f>
        <v>1.045617919420579</v>
      </c>
      <c r="U21" s="309">
        <f>'Existing landfills'!C19</f>
        <v>0.8</v>
      </c>
      <c r="V21" s="210">
        <f t="shared" si="7"/>
        <v>0.24561791942057898</v>
      </c>
      <c r="W21" s="220">
        <f>VLOOKUP(B21,'Land cost'!$B$2:$F$63,4,FALSE)</f>
        <v>23405297.760473449</v>
      </c>
      <c r="X21" s="221">
        <f>V21*(W21+Variables!$E$10)</f>
        <v>5803303.8970082132</v>
      </c>
    </row>
    <row r="22" spans="1:24">
      <c r="A22" s="222">
        <v>19</v>
      </c>
      <c r="B22" s="191" t="s">
        <v>127</v>
      </c>
      <c r="C22" s="191">
        <v>2019</v>
      </c>
      <c r="D22" s="208">
        <f>Population!D20</f>
        <v>5423441.5141611397</v>
      </c>
      <c r="E22" s="209" t="str">
        <f t="shared" si="3"/>
        <v>Large</v>
      </c>
      <c r="F22" s="208"/>
      <c r="G22" s="210">
        <f>Variables!$C$3*POWER(SUM(1,Variables!$C$2/100),C22-2017)</f>
        <v>7477.1093832531187</v>
      </c>
      <c r="H22" s="210">
        <f t="shared" si="4"/>
        <v>262.85480252960178</v>
      </c>
      <c r="I22" s="211">
        <f>VLOOKUP(B22,'Waste per capita'!$B$2:$F$48,4,FALSE)</f>
        <v>294.21041045504523</v>
      </c>
      <c r="J22" s="210">
        <f t="shared" si="5"/>
        <v>1595632.9539602809</v>
      </c>
      <c r="K22" s="212">
        <f>Variables!$C$13</f>
        <v>1</v>
      </c>
      <c r="L22" s="213">
        <f t="shared" si="0"/>
        <v>1595632.9539602809</v>
      </c>
      <c r="N22" s="215">
        <f>IF(D22&gt;1500000,Budgeting!$B$13,(IF(D22&gt;500000,Budgeting!$C$13,Budgeting!$D$13)))</f>
        <v>25.956254000485576</v>
      </c>
      <c r="O22" s="216">
        <f t="shared" si="1"/>
        <v>41416654.244538158</v>
      </c>
      <c r="P22" s="217">
        <f>IF(D22&gt;1500000,Budgeting!$B$15,(IF(D22&gt;500000,Budgeting!$C$15,Budgeting!$D$15)))</f>
        <v>3.7080362857836535</v>
      </c>
      <c r="Q22" s="218">
        <f t="shared" si="2"/>
        <v>5916664.8920768797</v>
      </c>
      <c r="S22" s="219">
        <f t="shared" si="6"/>
        <v>25920080.60848476</v>
      </c>
      <c r="T22" s="210">
        <f>S22/Variables!$C$8</f>
        <v>162.00050380302974</v>
      </c>
      <c r="U22" s="309">
        <f>'Existing landfills'!C20</f>
        <v>0</v>
      </c>
      <c r="V22" s="210">
        <f t="shared" si="7"/>
        <v>162.00050380302974</v>
      </c>
      <c r="W22" s="220">
        <f>VLOOKUP(B22,'Land cost'!$B$2:$F$63,4,FALSE)</f>
        <v>14423399.891132133</v>
      </c>
      <c r="X22" s="221">
        <f>V22*(W22+Variables!$E$10)</f>
        <v>2372572832.193716</v>
      </c>
    </row>
    <row r="23" spans="1:24">
      <c r="A23" s="222">
        <v>20</v>
      </c>
      <c r="B23" s="191" t="s">
        <v>128</v>
      </c>
      <c r="C23" s="191">
        <v>2019</v>
      </c>
      <c r="D23" s="208">
        <f>Population!D21</f>
        <v>3397697.1096434216</v>
      </c>
      <c r="E23" s="209" t="str">
        <f t="shared" si="3"/>
        <v>Large</v>
      </c>
      <c r="F23" s="208"/>
      <c r="G23" s="210">
        <f>Variables!$C$3*POWER(SUM(1,Variables!$C$2/100),C23-2017)</f>
        <v>7477.1093832531187</v>
      </c>
      <c r="H23" s="210">
        <f t="shared" si="4"/>
        <v>262.85480252960178</v>
      </c>
      <c r="I23" s="211">
        <f>VLOOKUP(B23,'Waste per capita'!$B$2:$F$48,4,FALSE)</f>
        <v>111.5510770758555</v>
      </c>
      <c r="J23" s="210">
        <f t="shared" si="5"/>
        <v>379016.7721582448</v>
      </c>
      <c r="K23" s="212">
        <f>Variables!$C$13</f>
        <v>1</v>
      </c>
      <c r="L23" s="213">
        <f t="shared" si="0"/>
        <v>379016.7721582448</v>
      </c>
      <c r="N23" s="215">
        <f>IF(D23&gt;1500000,Budgeting!$B$13,(IF(D23&gt;500000,Budgeting!$C$13,Budgeting!$D$13)))</f>
        <v>25.956254000485576</v>
      </c>
      <c r="O23" s="216">
        <f t="shared" si="1"/>
        <v>9837855.6085835714</v>
      </c>
      <c r="P23" s="217">
        <f>IF(D23&gt;1500000,Budgeting!$B$15,(IF(D23&gt;500000,Budgeting!$C$15,Budgeting!$D$15)))</f>
        <v>3.7080362857836535</v>
      </c>
      <c r="Q23" s="218">
        <f t="shared" si="2"/>
        <v>1405407.9440833672</v>
      </c>
      <c r="S23" s="219">
        <f t="shared" si="6"/>
        <v>6156895.457646681</v>
      </c>
      <c r="T23" s="210">
        <f>S23/Variables!$C$8</f>
        <v>38.480596610291755</v>
      </c>
      <c r="U23" s="309">
        <f>'Existing landfills'!C21</f>
        <v>0</v>
      </c>
      <c r="V23" s="210">
        <f t="shared" si="7"/>
        <v>38.480596610291755</v>
      </c>
      <c r="W23" s="220">
        <f>VLOOKUP(B23,'Land cost'!$B$2:$F$63,4,FALSE)</f>
        <v>14423399.891132133</v>
      </c>
      <c r="X23" s="221">
        <f>V23*(W23+Variables!$E$10)</f>
        <v>563566260.23329902</v>
      </c>
    </row>
    <row r="24" spans="1:24" ht="14">
      <c r="A24" s="222">
        <v>21</v>
      </c>
      <c r="B24" s="222" t="s">
        <v>129</v>
      </c>
      <c r="C24" s="222">
        <v>2019</v>
      </c>
      <c r="D24" s="208">
        <f>Population!D22</f>
        <v>15006687.638268843</v>
      </c>
      <c r="E24" s="209" t="str">
        <f t="shared" si="3"/>
        <v>Large</v>
      </c>
      <c r="F24" s="208"/>
      <c r="G24" s="210">
        <f>Variables!$C$3*POWER(SUM(1,Variables!$C$2/100),C24-2017)</f>
        <v>7477.1093832531187</v>
      </c>
      <c r="H24" s="210">
        <f t="shared" si="4"/>
        <v>262.85480252960178</v>
      </c>
      <c r="I24" s="211">
        <f>VLOOKUP(B24,'Waste per capita'!$B$2:$F$48,4,FALSE)</f>
        <v>228.4352733744611</v>
      </c>
      <c r="J24" s="210">
        <f t="shared" si="5"/>
        <v>3428056.793093089</v>
      </c>
      <c r="K24" s="212">
        <f>Variables!$C$13</f>
        <v>1</v>
      </c>
      <c r="L24" s="213">
        <f t="shared" si="0"/>
        <v>3428056.793093089</v>
      </c>
      <c r="N24" s="215">
        <f>IF(D24&gt;1500000,Budgeting!$B$13,(IF(D24&gt;500000,Budgeting!$C$13,Budgeting!$D$13)))</f>
        <v>25.956254000485576</v>
      </c>
      <c r="O24" s="216">
        <f t="shared" si="1"/>
        <v>88979512.849614248</v>
      </c>
      <c r="P24" s="217">
        <f>IF(D24&gt;1500000,Budgeting!$B$15,(IF(D24&gt;500000,Budgeting!$C$15,Budgeting!$D$15)))</f>
        <v>3.7080362857836535</v>
      </c>
      <c r="Q24" s="218">
        <f t="shared" si="2"/>
        <v>12711358.97851632</v>
      </c>
      <c r="S24" s="219">
        <f t="shared" si="6"/>
        <v>55686684.200712785</v>
      </c>
      <c r="T24" s="210">
        <f>S24/Variables!$C$8</f>
        <v>348.04177625445493</v>
      </c>
      <c r="U24" s="309">
        <f>'Existing landfills'!C22</f>
        <v>0</v>
      </c>
      <c r="V24" s="210">
        <f t="shared" si="7"/>
        <v>348.04177625445493</v>
      </c>
      <c r="W24" s="220">
        <f>VLOOKUP(B24,'Land cost'!$B$2:$F$63,4,FALSE)</f>
        <v>14423399.891132133</v>
      </c>
      <c r="X24" s="221">
        <f>V24*(W24+Variables!$E$10)</f>
        <v>5097233918.5671129</v>
      </c>
    </row>
    <row r="25" spans="1:24">
      <c r="A25" s="222">
        <v>22</v>
      </c>
      <c r="B25" s="191" t="s">
        <v>130</v>
      </c>
      <c r="C25" s="191">
        <v>2019</v>
      </c>
      <c r="D25" s="208">
        <f>Population!D23</f>
        <v>13308724.96044747</v>
      </c>
      <c r="E25" s="209" t="str">
        <f t="shared" si="3"/>
        <v>Large</v>
      </c>
      <c r="F25" s="208"/>
      <c r="G25" s="210">
        <f>Variables!$C$3*POWER(SUM(1,Variables!$C$2/100),C25-2017)</f>
        <v>7477.1093832531187</v>
      </c>
      <c r="H25" s="210">
        <f t="shared" si="4"/>
        <v>262.85480252960178</v>
      </c>
      <c r="I25" s="211">
        <f>VLOOKUP(B25,'Waste per capita'!$B$2:$F$48,4,FALSE)</f>
        <v>288.87729123229514</v>
      </c>
      <c r="J25" s="210">
        <f t="shared" si="5"/>
        <v>3844588.4163296991</v>
      </c>
      <c r="K25" s="212">
        <f>Variables!$C$13</f>
        <v>1</v>
      </c>
      <c r="L25" s="213">
        <f t="shared" si="0"/>
        <v>3844588.4163296991</v>
      </c>
      <c r="N25" s="215">
        <f>IF(D25&gt;1500000,Budgeting!$B$13,(IF(D25&gt;500000,Budgeting!$C$13,Budgeting!$D$13)))</f>
        <v>25.956254000485576</v>
      </c>
      <c r="O25" s="216">
        <f t="shared" si="1"/>
        <v>99791113.46157825</v>
      </c>
      <c r="P25" s="217">
        <f>IF(D25&gt;1500000,Budgeting!$B$15,(IF(D25&gt;500000,Budgeting!$C$15,Budgeting!$D$15)))</f>
        <v>3.7080362857836535</v>
      </c>
      <c r="Q25" s="218">
        <f t="shared" si="2"/>
        <v>14255873.351654036</v>
      </c>
      <c r="S25" s="219">
        <f t="shared" si="6"/>
        <v>62452985.450307474</v>
      </c>
      <c r="T25" s="210">
        <f>S25/Variables!$C$8</f>
        <v>390.33115906442168</v>
      </c>
      <c r="U25" s="306">
        <f>'Existing landfills'!C23</f>
        <v>148.91729776028887</v>
      </c>
      <c r="V25" s="210">
        <f t="shared" si="7"/>
        <v>241.41386130413281</v>
      </c>
      <c r="W25" s="220">
        <f>VLOOKUP(B25,'Land cost'!$B$2:$F$63,4,FALSE)</f>
        <v>14423399.891132133</v>
      </c>
      <c r="X25" s="221">
        <f>V25*(W25+Variables!$E$10)</f>
        <v>3535618440.6783018</v>
      </c>
    </row>
    <row r="26" spans="1:24">
      <c r="A26" s="222">
        <v>23</v>
      </c>
      <c r="B26" s="191" t="s">
        <v>131</v>
      </c>
      <c r="C26" s="191">
        <v>2019</v>
      </c>
      <c r="D26" s="208">
        <f>Population!D24</f>
        <v>48264.315755572054</v>
      </c>
      <c r="E26" s="209" t="str">
        <f t="shared" si="3"/>
        <v>Small</v>
      </c>
      <c r="F26" s="208"/>
      <c r="G26" s="210">
        <f>Variables!$C$3*POWER(SUM(1,Variables!$C$2/100),C26-2017)</f>
        <v>7477.1093832531187</v>
      </c>
      <c r="H26" s="210">
        <f t="shared" si="4"/>
        <v>262.85480252960178</v>
      </c>
      <c r="I26" s="211">
        <f>VLOOKUP(B26,'Waste per capita'!$B$2:$F$48,4,FALSE)</f>
        <v>273.76678676783661</v>
      </c>
      <c r="J26" s="210">
        <f t="shared" si="5"/>
        <v>13213.166639951231</v>
      </c>
      <c r="K26" s="212">
        <f>Variables!$C$13</f>
        <v>1</v>
      </c>
      <c r="L26" s="213">
        <f t="shared" si="0"/>
        <v>13213.166639951231</v>
      </c>
      <c r="N26" s="215">
        <f>IF(D26&gt;1500000,Budgeting!$B$13,(IF(D26&gt;500000,Budgeting!$C$13,Budgeting!$D$13)))</f>
        <v>26.27408568212417</v>
      </c>
      <c r="O26" s="216">
        <f t="shared" si="1"/>
        <v>347163.87243026338</v>
      </c>
      <c r="P26" s="217">
        <f>IF(D26&gt;1500000,Budgeting!$B$15,(IF(D26&gt;500000,Budgeting!$C$15,Budgeting!$D$15)))</f>
        <v>7.6279603593263765</v>
      </c>
      <c r="Q26" s="218">
        <f t="shared" si="2"/>
        <v>100789.51135072167</v>
      </c>
      <c r="S26" s="219">
        <f t="shared" si="6"/>
        <v>214639.80394165448</v>
      </c>
      <c r="T26" s="210">
        <f>S26/Variables!$C$8</f>
        <v>1.3414987746353404</v>
      </c>
      <c r="U26" s="309">
        <f>'Existing landfills'!C24</f>
        <v>0</v>
      </c>
      <c r="V26" s="210">
        <f t="shared" si="7"/>
        <v>1.3414987746353404</v>
      </c>
      <c r="W26" s="220">
        <f>VLOOKUP(B26,'Land cost'!$B$2:$F$63,4,FALSE)</f>
        <v>4796053.4579697149</v>
      </c>
      <c r="X26" s="221">
        <f>V26*(W26+Variables!$E$10)</f>
        <v>6731800.9332568552</v>
      </c>
    </row>
    <row r="27" spans="1:24">
      <c r="A27" s="222">
        <v>24</v>
      </c>
      <c r="B27" s="191" t="s">
        <v>132</v>
      </c>
      <c r="C27" s="191">
        <v>2019</v>
      </c>
      <c r="D27" s="208">
        <f>Population!D25</f>
        <v>2031332.2440583021</v>
      </c>
      <c r="E27" s="209" t="str">
        <f t="shared" si="3"/>
        <v>Large</v>
      </c>
      <c r="F27" s="208"/>
      <c r="G27" s="210">
        <f>Variables!$C$3*POWER(SUM(1,Variables!$C$2/100),C27-2017)</f>
        <v>7477.1093832531187</v>
      </c>
      <c r="H27" s="210">
        <f t="shared" si="4"/>
        <v>262.85480252960178</v>
      </c>
      <c r="I27" s="211">
        <f>VLOOKUP(B27,'Waste per capita'!$B$2:$F$48,4,FALSE)</f>
        <v>187.54802600004393</v>
      </c>
      <c r="J27" s="210">
        <f t="shared" si="5"/>
        <v>380972.35252337402</v>
      </c>
      <c r="K27" s="212">
        <f>Variables!$C$13</f>
        <v>1</v>
      </c>
      <c r="L27" s="213">
        <f t="shared" si="0"/>
        <v>380972.35252337402</v>
      </c>
      <c r="N27" s="215">
        <f>IF(D27&gt;1500000,Budgeting!$B$13,(IF(D27&gt;500000,Budgeting!$C$13,Budgeting!$D$13)))</f>
        <v>25.956254000485576</v>
      </c>
      <c r="O27" s="216">
        <f t="shared" si="1"/>
        <v>9888615.1492592283</v>
      </c>
      <c r="P27" s="217">
        <f>IF(D27&gt;1500000,Budgeting!$B$15,(IF(D27&gt;500000,Budgeting!$C$15,Budgeting!$D$15)))</f>
        <v>3.7080362857836535</v>
      </c>
      <c r="Q27" s="218">
        <f t="shared" si="2"/>
        <v>1412659.3070370324</v>
      </c>
      <c r="S27" s="219">
        <f t="shared" si="6"/>
        <v>6188662.6636163937</v>
      </c>
      <c r="T27" s="210">
        <f>S27/Variables!$C$8</f>
        <v>38.679141647602464</v>
      </c>
      <c r="U27" s="309">
        <f>'Existing landfills'!C25</f>
        <v>0</v>
      </c>
      <c r="V27" s="210">
        <f t="shared" si="7"/>
        <v>38.679141647602464</v>
      </c>
      <c r="W27" s="220">
        <f>VLOOKUP(B27,'Land cost'!$B$2:$F$63,4,FALSE)</f>
        <v>14423399.891132133</v>
      </c>
      <c r="X27" s="221">
        <f>V27*(W27+Variables!$E$10)</f>
        <v>566474044.77983987</v>
      </c>
    </row>
    <row r="28" spans="1:24">
      <c r="A28" s="222">
        <v>25</v>
      </c>
      <c r="B28" s="191" t="s">
        <v>133</v>
      </c>
      <c r="C28" s="191">
        <v>2019</v>
      </c>
      <c r="D28" s="208">
        <f>Population!D26</f>
        <v>291601.27978538926</v>
      </c>
      <c r="E28" s="209" t="str">
        <f t="shared" si="3"/>
        <v>Medium</v>
      </c>
      <c r="F28" s="208"/>
      <c r="G28" s="210">
        <f>Variables!$C$3*POWER(SUM(1,Variables!$C$2/100),C28-2017)</f>
        <v>7477.1093832531187</v>
      </c>
      <c r="H28" s="210">
        <f t="shared" si="4"/>
        <v>262.85480252960178</v>
      </c>
      <c r="I28" s="211">
        <f>VLOOKUP(B28,'Waste per capita'!$B$2:$F$48,4,FALSE)</f>
        <v>299.09910307589945</v>
      </c>
      <c r="J28" s="210">
        <f t="shared" si="5"/>
        <v>87217.681239594342</v>
      </c>
      <c r="K28" s="212">
        <f>Variables!$C$13</f>
        <v>1</v>
      </c>
      <c r="L28" s="213">
        <f t="shared" si="0"/>
        <v>87217.681239594342</v>
      </c>
      <c r="N28" s="215">
        <f>IF(D28&gt;1500000,Budgeting!$B$13,(IF(D28&gt;500000,Budgeting!$C$13,Budgeting!$D$13)))</f>
        <v>26.27408568212417</v>
      </c>
      <c r="O28" s="216">
        <f t="shared" si="1"/>
        <v>2291564.8298852956</v>
      </c>
      <c r="P28" s="217">
        <f>IF(D28&gt;1500000,Budgeting!$B$15,(IF(D28&gt;500000,Budgeting!$C$15,Budgeting!$D$15)))</f>
        <v>7.6279603593263765</v>
      </c>
      <c r="Q28" s="218">
        <f t="shared" si="2"/>
        <v>665293.01512798946</v>
      </c>
      <c r="S28" s="219">
        <f t="shared" si="6"/>
        <v>1416797.8435168921</v>
      </c>
      <c r="T28" s="210">
        <f>S28/Variables!$C$8</f>
        <v>8.8549865219805746</v>
      </c>
      <c r="U28" s="306">
        <f>'Existing landfills'!C26</f>
        <v>23.88</v>
      </c>
      <c r="V28" s="210">
        <f t="shared" si="7"/>
        <v>0</v>
      </c>
      <c r="W28" s="220">
        <f>VLOOKUP(B28,'Land cost'!$B$2:$F$63,4,FALSE)</f>
        <v>5899096.0778966919</v>
      </c>
      <c r="X28" s="221">
        <f>V28*(W28+Variables!$E$10)</f>
        <v>0</v>
      </c>
    </row>
    <row r="29" spans="1:24">
      <c r="A29" s="222">
        <v>26</v>
      </c>
      <c r="B29" s="191" t="s">
        <v>134</v>
      </c>
      <c r="C29" s="191">
        <v>2019</v>
      </c>
      <c r="D29" s="208">
        <f>Population!D27</f>
        <v>120833.86406496594</v>
      </c>
      <c r="E29" s="209" t="str">
        <f t="shared" si="3"/>
        <v>Medium</v>
      </c>
      <c r="F29" s="208"/>
      <c r="G29" s="210">
        <f>Variables!$C$3*POWER(SUM(1,Variables!$C$2/100),C29-2017)</f>
        <v>7477.1093832531187</v>
      </c>
      <c r="H29" s="210">
        <f t="shared" si="4"/>
        <v>262.85480252960178</v>
      </c>
      <c r="I29" s="211">
        <f>VLOOKUP(B29,'Waste per capita'!$B$2:$F$48,4,FALSE)</f>
        <v>385.31786384369212</v>
      </c>
      <c r="J29" s="210">
        <f t="shared" si="5"/>
        <v>46559.446381491747</v>
      </c>
      <c r="K29" s="212">
        <f>Variables!$C$13</f>
        <v>1</v>
      </c>
      <c r="L29" s="213">
        <f t="shared" si="0"/>
        <v>46559.446381491747</v>
      </c>
      <c r="N29" s="215">
        <f>IF(D29&gt;1500000,Budgeting!$B$13,(IF(D29&gt;500000,Budgeting!$C$13,Budgeting!$D$13)))</f>
        <v>26.27408568212417</v>
      </c>
      <c r="O29" s="216">
        <f t="shared" si="1"/>
        <v>1223306.8835395803</v>
      </c>
      <c r="P29" s="217">
        <f>IF(D29&gt;1500000,Budgeting!$B$15,(IF(D29&gt;500000,Budgeting!$C$15,Budgeting!$D$15)))</f>
        <v>7.6279603593263765</v>
      </c>
      <c r="Q29" s="218">
        <f t="shared" si="2"/>
        <v>355153.61135020095</v>
      </c>
      <c r="S29" s="219">
        <f t="shared" si="6"/>
        <v>756329.7062143347</v>
      </c>
      <c r="T29" s="210">
        <f>S29/Variables!$C$8</f>
        <v>4.727060663839592</v>
      </c>
      <c r="U29" s="309">
        <f>'Existing landfills'!C27</f>
        <v>0</v>
      </c>
      <c r="V29" s="210">
        <f t="shared" si="7"/>
        <v>4.727060663839592</v>
      </c>
      <c r="W29" s="220">
        <f>VLOOKUP(B29,'Land cost'!$B$2:$F$63,4,FALSE)</f>
        <v>23405297.760473449</v>
      </c>
      <c r="X29" s="221">
        <f>V29*(W29+Variables!$E$10)</f>
        <v>111687981.22127612</v>
      </c>
    </row>
    <row r="30" spans="1:24">
      <c r="A30" s="222">
        <v>27</v>
      </c>
      <c r="B30" s="191" t="s">
        <v>135</v>
      </c>
      <c r="C30" s="191">
        <v>2019</v>
      </c>
      <c r="D30" s="208">
        <f>Population!D28</f>
        <v>1218678.495685582</v>
      </c>
      <c r="E30" s="209" t="str">
        <f t="shared" si="3"/>
        <v>Large</v>
      </c>
      <c r="F30" s="208"/>
      <c r="G30" s="210">
        <f>Variables!$C$3*POWER(SUM(1,Variables!$C$2/100),C30-2017)</f>
        <v>7477.1093832531187</v>
      </c>
      <c r="H30" s="210">
        <f t="shared" si="4"/>
        <v>262.85480252960178</v>
      </c>
      <c r="I30" s="211">
        <f>VLOOKUP(B30,'Waste per capita'!$B$2:$F$48,4,FALSE)</f>
        <v>151.99389784837683</v>
      </c>
      <c r="J30" s="210">
        <f t="shared" si="5"/>
        <v>185231.69478324792</v>
      </c>
      <c r="K30" s="212">
        <f>Variables!$C$13</f>
        <v>1</v>
      </c>
      <c r="L30" s="213">
        <f t="shared" si="0"/>
        <v>185231.69478324792</v>
      </c>
      <c r="N30" s="215">
        <f>IF(D30&gt;1500000,Budgeting!$B$13,(IF(D30&gt;500000,Budgeting!$C$13,Budgeting!$D$13)))</f>
        <v>26.132827156951464</v>
      </c>
      <c r="O30" s="216">
        <f t="shared" si="1"/>
        <v>4840627.8637598064</v>
      </c>
      <c r="P30" s="217">
        <f>IF(D30&gt;1500000,Budgeting!$B$15,(IF(D30&gt;500000,Budgeting!$C$15,Budgeting!$D$15)))</f>
        <v>2.1188778775906578</v>
      </c>
      <c r="Q30" s="218">
        <f t="shared" si="2"/>
        <v>392483.34030484885</v>
      </c>
      <c r="S30" s="219">
        <f t="shared" si="6"/>
        <v>3008975.4965962842</v>
      </c>
      <c r="T30" s="210">
        <f>S30/Variables!$C$8</f>
        <v>18.806096853726775</v>
      </c>
      <c r="U30" s="309">
        <f>'Existing landfills'!C28</f>
        <v>0</v>
      </c>
      <c r="V30" s="210">
        <f t="shared" si="7"/>
        <v>18.806096853726775</v>
      </c>
      <c r="W30" s="220">
        <f>VLOOKUP(B30,'Land cost'!$B$2:$F$63,4,FALSE)</f>
        <v>13860775.370946595</v>
      </c>
      <c r="X30" s="221">
        <f>V30*(W30+Variables!$E$10)</f>
        <v>264843276.40633273</v>
      </c>
    </row>
    <row r="31" spans="1:24">
      <c r="A31" s="222">
        <v>28</v>
      </c>
      <c r="B31" s="191" t="s">
        <v>136</v>
      </c>
      <c r="C31" s="191">
        <v>2019</v>
      </c>
      <c r="D31" s="208">
        <f>Population!D29</f>
        <v>1294655.2632270395</v>
      </c>
      <c r="E31" s="209" t="str">
        <f t="shared" si="3"/>
        <v>Large</v>
      </c>
      <c r="F31" s="208"/>
      <c r="G31" s="210">
        <f>Variables!$C$3*POWER(SUM(1,Variables!$C$2/100),C31-2017)</f>
        <v>7477.1093832531187</v>
      </c>
      <c r="H31" s="210">
        <f t="shared" si="4"/>
        <v>262.85480252960178</v>
      </c>
      <c r="I31" s="211">
        <f>VLOOKUP(B31,'Waste per capita'!$B$2:$F$48,4,FALSE)</f>
        <v>126.66158154031402</v>
      </c>
      <c r="J31" s="210">
        <f t="shared" si="5"/>
        <v>163983.08318982838</v>
      </c>
      <c r="K31" s="212">
        <f>Variables!$C$13</f>
        <v>1</v>
      </c>
      <c r="L31" s="213">
        <f t="shared" si="0"/>
        <v>163983.08318982838</v>
      </c>
      <c r="N31" s="215">
        <f>IF(D31&gt;1500000,Budgeting!$B$13,(IF(D31&gt;500000,Budgeting!$C$13,Budgeting!$D$13)))</f>
        <v>26.132827156951464</v>
      </c>
      <c r="O31" s="216">
        <f t="shared" si="1"/>
        <v>4285341.5696637779</v>
      </c>
      <c r="P31" s="217">
        <f>IF(D31&gt;1500000,Budgeting!$B$15,(IF(D31&gt;500000,Budgeting!$C$15,Budgeting!$D$15)))</f>
        <v>2.1188778775906578</v>
      </c>
      <c r="Q31" s="218">
        <f t="shared" si="2"/>
        <v>347460.12727003585</v>
      </c>
      <c r="S31" s="219">
        <f t="shared" si="6"/>
        <v>2663804.8080912335</v>
      </c>
      <c r="T31" s="210">
        <f>S31/Variables!$C$8</f>
        <v>16.64878005057021</v>
      </c>
      <c r="U31" s="308">
        <f>'Existing landfills'!C29</f>
        <v>0</v>
      </c>
      <c r="V31" s="210">
        <f t="shared" si="7"/>
        <v>16.64878005057021</v>
      </c>
      <c r="W31" s="220">
        <f>VLOOKUP(B31,'Land cost'!$B$2:$F$63,4,FALSE)</f>
        <v>14423399.891132133</v>
      </c>
      <c r="X31" s="221">
        <f>V31*(W31+Variables!$E$10)</f>
        <v>243829138.24254945</v>
      </c>
    </row>
    <row r="32" spans="1:24">
      <c r="A32" s="222">
        <v>29</v>
      </c>
      <c r="B32" s="191" t="s">
        <v>137</v>
      </c>
      <c r="C32" s="191">
        <v>2019</v>
      </c>
      <c r="D32" s="208">
        <f>Population!D30</f>
        <v>172747.82420858208</v>
      </c>
      <c r="E32" s="209" t="str">
        <f t="shared" si="3"/>
        <v>Medium</v>
      </c>
      <c r="F32" s="208"/>
      <c r="G32" s="210">
        <f>Variables!$C$3*POWER(SUM(1,Variables!$C$2/100),C32-2017)</f>
        <v>7477.1093832531187</v>
      </c>
      <c r="H32" s="210">
        <f t="shared" si="4"/>
        <v>262.85480252960178</v>
      </c>
      <c r="I32" s="211">
        <f>VLOOKUP(B32,'Waste per capita'!$B$2:$F$48,4,FALSE)</f>
        <v>172.4375215355854</v>
      </c>
      <c r="J32" s="210">
        <f t="shared" si="5"/>
        <v>29788.206657192892</v>
      </c>
      <c r="K32" s="212">
        <f>Variables!$C$13</f>
        <v>1</v>
      </c>
      <c r="L32" s="213">
        <f t="shared" si="0"/>
        <v>29788.206657192892</v>
      </c>
      <c r="N32" s="215">
        <f>IF(D32&gt;1500000,Budgeting!$B$13,(IF(D32&gt;500000,Budgeting!$C$13,Budgeting!$D$13)))</f>
        <v>26.27408568212417</v>
      </c>
      <c r="O32" s="216">
        <f t="shared" si="1"/>
        <v>782657.89402790763</v>
      </c>
      <c r="P32" s="217">
        <f>IF(D32&gt;1500000,Budgeting!$B$15,(IF(D32&gt;500000,Budgeting!$C$15,Budgeting!$D$15)))</f>
        <v>7.6279603593263765</v>
      </c>
      <c r="Q32" s="218">
        <f t="shared" si="2"/>
        <v>227223.25955648944</v>
      </c>
      <c r="S32" s="219">
        <f t="shared" si="6"/>
        <v>483891.18300690467</v>
      </c>
      <c r="T32" s="210">
        <f>S32/Variables!$C$8</f>
        <v>3.0243198937931544</v>
      </c>
      <c r="U32" s="309">
        <f>'Existing landfills'!C30</f>
        <v>5</v>
      </c>
      <c r="V32" s="210">
        <f t="shared" si="7"/>
        <v>0</v>
      </c>
      <c r="W32" s="220">
        <f>VLOOKUP(B32,'Land cost'!$B$2:$F$63,4,FALSE)</f>
        <v>23405297.760473449</v>
      </c>
      <c r="X32" s="221">
        <f>V32*(W32+Variables!$E$10)</f>
        <v>0</v>
      </c>
    </row>
    <row r="33" spans="1:24">
      <c r="A33" s="222">
        <v>30</v>
      </c>
      <c r="B33" s="191" t="s">
        <v>138</v>
      </c>
      <c r="C33" s="191">
        <v>2019</v>
      </c>
      <c r="D33" s="208">
        <f>Population!D31</f>
        <v>118516.95498716265</v>
      </c>
      <c r="E33" s="209" t="str">
        <f t="shared" si="3"/>
        <v>Medium</v>
      </c>
      <c r="F33" s="208"/>
      <c r="G33" s="210">
        <f>Variables!$C$3*POWER(SUM(1,Variables!$C$2/100),C33-2017)</f>
        <v>7477.1093832531187</v>
      </c>
      <c r="H33" s="210">
        <f t="shared" si="4"/>
        <v>262.85480252960178</v>
      </c>
      <c r="I33" s="211">
        <f>VLOOKUP(B33,'Waste per capita'!$B$2:$F$48,4,FALSE)</f>
        <v>162.21570969198112</v>
      </c>
      <c r="J33" s="210">
        <f t="shared" si="5"/>
        <v>19225.31196377517</v>
      </c>
      <c r="K33" s="212">
        <f>Variables!$C$13</f>
        <v>1</v>
      </c>
      <c r="L33" s="213">
        <f t="shared" si="0"/>
        <v>19225.31196377517</v>
      </c>
      <c r="N33" s="215">
        <f>IF(D33&gt;1500000,Budgeting!$B$13,(IF(D33&gt;500000,Budgeting!$C$13,Budgeting!$D$13)))</f>
        <v>26.27408568212417</v>
      </c>
      <c r="O33" s="216">
        <f t="shared" si="1"/>
        <v>505127.4938017957</v>
      </c>
      <c r="P33" s="217">
        <f>IF(D33&gt;1500000,Budgeting!$B$15,(IF(D33&gt;500000,Budgeting!$C$15,Budgeting!$D$15)))</f>
        <v>7.6279603593263765</v>
      </c>
      <c r="Q33" s="218">
        <f t="shared" si="2"/>
        <v>146649.91755536012</v>
      </c>
      <c r="S33" s="219">
        <f t="shared" si="6"/>
        <v>312303.42453601852</v>
      </c>
      <c r="T33" s="210">
        <f>S33/Variables!$C$8</f>
        <v>1.9518964033501158</v>
      </c>
      <c r="U33" s="309">
        <f>'Existing landfills'!C31</f>
        <v>0</v>
      </c>
      <c r="V33" s="210">
        <f t="shared" si="7"/>
        <v>1.9518964033501158</v>
      </c>
      <c r="W33" s="220">
        <f>VLOOKUP(B33,'Land cost'!$B$2:$F$63,4,FALSE)</f>
        <v>23405297.760473449</v>
      </c>
      <c r="X33" s="221">
        <f>V33*(W33+Variables!$E$10)</f>
        <v>46118166.096512333</v>
      </c>
    </row>
    <row r="34" spans="1:24">
      <c r="A34" s="222">
        <v>31</v>
      </c>
      <c r="B34" s="191" t="s">
        <v>139</v>
      </c>
      <c r="C34" s="191">
        <v>2019</v>
      </c>
      <c r="D34" s="208">
        <f>Population!D32</f>
        <v>204527.22935748301</v>
      </c>
      <c r="E34" s="209" t="str">
        <f t="shared" si="3"/>
        <v>Medium</v>
      </c>
      <c r="F34" s="208"/>
      <c r="G34" s="210">
        <f>Variables!$C$3*POWER(SUM(1,Variables!$C$2/100),C34-2017)</f>
        <v>7477.1093832531187</v>
      </c>
      <c r="H34" s="210">
        <f t="shared" si="4"/>
        <v>262.85480252960178</v>
      </c>
      <c r="I34" s="211">
        <f>VLOOKUP(B34,'Waste per capita'!$B$2:$F$48,4,FALSE)</f>
        <v>180.37794348945772</v>
      </c>
      <c r="J34" s="210">
        <f t="shared" si="5"/>
        <v>36892.201019099426</v>
      </c>
      <c r="K34" s="212">
        <f>Variables!$C$13</f>
        <v>1</v>
      </c>
      <c r="L34" s="213">
        <f t="shared" si="0"/>
        <v>36892.201019099426</v>
      </c>
      <c r="N34" s="215">
        <f>IF(D34&gt;1500000,Budgeting!$B$13,(IF(D34&gt;500000,Budgeting!$C$13,Budgeting!$D$13)))</f>
        <v>26.27408568212417</v>
      </c>
      <c r="O34" s="216">
        <f t="shared" si="1"/>
        <v>969308.85057796689</v>
      </c>
      <c r="P34" s="217">
        <f>IF(D34&gt;1500000,Budgeting!$B$15,(IF(D34&gt;500000,Budgeting!$C$15,Budgeting!$D$15)))</f>
        <v>7.6279603593263765</v>
      </c>
      <c r="Q34" s="218">
        <f t="shared" si="2"/>
        <v>281412.24694199057</v>
      </c>
      <c r="S34" s="219">
        <f t="shared" si="6"/>
        <v>599291.22287561127</v>
      </c>
      <c r="T34" s="210">
        <f>S34/Variables!$C$8</f>
        <v>3.7455701429725705</v>
      </c>
      <c r="U34" s="309">
        <f>'Existing landfills'!C32</f>
        <v>0</v>
      </c>
      <c r="V34" s="210">
        <f t="shared" si="7"/>
        <v>3.7455701429725705</v>
      </c>
      <c r="W34" s="220">
        <f>VLOOKUP(B34,'Land cost'!$B$2:$F$63,4,FALSE)</f>
        <v>23405297.760473449</v>
      </c>
      <c r="X34" s="221">
        <f>V34*(W34+Variables!$E$10)</f>
        <v>88497947.78209953</v>
      </c>
    </row>
    <row r="35" spans="1:24">
      <c r="A35" s="222">
        <v>32</v>
      </c>
      <c r="B35" s="191" t="s">
        <v>140</v>
      </c>
      <c r="C35" s="191">
        <v>2019</v>
      </c>
      <c r="D35" s="208">
        <f>Population!D33</f>
        <v>1423879.9323176574</v>
      </c>
      <c r="E35" s="209" t="str">
        <f t="shared" si="3"/>
        <v>Large</v>
      </c>
      <c r="F35" s="208"/>
      <c r="G35" s="210">
        <f>Variables!$C$3*POWER(SUM(1,Variables!$C$2/100),C35-2017)</f>
        <v>7477.1093832531187</v>
      </c>
      <c r="H35" s="210">
        <f t="shared" si="4"/>
        <v>262.85480252960178</v>
      </c>
      <c r="I35" s="211">
        <f>VLOOKUP(B35,'Waste per capita'!$B$2:$F$48,4,FALSE)</f>
        <v>243.54577783891961</v>
      </c>
      <c r="J35" s="210">
        <f t="shared" si="5"/>
        <v>346779.94566553202</v>
      </c>
      <c r="K35" s="212">
        <f>Variables!$C$13</f>
        <v>1</v>
      </c>
      <c r="L35" s="213">
        <f t="shared" si="0"/>
        <v>346779.94566553202</v>
      </c>
      <c r="N35" s="215">
        <f>IF(D35&gt;1500000,Budgeting!$B$13,(IF(D35&gt;500000,Budgeting!$C$13,Budgeting!$D$13)))</f>
        <v>26.132827156951464</v>
      </c>
      <c r="O35" s="216">
        <f t="shared" si="1"/>
        <v>9062340.3815743681</v>
      </c>
      <c r="P35" s="217">
        <f>IF(D35&gt;1500000,Budgeting!$B$15,(IF(D35&gt;500000,Budgeting!$C$15,Budgeting!$D$15)))</f>
        <v>2.1188778775906578</v>
      </c>
      <c r="Q35" s="218">
        <f t="shared" si="2"/>
        <v>734784.35526278615</v>
      </c>
      <c r="S35" s="219">
        <f t="shared" si="6"/>
        <v>5633227.9442759007</v>
      </c>
      <c r="T35" s="210">
        <f>S35/Variables!$C$8</f>
        <v>35.207674651724382</v>
      </c>
      <c r="U35" s="309">
        <f>'Existing landfills'!C33</f>
        <v>10</v>
      </c>
      <c r="V35" s="210">
        <f t="shared" si="7"/>
        <v>25.207674651724382</v>
      </c>
      <c r="W35" s="220">
        <f>VLOOKUP(B35,'Land cost'!$B$2:$F$63,4,FALSE)</f>
        <v>14423399.891132133</v>
      </c>
      <c r="X35" s="221">
        <f>V35*(W35+Variables!$E$10)</f>
        <v>369178136.1012097</v>
      </c>
    </row>
    <row r="36" spans="1:24">
      <c r="A36" s="222">
        <v>33</v>
      </c>
      <c r="B36" s="191" t="s">
        <v>141</v>
      </c>
      <c r="C36" s="191">
        <v>2019</v>
      </c>
      <c r="D36" s="208">
        <f>Population!D34</f>
        <v>896962.22226996359</v>
      </c>
      <c r="E36" s="209" t="str">
        <f t="shared" si="3"/>
        <v>Medium</v>
      </c>
      <c r="F36" s="208"/>
      <c r="G36" s="210">
        <f>Variables!$C$3*POWER(SUM(1,Variables!$C$2/100),C36-2017)</f>
        <v>7477.1093832531187</v>
      </c>
      <c r="H36" s="210">
        <f t="shared" si="4"/>
        <v>262.85480252960178</v>
      </c>
      <c r="I36" s="211">
        <f>VLOOKUP(B36,'Waste per capita'!$B$2:$F$48,4,FALSE)</f>
        <v>116.43976969670975</v>
      </c>
      <c r="J36" s="210">
        <f t="shared" si="5"/>
        <v>104442.07458776353</v>
      </c>
      <c r="K36" s="212">
        <f>Variables!$C$13</f>
        <v>1</v>
      </c>
      <c r="L36" s="213">
        <f t="shared" si="0"/>
        <v>104442.07458776353</v>
      </c>
      <c r="N36" s="215">
        <f>IF(D36&gt;1500000,Budgeting!$B$13,(IF(D36&gt;500000,Budgeting!$C$13,Budgeting!$D$13)))</f>
        <v>26.132827156951464</v>
      </c>
      <c r="O36" s="216">
        <f t="shared" si="1"/>
        <v>2729366.6831154572</v>
      </c>
      <c r="P36" s="217">
        <f>IF(D36&gt;1500000,Budgeting!$B$15,(IF(D36&gt;500000,Budgeting!$C$15,Budgeting!$D$15)))</f>
        <v>2.1188778775906578</v>
      </c>
      <c r="Q36" s="218">
        <f t="shared" si="2"/>
        <v>221300.00133368556</v>
      </c>
      <c r="S36" s="219">
        <f t="shared" si="6"/>
        <v>1696597.5699569287</v>
      </c>
      <c r="T36" s="210">
        <f>S36/Variables!$C$8</f>
        <v>10.603734812230805</v>
      </c>
      <c r="U36" s="309">
        <f>'Existing landfills'!C34</f>
        <v>0</v>
      </c>
      <c r="V36" s="210">
        <f t="shared" si="7"/>
        <v>10.603734812230805</v>
      </c>
      <c r="W36" s="220">
        <f>VLOOKUP(B36,'Land cost'!$B$2:$F$63,4,FALSE)</f>
        <v>23405297.760473449</v>
      </c>
      <c r="X36" s="221">
        <f>V36*(W36+Variables!$E$10)</f>
        <v>250538298.27981541</v>
      </c>
    </row>
    <row r="37" spans="1:24">
      <c r="A37" s="222">
        <v>34</v>
      </c>
      <c r="B37" s="191" t="s">
        <v>142</v>
      </c>
      <c r="C37" s="191">
        <v>2019</v>
      </c>
      <c r="D37" s="208">
        <f>Population!D35</f>
        <v>518879.08485063037</v>
      </c>
      <c r="E37" s="209" t="str">
        <f t="shared" si="3"/>
        <v>Medium</v>
      </c>
      <c r="F37" s="208"/>
      <c r="G37" s="210">
        <f>Variables!$C$3*POWER(SUM(1,Variables!$C$2/100),C37-2017)</f>
        <v>7477.1093832531187</v>
      </c>
      <c r="H37" s="210">
        <f t="shared" si="4"/>
        <v>262.85480252960178</v>
      </c>
      <c r="I37" s="211">
        <f>VLOOKUP(B37,'Waste per capita'!$B$2:$F$48,4,FALSE)</f>
        <v>208.88050289104416</v>
      </c>
      <c r="J37" s="210">
        <f t="shared" si="5"/>
        <v>108383.72418324446</v>
      </c>
      <c r="K37" s="212">
        <f>Variables!$C$13</f>
        <v>1</v>
      </c>
      <c r="L37" s="213">
        <f t="shared" si="0"/>
        <v>108383.72418324446</v>
      </c>
      <c r="N37" s="215">
        <f>IF(D37&gt;1500000,Budgeting!$B$13,(IF(D37&gt;500000,Budgeting!$C$13,Budgeting!$D$13)))</f>
        <v>26.132827156951464</v>
      </c>
      <c r="O37" s="216">
        <f t="shared" si="1"/>
        <v>2832373.1307074279</v>
      </c>
      <c r="P37" s="217">
        <f>IF(D37&gt;1500000,Budgeting!$B$15,(IF(D37&gt;500000,Budgeting!$C$15,Budgeting!$D$15)))</f>
        <v>2.1188778775906578</v>
      </c>
      <c r="Q37" s="218">
        <f t="shared" si="2"/>
        <v>229651.87546276426</v>
      </c>
      <c r="S37" s="219">
        <f t="shared" si="6"/>
        <v>1760627.2548488651</v>
      </c>
      <c r="T37" s="210">
        <f>S37/Variables!$C$8</f>
        <v>11.003920342805406</v>
      </c>
      <c r="U37" s="308">
        <f>'Existing landfills'!C35</f>
        <v>0</v>
      </c>
      <c r="V37" s="210">
        <f t="shared" si="7"/>
        <v>11.003920342805406</v>
      </c>
      <c r="W37" s="220">
        <f>VLOOKUP(B37,'Land cost'!$B$2:$F$63,4,FALSE)</f>
        <v>23405297.760473449</v>
      </c>
      <c r="X37" s="221">
        <f>V37*(W37+Variables!$E$10)</f>
        <v>259993627.33149251</v>
      </c>
    </row>
    <row r="38" spans="1:24">
      <c r="A38" s="222">
        <v>35</v>
      </c>
      <c r="B38" s="191" t="s">
        <v>143</v>
      </c>
      <c r="C38" s="191">
        <v>2019</v>
      </c>
      <c r="D38" s="208">
        <f>Population!D36</f>
        <v>221055.55939507601</v>
      </c>
      <c r="E38" s="209" t="str">
        <f t="shared" si="3"/>
        <v>Medium</v>
      </c>
      <c r="F38" s="208"/>
      <c r="G38" s="210">
        <f>Variables!$C$3*POWER(SUM(1,Variables!$C$2/100),C38-2017)</f>
        <v>7477.1093832531187</v>
      </c>
      <c r="H38" s="210">
        <f t="shared" si="4"/>
        <v>262.85480252960178</v>
      </c>
      <c r="I38" s="211">
        <f>VLOOKUP(B38,'Waste per capita'!$B$2:$F$48,4,FALSE)</f>
        <v>178.65949396212716</v>
      </c>
      <c r="J38" s="210">
        <f t="shared" si="5"/>
        <v>39493.674379039221</v>
      </c>
      <c r="K38" s="212">
        <f>Variables!$C$13</f>
        <v>1</v>
      </c>
      <c r="L38" s="213">
        <f t="shared" si="0"/>
        <v>39493.674379039221</v>
      </c>
      <c r="N38" s="215">
        <f>IF(D38&gt;1500000,Budgeting!$B$13,(IF(D38&gt;500000,Budgeting!$C$13,Budgeting!$D$13)))</f>
        <v>26.27408568212417</v>
      </c>
      <c r="O38" s="216">
        <f t="shared" si="1"/>
        <v>1037660.1845367886</v>
      </c>
      <c r="P38" s="217">
        <f>IF(D38&gt;1500000,Budgeting!$B$15,(IF(D38&gt;500000,Budgeting!$C$15,Budgeting!$D$15)))</f>
        <v>7.6279603593263765</v>
      </c>
      <c r="Q38" s="218">
        <f t="shared" si="2"/>
        <v>301256.18260745495</v>
      </c>
      <c r="S38" s="219">
        <f t="shared" si="6"/>
        <v>641550.56517805404</v>
      </c>
      <c r="T38" s="210">
        <f>S38/Variables!$C$8</f>
        <v>4.0096910323628379</v>
      </c>
      <c r="U38" s="308">
        <f>'Existing landfills'!C36</f>
        <v>0</v>
      </c>
      <c r="V38" s="210">
        <f t="shared" si="7"/>
        <v>4.0096910323628379</v>
      </c>
      <c r="W38" s="220">
        <f>VLOOKUP(B38,'Land cost'!$B$2:$F$63,4,FALSE)</f>
        <v>941783.48773317807</v>
      </c>
      <c r="X38" s="221">
        <f>V38*(W38+Variables!$E$10)</f>
        <v>4666676.3441166021</v>
      </c>
    </row>
    <row r="39" spans="1:24">
      <c r="A39" s="222">
        <v>36</v>
      </c>
      <c r="B39" s="191" t="s">
        <v>144</v>
      </c>
      <c r="C39" s="191">
        <v>2019</v>
      </c>
      <c r="D39" s="208">
        <f>Population!D37</f>
        <v>1417301.8885329936</v>
      </c>
      <c r="E39" s="209" t="str">
        <f t="shared" si="3"/>
        <v>Large</v>
      </c>
      <c r="F39" s="208"/>
      <c r="G39" s="210">
        <f>Variables!$C$3*POWER(SUM(1,Variables!$C$2/100),C39-2017)</f>
        <v>7477.1093832531187</v>
      </c>
      <c r="H39" s="210">
        <f t="shared" si="4"/>
        <v>262.85480252960178</v>
      </c>
      <c r="I39" s="211">
        <f>VLOOKUP(B39,'Waste per capita'!$B$2:$F$48,4,FALSE)</f>
        <v>253.32316308062804</v>
      </c>
      <c r="J39" s="210">
        <f t="shared" si="5"/>
        <v>359035.39744332567</v>
      </c>
      <c r="K39" s="212">
        <f>Variables!$C$13</f>
        <v>1</v>
      </c>
      <c r="L39" s="213">
        <f t="shared" si="0"/>
        <v>359035.39744332567</v>
      </c>
      <c r="N39" s="215">
        <f>IF(D39&gt;1500000,Budgeting!$B$13,(IF(D39&gt;500000,Budgeting!$C$13,Budgeting!$D$13)))</f>
        <v>26.132827156951464</v>
      </c>
      <c r="O39" s="216">
        <f t="shared" si="1"/>
        <v>9382609.9846138041</v>
      </c>
      <c r="P39" s="217">
        <f>IF(D39&gt;1500000,Budgeting!$B$15,(IF(D39&gt;500000,Budgeting!$C$15,Budgeting!$D$15)))</f>
        <v>2.1188778775906578</v>
      </c>
      <c r="Q39" s="218">
        <f t="shared" si="2"/>
        <v>760752.16091463214</v>
      </c>
      <c r="S39" s="219">
        <f t="shared" si="6"/>
        <v>5832310.2565240823</v>
      </c>
      <c r="T39" s="210">
        <f>S39/Variables!$C$8</f>
        <v>36.451939103275514</v>
      </c>
      <c r="U39" s="308">
        <f>'Existing landfills'!C37</f>
        <v>0</v>
      </c>
      <c r="V39" s="210">
        <f t="shared" si="7"/>
        <v>36.451939103275514</v>
      </c>
      <c r="W39" s="220">
        <f>VLOOKUP(B39,'Land cost'!$B$2:$F$63,4,FALSE)</f>
        <v>14423399.891132133</v>
      </c>
      <c r="X39" s="221">
        <f>V39*(W39+Variables!$E$10)</f>
        <v>533855626.16746503</v>
      </c>
    </row>
    <row r="40" spans="1:24">
      <c r="A40" s="222">
        <v>37</v>
      </c>
      <c r="B40" s="191" t="s">
        <v>145</v>
      </c>
      <c r="C40" s="191">
        <v>2019</v>
      </c>
      <c r="D40" s="208">
        <f>Population!D38</f>
        <v>236463.42689582403</v>
      </c>
      <c r="E40" s="209" t="str">
        <f t="shared" si="3"/>
        <v>Medium</v>
      </c>
      <c r="F40" s="208"/>
      <c r="G40" s="210">
        <f>Variables!$C$3*POWER(SUM(1,Variables!$C$2/100),C40-2017)</f>
        <v>7477.1093832531187</v>
      </c>
      <c r="H40" s="210">
        <f t="shared" si="4"/>
        <v>262.85480252960178</v>
      </c>
      <c r="I40" s="211">
        <f>VLOOKUP(B40,'Waste per capita'!$B$2:$F$48,4,FALSE)</f>
        <v>178.65949396212716</v>
      </c>
      <c r="J40" s="210">
        <f t="shared" si="5"/>
        <v>42246.436189758366</v>
      </c>
      <c r="K40" s="212">
        <f>Variables!$C$13</f>
        <v>1</v>
      </c>
      <c r="L40" s="213">
        <f t="shared" si="0"/>
        <v>42246.436189758366</v>
      </c>
      <c r="N40" s="215">
        <f>IF(D40&gt;1500000,Budgeting!$B$13,(IF(D40&gt;500000,Budgeting!$C$13,Budgeting!$D$13)))</f>
        <v>26.27408568212417</v>
      </c>
      <c r="O40" s="216">
        <f t="shared" si="1"/>
        <v>1109986.4842141026</v>
      </c>
      <c r="P40" s="217">
        <f>IF(D40&gt;1500000,Budgeting!$B$15,(IF(D40&gt;500000,Budgeting!$C$15,Budgeting!$D$15)))</f>
        <v>7.6279603593263765</v>
      </c>
      <c r="Q40" s="218">
        <f t="shared" si="2"/>
        <v>322254.14057828806</v>
      </c>
      <c r="S40" s="219">
        <f t="shared" si="6"/>
        <v>686267.49575579562</v>
      </c>
      <c r="T40" s="210">
        <f>S40/Variables!$C$8</f>
        <v>4.2891718484737229</v>
      </c>
      <c r="U40" s="309">
        <f>'Existing landfills'!C38</f>
        <v>0</v>
      </c>
      <c r="V40" s="210">
        <f t="shared" si="7"/>
        <v>4.2891718484737229</v>
      </c>
      <c r="W40" s="220">
        <f>VLOOKUP(B40,'Land cost'!$B$2:$F$63,4,FALSE)</f>
        <v>23405297.760473449</v>
      </c>
      <c r="X40" s="221">
        <f>V40*(W40+Variables!$E$10)</f>
        <v>101341822.94966532</v>
      </c>
    </row>
    <row r="41" spans="1:24">
      <c r="A41" s="222">
        <v>38</v>
      </c>
      <c r="B41" s="191" t="s">
        <v>146</v>
      </c>
      <c r="C41" s="191">
        <v>2019</v>
      </c>
      <c r="D41" s="208">
        <f>Population!D39</f>
        <v>1039890.5461976461</v>
      </c>
      <c r="E41" s="209" t="str">
        <f t="shared" si="3"/>
        <v>Large</v>
      </c>
      <c r="F41" s="208"/>
      <c r="G41" s="210">
        <f>Variables!$C$3*POWER(SUM(1,Variables!$C$2/100),C41-2017)</f>
        <v>7477.1093832531187</v>
      </c>
      <c r="H41" s="210">
        <f t="shared" si="4"/>
        <v>262.85480252960178</v>
      </c>
      <c r="I41" s="211">
        <f>VLOOKUP(B41,'Waste per capita'!$B$2:$F$48,4,FALSE)</f>
        <v>249.97474347730324</v>
      </c>
      <c r="J41" s="210">
        <f t="shared" si="5"/>
        <v>259946.37253022933</v>
      </c>
      <c r="K41" s="212">
        <f>Variables!$C$13</f>
        <v>1</v>
      </c>
      <c r="L41" s="213">
        <f t="shared" si="0"/>
        <v>259946.37253022933</v>
      </c>
      <c r="N41" s="215">
        <f>IF(D41&gt;1500000,Budgeting!$B$13,(IF(D41&gt;500000,Budgeting!$C$13,Budgeting!$D$13)))</f>
        <v>26.132827156951464</v>
      </c>
      <c r="O41" s="216">
        <f t="shared" si="1"/>
        <v>6793133.6234089993</v>
      </c>
      <c r="P41" s="217">
        <f>IF(D41&gt;1500000,Budgeting!$B$15,(IF(D41&gt;500000,Budgeting!$C$15,Budgeting!$D$15)))</f>
        <v>2.1188778775906578</v>
      </c>
      <c r="Q41" s="218">
        <f t="shared" si="2"/>
        <v>550794.6181142428</v>
      </c>
      <c r="S41" s="219">
        <f t="shared" si="6"/>
        <v>4222669.7017906252</v>
      </c>
      <c r="T41" s="210">
        <f>S41/Variables!$C$8</f>
        <v>26.391685636191408</v>
      </c>
      <c r="U41" s="306">
        <f>'Existing landfills'!C39</f>
        <v>12.80625</v>
      </c>
      <c r="V41" s="210">
        <f t="shared" si="7"/>
        <v>13.585435636191407</v>
      </c>
      <c r="W41" s="220">
        <f>VLOOKUP(B41,'Land cost'!$B$2:$F$63,4,FALSE)</f>
        <v>14423399.891132133</v>
      </c>
      <c r="X41" s="221">
        <f>V41*(W41+Variables!$E$10)</f>
        <v>198965032.49850553</v>
      </c>
    </row>
    <row r="42" spans="1:24">
      <c r="A42" s="222">
        <v>39</v>
      </c>
      <c r="B42" s="191" t="s">
        <v>147</v>
      </c>
      <c r="C42" s="191">
        <v>2019</v>
      </c>
      <c r="D42" s="208">
        <f>Population!D40</f>
        <v>85608.644634293029</v>
      </c>
      <c r="E42" s="209" t="str">
        <f t="shared" si="3"/>
        <v>Small</v>
      </c>
      <c r="F42" s="208"/>
      <c r="G42" s="210">
        <f>Variables!$C$3*POWER(SUM(1,Variables!$C$2/100),C42-2017)</f>
        <v>7477.1093832531187</v>
      </c>
      <c r="H42" s="210">
        <f t="shared" si="4"/>
        <v>262.85480252960178</v>
      </c>
      <c r="I42" s="211">
        <f>VLOOKUP(B42,'Waste per capita'!$B$2:$F$48,4,FALSE)</f>
        <v>202.82138541793685</v>
      </c>
      <c r="J42" s="210">
        <f t="shared" si="5"/>
        <v>17363.263908479141</v>
      </c>
      <c r="K42" s="212">
        <f>Variables!$C$13</f>
        <v>1</v>
      </c>
      <c r="L42" s="213">
        <f t="shared" si="0"/>
        <v>17363.263908479141</v>
      </c>
      <c r="N42" s="215">
        <f>IF(D42&gt;1500000,Budgeting!$B$13,(IF(D42&gt;500000,Budgeting!$C$13,Budgeting!$D$13)))</f>
        <v>26.27408568212417</v>
      </c>
      <c r="O42" s="216">
        <f t="shared" si="1"/>
        <v>456203.88365271513</v>
      </c>
      <c r="P42" s="217">
        <f>IF(D42&gt;1500000,Budgeting!$B$15,(IF(D42&gt;500000,Budgeting!$C$15,Budgeting!$D$15)))</f>
        <v>7.6279603593263765</v>
      </c>
      <c r="Q42" s="218">
        <f t="shared" si="2"/>
        <v>132446.28880240125</v>
      </c>
      <c r="S42" s="219">
        <f t="shared" si="6"/>
        <v>282055.5936859753</v>
      </c>
      <c r="T42" s="210">
        <f>S42/Variables!$C$8</f>
        <v>1.7628474605373456</v>
      </c>
      <c r="U42" s="308">
        <f>'Existing landfills'!C40</f>
        <v>0</v>
      </c>
      <c r="V42" s="210">
        <f t="shared" si="7"/>
        <v>1.7628474605373456</v>
      </c>
      <c r="W42" s="220">
        <f>VLOOKUP(B42,'Land cost'!$B$2:$F$63,4,FALSE)</f>
        <v>4796053.4579697149</v>
      </c>
      <c r="X42" s="221">
        <f>V42*(W42+Variables!$E$10)</f>
        <v>8846178.9189935159</v>
      </c>
    </row>
    <row r="43" spans="1:24">
      <c r="A43" s="222">
        <v>40</v>
      </c>
      <c r="B43" s="191" t="s">
        <v>148</v>
      </c>
      <c r="C43" s="191">
        <v>2019</v>
      </c>
      <c r="D43" s="208">
        <f>Population!D41</f>
        <v>152855.6943698473</v>
      </c>
      <c r="E43" s="209" t="str">
        <f t="shared" si="3"/>
        <v>Medium</v>
      </c>
      <c r="F43" s="208"/>
      <c r="G43" s="210">
        <f>Variables!$C$3*POWER(SUM(1,Variables!$C$2/100),C43-2017)</f>
        <v>7477.1093832531187</v>
      </c>
      <c r="H43" s="210">
        <f t="shared" si="4"/>
        <v>262.85480252960178</v>
      </c>
      <c r="I43" s="211">
        <f>VLOOKUP(B43,'Waste per capita'!$B$2:$F$48,4,FALSE)</f>
        <v>180.37794348945772</v>
      </c>
      <c r="J43" s="210">
        <f t="shared" si="5"/>
        <v>27571.79580108614</v>
      </c>
      <c r="K43" s="212">
        <f>Variables!$C$13</f>
        <v>1</v>
      </c>
      <c r="L43" s="213">
        <f t="shared" si="0"/>
        <v>27571.79580108614</v>
      </c>
      <c r="N43" s="215">
        <f>IF(D43&gt;1500000,Budgeting!$B$13,(IF(D43&gt;500000,Budgeting!$C$13,Budgeting!$D$13)))</f>
        <v>26.27408568212417</v>
      </c>
      <c r="O43" s="216">
        <f t="shared" si="1"/>
        <v>724423.72528776864</v>
      </c>
      <c r="P43" s="217">
        <f>IF(D43&gt;1500000,Budgeting!$B$15,(IF(D43&gt;500000,Budgeting!$C$15,Budgeting!$D$15)))</f>
        <v>7.6279603593263765</v>
      </c>
      <c r="Q43" s="218">
        <f t="shared" si="2"/>
        <v>210316.56540612652</v>
      </c>
      <c r="S43" s="219">
        <f t="shared" si="6"/>
        <v>447886.94537241553</v>
      </c>
      <c r="T43" s="210">
        <f>S43/Variables!$C$8</f>
        <v>2.7992934085775971</v>
      </c>
      <c r="U43" s="309">
        <f>'[1]Existing Fleet'!C41</f>
        <v>0</v>
      </c>
      <c r="V43" s="210">
        <f t="shared" si="7"/>
        <v>2.7992934085775971</v>
      </c>
      <c r="W43" s="220">
        <f>VLOOKUP(B43,'Land cost'!$B$2:$F$63,4,FALSE)</f>
        <v>23405297.760473449</v>
      </c>
      <c r="X43" s="221">
        <f>V43*(W43+Variables!$E$10)</f>
        <v>66139923.280803926</v>
      </c>
    </row>
    <row r="44" spans="1:24">
      <c r="A44" s="222">
        <v>41</v>
      </c>
      <c r="B44" s="191" t="s">
        <v>149</v>
      </c>
      <c r="C44" s="191">
        <v>2019</v>
      </c>
      <c r="D44" s="208">
        <f>Population!D42</f>
        <v>73571.813506507111</v>
      </c>
      <c r="E44" s="209" t="str">
        <f t="shared" si="3"/>
        <v>Small</v>
      </c>
      <c r="F44" s="208"/>
      <c r="G44" s="210">
        <f>Variables!$C$3*POWER(SUM(1,Variables!$C$2/100),C44-2017)</f>
        <v>7477.1093832531187</v>
      </c>
      <c r="H44" s="210">
        <f t="shared" si="4"/>
        <v>262.85480252960178</v>
      </c>
      <c r="I44" s="211">
        <f>VLOOKUP(B44,'Waste per capita'!$B$2:$F$48,4,FALSE)</f>
        <v>202.82138541793685</v>
      </c>
      <c r="J44" s="210">
        <f t="shared" si="5"/>
        <v>14921.937143099851</v>
      </c>
      <c r="K44" s="212">
        <f>Variables!$C$13</f>
        <v>1</v>
      </c>
      <c r="L44" s="213">
        <f t="shared" si="0"/>
        <v>14921.937143099851</v>
      </c>
      <c r="N44" s="215">
        <f>IF(D44&gt;1500000,Budgeting!$B$13,(IF(D44&gt;500000,Budgeting!$C$13,Budgeting!$D$13)))</f>
        <v>26.27408568212417</v>
      </c>
      <c r="O44" s="216">
        <f t="shared" si="1"/>
        <v>392060.25504107663</v>
      </c>
      <c r="P44" s="217">
        <f>IF(D44&gt;1500000,Budgeting!$B$15,(IF(D44&gt;500000,Budgeting!$C$15,Budgeting!$D$15)))</f>
        <v>7.6279603593263765</v>
      </c>
      <c r="Q44" s="218">
        <f t="shared" si="2"/>
        <v>113823.94501192555</v>
      </c>
      <c r="S44" s="219">
        <f t="shared" si="6"/>
        <v>242397.7347822554</v>
      </c>
      <c r="T44" s="210">
        <f>S44/Variables!$C$8</f>
        <v>1.5149858423890963</v>
      </c>
      <c r="U44" s="308">
        <f>'Existing landfills'!C42</f>
        <v>0</v>
      </c>
      <c r="V44" s="210">
        <f t="shared" si="7"/>
        <v>1.5149858423890963</v>
      </c>
      <c r="W44" s="220">
        <f>VLOOKUP(B44,'Land cost'!$B$2:$F$63,4,FALSE)</f>
        <v>4796053.4579697149</v>
      </c>
      <c r="X44" s="221">
        <f>V44*(W44+Variables!$E$10)</f>
        <v>7602379.7415976934</v>
      </c>
    </row>
    <row r="45" spans="1:24">
      <c r="A45" s="222">
        <v>42</v>
      </c>
      <c r="B45" s="191" t="s">
        <v>150</v>
      </c>
      <c r="C45" s="191">
        <v>2019</v>
      </c>
      <c r="D45" s="208">
        <f>Population!D43</f>
        <v>91108.43921773028</v>
      </c>
      <c r="E45" s="209" t="str">
        <f t="shared" si="3"/>
        <v>Small</v>
      </c>
      <c r="F45" s="208"/>
      <c r="G45" s="210">
        <f>Variables!$C$3*POWER(SUM(1,Variables!$C$2/100),C45-2017)</f>
        <v>7477.1093832531187</v>
      </c>
      <c r="H45" s="210">
        <f t="shared" si="4"/>
        <v>262.85480252960178</v>
      </c>
      <c r="I45" s="211">
        <f>VLOOKUP(B45,'Waste per capita'!$B$2:$F$48,4,FALSE)</f>
        <v>202.82138541793685</v>
      </c>
      <c r="J45" s="210">
        <f t="shared" si="5"/>
        <v>18478.739865405947</v>
      </c>
      <c r="K45" s="212">
        <f>Variables!$C$13</f>
        <v>1</v>
      </c>
      <c r="L45" s="213">
        <f t="shared" si="0"/>
        <v>18478.739865405947</v>
      </c>
      <c r="N45" s="215">
        <f>IF(D45&gt;1500000,Budgeting!$B$13,(IF(D45&gt;500000,Budgeting!$C$13,Budgeting!$D$13)))</f>
        <v>26.27408568212417</v>
      </c>
      <c r="O45" s="216">
        <f t="shared" si="1"/>
        <v>485511.99452135951</v>
      </c>
      <c r="P45" s="217">
        <f>IF(D45&gt;1500000,Budgeting!$B$15,(IF(D45&gt;500000,Budgeting!$C$15,Budgeting!$D$15)))</f>
        <v>7.6279603593263765</v>
      </c>
      <c r="Q45" s="218">
        <f t="shared" si="2"/>
        <v>140955.09518362058</v>
      </c>
      <c r="S45" s="219">
        <f t="shared" si="6"/>
        <v>300175.8177942881</v>
      </c>
      <c r="T45" s="210">
        <f>S45/Variables!$C$8</f>
        <v>1.8760988612143006</v>
      </c>
      <c r="U45" s="308">
        <f>'Existing landfills'!C43</f>
        <v>0</v>
      </c>
      <c r="V45" s="210">
        <f t="shared" si="7"/>
        <v>1.8760988612143006</v>
      </c>
      <c r="W45" s="220">
        <f>VLOOKUP(B45,'Land cost'!$B$2:$F$63,4,FALSE)</f>
        <v>4796053.4579697149</v>
      </c>
      <c r="X45" s="221">
        <f>V45*(W45+Variables!$E$10)</f>
        <v>9414487.9619719628</v>
      </c>
    </row>
    <row r="46" spans="1:24" ht="18">
      <c r="A46" s="222">
        <v>1</v>
      </c>
      <c r="B46" s="191" t="s">
        <v>109</v>
      </c>
      <c r="C46" s="191">
        <v>2020</v>
      </c>
      <c r="D46" s="208">
        <f>Population!E2</f>
        <v>493876.84354928654</v>
      </c>
      <c r="E46" s="209" t="str">
        <f t="shared" si="3"/>
        <v>Medium</v>
      </c>
      <c r="F46" s="208"/>
      <c r="G46" s="210">
        <f>Variables!$C$3*POWER(SUM(1,Variables!$C$2/100),C46-2017)</f>
        <v>8009.4795713407393</v>
      </c>
      <c r="H46" s="210">
        <f t="shared" si="4"/>
        <v>270.37253619545299</v>
      </c>
      <c r="I46" s="211">
        <f>VLOOKUP(B46,'Waste per capita'!$B$2:$F$48,4,FALSE)*(H46/Variables!$C$6)</f>
        <v>208.45463098267098</v>
      </c>
      <c r="J46" s="210">
        <f t="shared" si="5"/>
        <v>102950.91517295284</v>
      </c>
      <c r="K46" s="212">
        <f>Variables!$C$13</f>
        <v>1</v>
      </c>
      <c r="L46" s="213">
        <f t="shared" si="0"/>
        <v>102950.91517295284</v>
      </c>
      <c r="N46" s="215">
        <f>IF(D46&gt;1500000,Budgeting!$B$13,(IF(D46&gt;500000,Budgeting!$C$13,Budgeting!$D$13)))</f>
        <v>26.27408568212417</v>
      </c>
      <c r="O46" s="216">
        <f t="shared" si="1"/>
        <v>2704941.1663072603</v>
      </c>
      <c r="P46" s="217">
        <f>IF(D46&gt;1500000,Budgeting!$B$15,(IF(D46&gt;500000,Budgeting!$C$15,Budgeting!$D$15)))</f>
        <v>7.6279603593263765</v>
      </c>
      <c r="Q46" s="218">
        <f t="shared" si="2"/>
        <v>785305.4998956566</v>
      </c>
      <c r="R46" s="194"/>
      <c r="X46" s="226">
        <f>SUM(X4:X45)</f>
        <v>27273281404.470039</v>
      </c>
    </row>
    <row r="47" spans="1:24" ht="18">
      <c r="A47" s="222">
        <v>2</v>
      </c>
      <c r="B47" s="191" t="s">
        <v>110</v>
      </c>
      <c r="C47" s="191">
        <v>2020</v>
      </c>
      <c r="D47" s="208">
        <f>Population!E3</f>
        <v>362274.79706917296</v>
      </c>
      <c r="E47" s="209" t="str">
        <f t="shared" si="3"/>
        <v>Medium</v>
      </c>
      <c r="F47" s="208"/>
      <c r="G47" s="210">
        <f>Variables!$C$3*POWER(SUM(1,Variables!$C$2/100),C47-2017)</f>
        <v>8009.4795713407393</v>
      </c>
      <c r="H47" s="210">
        <f t="shared" si="4"/>
        <v>270.37253619545299</v>
      </c>
      <c r="I47" s="211">
        <f>VLOOKUP(B47,'Waste per capita'!$B$2:$F$48,4,FALSE)*(H47/Variables!$C$6)</f>
        <v>130.28414436416935</v>
      </c>
      <c r="J47" s="210">
        <f t="shared" si="5"/>
        <v>47198.661960860285</v>
      </c>
      <c r="K47" s="212">
        <f>Variables!$C$13</f>
        <v>1</v>
      </c>
      <c r="L47" s="213">
        <f t="shared" si="0"/>
        <v>47198.661960860285</v>
      </c>
      <c r="N47" s="215">
        <f>IF(D47&gt;1500000,Budgeting!$B$13,(IF(D47&gt;500000,Budgeting!$C$13,Budgeting!$D$13)))</f>
        <v>26.27408568212417</v>
      </c>
      <c r="O47" s="216">
        <f t="shared" si="1"/>
        <v>1240101.6884412579</v>
      </c>
      <c r="P47" s="217">
        <f>IF(D47&gt;1500000,Budgeting!$B$15,(IF(D47&gt;500000,Budgeting!$C$15,Budgeting!$D$15)))</f>
        <v>7.6279603593263765</v>
      </c>
      <c r="Q47" s="218">
        <f t="shared" si="2"/>
        <v>360029.522450688</v>
      </c>
      <c r="R47" s="194"/>
      <c r="X47" s="227"/>
    </row>
    <row r="48" spans="1:24">
      <c r="A48" s="222">
        <v>3</v>
      </c>
      <c r="B48" s="191" t="s">
        <v>111</v>
      </c>
      <c r="C48" s="191">
        <v>2020</v>
      </c>
      <c r="D48" s="208">
        <f>Population!E4</f>
        <v>10425234.640043655</v>
      </c>
      <c r="E48" s="209" t="str">
        <f t="shared" si="3"/>
        <v>Large</v>
      </c>
      <c r="F48" s="208"/>
      <c r="G48" s="210">
        <f>Variables!$C$3*POWER(SUM(1,Variables!$C$2/100),C48-2017)</f>
        <v>8009.4795713407393</v>
      </c>
      <c r="H48" s="210">
        <f t="shared" si="4"/>
        <v>270.37253619545299</v>
      </c>
      <c r="I48" s="211">
        <f>VLOOKUP(B48,'Waste per capita'!$B$2:$F$48,4,FALSE)*(H48/Variables!$C$6)</f>
        <v>336.90396379679464</v>
      </c>
      <c r="J48" s="210">
        <f t="shared" si="5"/>
        <v>3512302.8737423574</v>
      </c>
      <c r="K48" s="212">
        <f>Variables!$C$13</f>
        <v>1</v>
      </c>
      <c r="L48" s="213">
        <f t="shared" si="0"/>
        <v>3512302.8737423574</v>
      </c>
      <c r="N48" s="215">
        <f>IF(D48&gt;1500000,Budgeting!$B$13,(IF(D48&gt;500000,Budgeting!$C$13,Budgeting!$D$13)))</f>
        <v>25.956254000485576</v>
      </c>
      <c r="O48" s="216">
        <f t="shared" si="1"/>
        <v>91166225.517492041</v>
      </c>
      <c r="P48" s="217">
        <f>IF(D48&gt;1500000,Budgeting!$B$15,(IF(D48&gt;500000,Budgeting!$C$15,Budgeting!$D$15)))</f>
        <v>3.7080362857836535</v>
      </c>
      <c r="Q48" s="218">
        <f t="shared" si="2"/>
        <v>13023746.502498863</v>
      </c>
      <c r="R48" s="194"/>
      <c r="X48" s="228"/>
    </row>
    <row r="49" spans="1:24">
      <c r="A49" s="222">
        <v>4</v>
      </c>
      <c r="B49" s="191" t="s">
        <v>112</v>
      </c>
      <c r="C49" s="191">
        <v>2020</v>
      </c>
      <c r="D49" s="208">
        <f>Population!E5</f>
        <v>2220223.3724000533</v>
      </c>
      <c r="E49" s="209" t="str">
        <f t="shared" si="3"/>
        <v>Large</v>
      </c>
      <c r="F49" s="208"/>
      <c r="G49" s="210">
        <f>Variables!$C$3*POWER(SUM(1,Variables!$C$2/100),C49-2017)</f>
        <v>8009.4795713407393</v>
      </c>
      <c r="H49" s="210">
        <f t="shared" si="4"/>
        <v>270.37253619545299</v>
      </c>
      <c r="I49" s="211">
        <f>VLOOKUP(B49,'Waste per capita'!$B$2:$F$48,4,FALSE)*(H49/Variables!$C$6)</f>
        <v>208.45463098267098</v>
      </c>
      <c r="J49" s="210">
        <f t="shared" si="5"/>
        <v>462815.8437927544</v>
      </c>
      <c r="K49" s="212">
        <f>Variables!$C$13</f>
        <v>1</v>
      </c>
      <c r="L49" s="213">
        <f t="shared" si="0"/>
        <v>462815.8437927544</v>
      </c>
      <c r="N49" s="215">
        <f>IF(D49&gt;1500000,Budgeting!$B$13,(IF(D49&gt;500000,Budgeting!$C$13,Budgeting!$D$13)))</f>
        <v>25.956254000485576</v>
      </c>
      <c r="O49" s="216">
        <f t="shared" si="1"/>
        <v>12012965.596933788</v>
      </c>
      <c r="P49" s="217">
        <f>IF(D49&gt;1500000,Budgeting!$B$15,(IF(D49&gt;500000,Budgeting!$C$15,Budgeting!$D$15)))</f>
        <v>3.7080362857836535</v>
      </c>
      <c r="Q49" s="218">
        <f t="shared" si="2"/>
        <v>1716137.9424191127</v>
      </c>
      <c r="R49" s="194"/>
      <c r="X49" s="228"/>
    </row>
    <row r="50" spans="1:24">
      <c r="A50" s="222">
        <v>5</v>
      </c>
      <c r="B50" s="191" t="s">
        <v>113</v>
      </c>
      <c r="C50" s="191">
        <v>2020</v>
      </c>
      <c r="D50" s="208">
        <f>Population!E6</f>
        <v>1041331.3806940814</v>
      </c>
      <c r="E50" s="209" t="str">
        <f t="shared" si="3"/>
        <v>Large</v>
      </c>
      <c r="F50" s="208"/>
      <c r="G50" s="210">
        <f>Variables!$C$3*POWER(SUM(1,Variables!$C$2/100),C50-2017)</f>
        <v>8009.4795713407393</v>
      </c>
      <c r="H50" s="210">
        <f t="shared" si="4"/>
        <v>270.37253619545299</v>
      </c>
      <c r="I50" s="211">
        <f>VLOOKUP(B50,'Waste per capita'!$B$2:$F$48,4,FALSE)*(H50/Variables!$C$6)</f>
        <v>208.45463098267098</v>
      </c>
      <c r="J50" s="210">
        <f t="shared" si="5"/>
        <v>217070.34869326002</v>
      </c>
      <c r="K50" s="212">
        <f>Variables!$C$13</f>
        <v>1</v>
      </c>
      <c r="L50" s="213">
        <f t="shared" si="0"/>
        <v>217070.34869326002</v>
      </c>
      <c r="N50" s="215">
        <f>IF(D50&gt;1500000,Budgeting!$B$13,(IF(D50&gt;500000,Budgeting!$C$13,Budgeting!$D$13)))</f>
        <v>26.132827156951464</v>
      </c>
      <c r="O50" s="216">
        <f t="shared" si="1"/>
        <v>5672661.9033001494</v>
      </c>
      <c r="P50" s="217">
        <f>IF(D50&gt;1500000,Budgeting!$B$15,(IF(D50&gt;500000,Budgeting!$C$15,Budgeting!$D$15)))</f>
        <v>2.1188778775906578</v>
      </c>
      <c r="Q50" s="218">
        <f t="shared" si="2"/>
        <v>459945.55972703884</v>
      </c>
      <c r="R50" s="194"/>
      <c r="X50" s="228"/>
    </row>
    <row r="51" spans="1:24" ht="17" customHeight="1">
      <c r="A51" s="222">
        <v>6</v>
      </c>
      <c r="B51" s="191" t="s">
        <v>114</v>
      </c>
      <c r="C51" s="191">
        <v>2020</v>
      </c>
      <c r="D51" s="208">
        <f>Population!E7</f>
        <v>1187252.0083749858</v>
      </c>
      <c r="E51" s="209" t="str">
        <f t="shared" si="3"/>
        <v>Large</v>
      </c>
      <c r="F51" s="208"/>
      <c r="G51" s="210">
        <f>Variables!$C$3*POWER(SUM(1,Variables!$C$2/100),C51-2017)</f>
        <v>8009.4795713407393</v>
      </c>
      <c r="H51" s="210">
        <f t="shared" si="4"/>
        <v>270.37253619545299</v>
      </c>
      <c r="I51" s="211">
        <f>VLOOKUP(B51,'Waste per capita'!$B$2:$F$48,4,FALSE)*(H51/Variables!$C$6)</f>
        <v>208.45463098267098</v>
      </c>
      <c r="J51" s="210">
        <f t="shared" si="5"/>
        <v>247488.17928924266</v>
      </c>
      <c r="K51" s="212">
        <f>Variables!$C$13</f>
        <v>1</v>
      </c>
      <c r="L51" s="213">
        <f t="shared" si="0"/>
        <v>247488.17928924266</v>
      </c>
      <c r="N51" s="215">
        <f>IF(D51&gt;1500000,Budgeting!$B$13,(IF(D51&gt;500000,Budgeting!$C$13,Budgeting!$D$13)))</f>
        <v>26.132827156951464</v>
      </c>
      <c r="O51" s="216">
        <f t="shared" si="1"/>
        <v>6467565.8127543936</v>
      </c>
      <c r="P51" s="217">
        <f>IF(D51&gt;1500000,Budgeting!$B$15,(IF(D51&gt;500000,Budgeting!$C$15,Budgeting!$D$15)))</f>
        <v>2.1188778775906578</v>
      </c>
      <c r="Q51" s="218">
        <f t="shared" si="2"/>
        <v>524397.22806116671</v>
      </c>
      <c r="R51" s="194"/>
    </row>
    <row r="52" spans="1:24">
      <c r="A52" s="222">
        <v>7</v>
      </c>
      <c r="B52" s="191" t="s">
        <v>115</v>
      </c>
      <c r="C52" s="191">
        <v>2020</v>
      </c>
      <c r="D52" s="208">
        <f>Population!E8</f>
        <v>5737225.9601890566</v>
      </c>
      <c r="E52" s="209" t="str">
        <f t="shared" si="3"/>
        <v>Large</v>
      </c>
      <c r="F52" s="208"/>
      <c r="G52" s="210">
        <f>Variables!$C$3*POWER(SUM(1,Variables!$C$2/100),C52-2017)</f>
        <v>8009.4795713407393</v>
      </c>
      <c r="H52" s="210">
        <f t="shared" si="4"/>
        <v>270.37253619545299</v>
      </c>
      <c r="I52" s="211">
        <f>VLOOKUP(B52,'Waste per capita'!$B$2:$F$48,4,FALSE)*(H52/Variables!$C$6)</f>
        <v>323.65324284151546</v>
      </c>
      <c r="J52" s="210">
        <f t="shared" si="5"/>
        <v>1856871.7869297154</v>
      </c>
      <c r="K52" s="212">
        <f>Variables!$C$13</f>
        <v>1</v>
      </c>
      <c r="L52" s="213">
        <f t="shared" si="0"/>
        <v>1856871.7869297154</v>
      </c>
      <c r="N52" s="215">
        <f>IF(D52&gt;1500000,Budgeting!$B$13,(IF(D52&gt;500000,Budgeting!$C$13,Budgeting!$D$13)))</f>
        <v>25.956254000485576</v>
      </c>
      <c r="O52" s="216">
        <f t="shared" si="1"/>
        <v>48197435.747883223</v>
      </c>
      <c r="P52" s="217">
        <f>IF(D52&gt;1500000,Budgeting!$B$15,(IF(D52&gt;500000,Budgeting!$C$15,Budgeting!$D$15)))</f>
        <v>3.7080362857836535</v>
      </c>
      <c r="Q52" s="218">
        <f t="shared" si="2"/>
        <v>6885347.9639833178</v>
      </c>
    </row>
    <row r="53" spans="1:24">
      <c r="A53" s="222">
        <v>8</v>
      </c>
      <c r="B53" s="191" t="s">
        <v>116</v>
      </c>
      <c r="C53" s="191">
        <v>2020</v>
      </c>
      <c r="D53" s="208">
        <f>Population!E9</f>
        <v>54674.089224231524</v>
      </c>
      <c r="E53" s="209" t="str">
        <f t="shared" si="3"/>
        <v>Small</v>
      </c>
      <c r="F53" s="208"/>
      <c r="G53" s="210">
        <f>Variables!$C$3*POWER(SUM(1,Variables!$C$2/100),C53-2017)</f>
        <v>8009.4795713407393</v>
      </c>
      <c r="H53" s="210">
        <f t="shared" si="4"/>
        <v>270.37253619545299</v>
      </c>
      <c r="I53" s="211">
        <f>VLOOKUP(B53,'Waste per capita'!$B$2:$F$48,4,FALSE)*(H53/Variables!$C$6)</f>
        <v>218.96879000153373</v>
      </c>
      <c r="J53" s="210">
        <f t="shared" si="5"/>
        <v>11971.919161865872</v>
      </c>
      <c r="K53" s="212">
        <f>Variables!$C$13</f>
        <v>1</v>
      </c>
      <c r="L53" s="213">
        <f t="shared" si="0"/>
        <v>11971.919161865872</v>
      </c>
      <c r="N53" s="215">
        <f>IF(D53&gt;1500000,Budgeting!$B$13,(IF(D53&gt;500000,Budgeting!$C$13,Budgeting!$D$13)))</f>
        <v>26.27408568212417</v>
      </c>
      <c r="O53" s="216">
        <f t="shared" si="1"/>
        <v>314551.22983832809</v>
      </c>
      <c r="P53" s="217">
        <f>IF(D53&gt;1500000,Budgeting!$B$15,(IF(D53&gt;500000,Budgeting!$C$15,Budgeting!$D$15)))</f>
        <v>7.6279603593263765</v>
      </c>
      <c r="Q53" s="218">
        <f t="shared" si="2"/>
        <v>91321.324791772728</v>
      </c>
    </row>
    <row r="54" spans="1:24">
      <c r="A54" s="222">
        <v>9</v>
      </c>
      <c r="B54" s="191" t="s">
        <v>117</v>
      </c>
      <c r="C54" s="191">
        <v>2020</v>
      </c>
      <c r="D54" s="208">
        <f>Population!E10</f>
        <v>703246.42952349363</v>
      </c>
      <c r="E54" s="209" t="str">
        <f t="shared" si="3"/>
        <v>Medium</v>
      </c>
      <c r="F54" s="208"/>
      <c r="G54" s="210">
        <f>Variables!$C$3*POWER(SUM(1,Variables!$C$2/100),C54-2017)</f>
        <v>8009.4795713407393</v>
      </c>
      <c r="H54" s="210">
        <f t="shared" si="4"/>
        <v>270.37253619545299</v>
      </c>
      <c r="I54" s="211">
        <f>VLOOKUP(B54,'Waste per capita'!$B$2:$F$48,4,FALSE)*(H54/Variables!$C$6)</f>
        <v>161.82662142075773</v>
      </c>
      <c r="J54" s="210">
        <f t="shared" si="5"/>
        <v>113803.99371599799</v>
      </c>
      <c r="K54" s="212">
        <f>Variables!$C$13</f>
        <v>1</v>
      </c>
      <c r="L54" s="213">
        <f t="shared" si="0"/>
        <v>113803.99371599799</v>
      </c>
      <c r="N54" s="215">
        <f>IF(D54&gt;1500000,Budgeting!$B$13,(IF(D54&gt;500000,Budgeting!$C$13,Budgeting!$D$13)))</f>
        <v>26.132827156951464</v>
      </c>
      <c r="O54" s="216">
        <f t="shared" si="1"/>
        <v>2974020.0975509658</v>
      </c>
      <c r="P54" s="217">
        <f>IF(D54&gt;1500000,Budgeting!$B$15,(IF(D54&gt;500000,Budgeting!$C$15,Budgeting!$D$15)))</f>
        <v>2.1188778775906578</v>
      </c>
      <c r="Q54" s="218">
        <f t="shared" si="2"/>
        <v>241136.76466629439</v>
      </c>
    </row>
    <row r="55" spans="1:24">
      <c r="A55" s="222">
        <v>10</v>
      </c>
      <c r="B55" s="191" t="s">
        <v>118</v>
      </c>
      <c r="C55" s="191">
        <v>2020</v>
      </c>
      <c r="D55" s="208">
        <f>Population!E11</f>
        <v>652606.03908196301</v>
      </c>
      <c r="E55" s="209" t="str">
        <f t="shared" si="3"/>
        <v>Medium</v>
      </c>
      <c r="F55" s="208"/>
      <c r="G55" s="210">
        <f>Variables!$C$3*POWER(SUM(1,Variables!$C$2/100),C55-2017)</f>
        <v>8009.4795713407393</v>
      </c>
      <c r="H55" s="210">
        <f t="shared" si="4"/>
        <v>270.37253619545299</v>
      </c>
      <c r="I55" s="211">
        <f>VLOOKUP(B55,'Waste per capita'!$B$2:$F$48,4,FALSE)*(H55/Variables!$C$6)</f>
        <v>185.53681190387442</v>
      </c>
      <c r="J55" s="210">
        <f t="shared" si="5"/>
        <v>121082.44392048269</v>
      </c>
      <c r="K55" s="212">
        <f>Variables!$C$13</f>
        <v>1</v>
      </c>
      <c r="L55" s="213">
        <f t="shared" si="0"/>
        <v>121082.44392048269</v>
      </c>
      <c r="N55" s="215">
        <f>IF(D55&gt;1500000,Budgeting!$B$13,(IF(D55&gt;500000,Budgeting!$C$13,Budgeting!$D$13)))</f>
        <v>26.132827156951464</v>
      </c>
      <c r="O55" s="216">
        <f t="shared" si="1"/>
        <v>3164226.5787152429</v>
      </c>
      <c r="P55" s="217">
        <f>IF(D55&gt;1500000,Budgeting!$B$15,(IF(D55&gt;500000,Budgeting!$C$15,Budgeting!$D$15)))</f>
        <v>2.1188778775906578</v>
      </c>
      <c r="Q55" s="218">
        <f t="shared" si="2"/>
        <v>256558.91178772223</v>
      </c>
    </row>
    <row r="56" spans="1:24">
      <c r="A56" s="222">
        <v>11</v>
      </c>
      <c r="B56" s="191" t="s">
        <v>119</v>
      </c>
      <c r="C56" s="191">
        <v>2020</v>
      </c>
      <c r="D56" s="208">
        <f>Population!E12</f>
        <v>254550.22250783932</v>
      </c>
      <c r="E56" s="209" t="str">
        <f t="shared" si="3"/>
        <v>Medium</v>
      </c>
      <c r="F56" s="208"/>
      <c r="G56" s="210">
        <f>Variables!$C$3*POWER(SUM(1,Variables!$C$2/100),C56-2017)</f>
        <v>8009.4795713407393</v>
      </c>
      <c r="H56" s="210">
        <f t="shared" si="4"/>
        <v>270.37253619545299</v>
      </c>
      <c r="I56" s="211">
        <f>VLOOKUP(B56,'Waste per capita'!$B$2:$F$48,4,FALSE)*(H56/Variables!$C$6)</f>
        <v>114.74147451019829</v>
      </c>
      <c r="J56" s="210">
        <f t="shared" si="5"/>
        <v>29207.467867448551</v>
      </c>
      <c r="K56" s="212">
        <f>Variables!$C$13</f>
        <v>1</v>
      </c>
      <c r="L56" s="213">
        <f t="shared" si="0"/>
        <v>29207.467867448551</v>
      </c>
      <c r="N56" s="215">
        <f>IF(D56&gt;1500000,Budgeting!$B$13,(IF(D56&gt;500000,Budgeting!$C$13,Budgeting!$D$13)))</f>
        <v>26.27408568212417</v>
      </c>
      <c r="O56" s="216">
        <f t="shared" si="1"/>
        <v>767399.51330723171</v>
      </c>
      <c r="P56" s="217">
        <f>IF(D56&gt;1500000,Budgeting!$B$15,(IF(D56&gt;500000,Budgeting!$C$15,Budgeting!$D$15)))</f>
        <v>7.6279603593263765</v>
      </c>
      <c r="Q56" s="218">
        <f t="shared" si="2"/>
        <v>222793.40708919644</v>
      </c>
    </row>
    <row r="57" spans="1:24">
      <c r="A57" s="222">
        <v>12</v>
      </c>
      <c r="B57" s="191" t="s">
        <v>120</v>
      </c>
      <c r="C57" s="191">
        <v>2020</v>
      </c>
      <c r="D57" s="208">
        <f>Population!E13</f>
        <v>123821.09461951318</v>
      </c>
      <c r="E57" s="209" t="str">
        <f t="shared" si="3"/>
        <v>Medium</v>
      </c>
      <c r="F57" s="208"/>
      <c r="G57" s="210">
        <f>Variables!$C$3*POWER(SUM(1,Variables!$C$2/100),C57-2017)</f>
        <v>8009.4795713407393</v>
      </c>
      <c r="H57" s="210">
        <f t="shared" si="4"/>
        <v>270.37253619545299</v>
      </c>
      <c r="I57" s="211">
        <f>VLOOKUP(B57,'Waste per capita'!$B$2:$F$48,4,FALSE)*(H57/Variables!$C$6)</f>
        <v>229.48294902039657</v>
      </c>
      <c r="J57" s="210">
        <f t="shared" si="5"/>
        <v>28414.829944219444</v>
      </c>
      <c r="K57" s="212">
        <f>Variables!$C$13</f>
        <v>1</v>
      </c>
      <c r="L57" s="213">
        <f t="shared" si="0"/>
        <v>28414.829944219444</v>
      </c>
      <c r="N57" s="215">
        <f>IF(D57&gt;1500000,Budgeting!$B$13,(IF(D57&gt;500000,Budgeting!$C$13,Budgeting!$D$13)))</f>
        <v>26.27408568212417</v>
      </c>
      <c r="O57" s="216">
        <f t="shared" si="1"/>
        <v>746573.67659740918</v>
      </c>
      <c r="P57" s="217">
        <f>IF(D57&gt;1500000,Budgeting!$B$15,(IF(D57&gt;500000,Budgeting!$C$15,Budgeting!$D$15)))</f>
        <v>7.6279603593263765</v>
      </c>
      <c r="Q57" s="218">
        <f t="shared" si="2"/>
        <v>216747.19643150602</v>
      </c>
    </row>
    <row r="58" spans="1:24">
      <c r="A58" s="222">
        <v>13</v>
      </c>
      <c r="B58" s="191" t="s">
        <v>121</v>
      </c>
      <c r="C58" s="191">
        <v>2020</v>
      </c>
      <c r="D58" s="208">
        <f>Population!E14</f>
        <v>8311604.8755428735</v>
      </c>
      <c r="E58" s="209" t="str">
        <f t="shared" si="3"/>
        <v>Large</v>
      </c>
      <c r="F58" s="208"/>
      <c r="G58" s="210">
        <f>Variables!$C$3*POWER(SUM(1,Variables!$C$2/100),C58-2017)</f>
        <v>8009.4795713407393</v>
      </c>
      <c r="H58" s="210">
        <f t="shared" si="4"/>
        <v>270.37253619545299</v>
      </c>
      <c r="I58" s="211">
        <f>VLOOKUP(B58,'Waste per capita'!$B$2:$F$48,4,FALSE)*(H58/Variables!$C$6)</f>
        <v>297.13927662003539</v>
      </c>
      <c r="J58" s="210">
        <f t="shared" si="5"/>
        <v>2469704.2602703688</v>
      </c>
      <c r="K58" s="212">
        <f>Variables!$C$13</f>
        <v>1</v>
      </c>
      <c r="L58" s="213">
        <f t="shared" si="0"/>
        <v>2469704.2602703688</v>
      </c>
      <c r="N58" s="215">
        <f>IF(D58&gt;1500000,Budgeting!$B$13,(IF(D58&gt;500000,Budgeting!$C$13,Budgeting!$D$13)))</f>
        <v>25.956254000485576</v>
      </c>
      <c r="O58" s="216">
        <f t="shared" si="1"/>
        <v>64104271.085659027</v>
      </c>
      <c r="P58" s="217">
        <f>IF(D58&gt;1500000,Budgeting!$B$15,(IF(D58&gt;500000,Budgeting!$C$15,Budgeting!$D$15)))</f>
        <v>3.7080362857836535</v>
      </c>
      <c r="Q58" s="218">
        <f t="shared" si="2"/>
        <v>9157753.0122370031</v>
      </c>
    </row>
    <row r="59" spans="1:24">
      <c r="A59" s="222">
        <v>14</v>
      </c>
      <c r="B59" s="191" t="s">
        <v>122</v>
      </c>
      <c r="C59" s="191">
        <v>2020</v>
      </c>
      <c r="D59" s="208">
        <f>Population!E15</f>
        <v>331194.20341844397</v>
      </c>
      <c r="E59" s="209" t="str">
        <f t="shared" si="3"/>
        <v>Medium</v>
      </c>
      <c r="F59" s="208"/>
      <c r="G59" s="210">
        <f>Variables!$C$3*POWER(SUM(1,Variables!$C$2/100),C59-2017)</f>
        <v>8009.4795713407393</v>
      </c>
      <c r="H59" s="210">
        <f t="shared" si="4"/>
        <v>270.37253619545299</v>
      </c>
      <c r="I59" s="211">
        <f>VLOOKUP(B59,'Waste per capita'!$B$2:$F$48,4,FALSE)*(H59/Variables!$C$6)</f>
        <v>99.198804656227196</v>
      </c>
      <c r="J59" s="210">
        <f t="shared" si="5"/>
        <v>32854.069088180993</v>
      </c>
      <c r="K59" s="212">
        <f>Variables!$C$13</f>
        <v>1</v>
      </c>
      <c r="L59" s="213">
        <f t="shared" si="0"/>
        <v>32854.069088180993</v>
      </c>
      <c r="N59" s="215">
        <f>IF(D59&gt;1500000,Budgeting!$B$13,(IF(D59&gt;500000,Budgeting!$C$13,Budgeting!$D$13)))</f>
        <v>26.27408568212417</v>
      </c>
      <c r="O59" s="216">
        <f t="shared" si="1"/>
        <v>863210.62622929458</v>
      </c>
      <c r="P59" s="217">
        <f>IF(D59&gt;1500000,Budgeting!$B$15,(IF(D59&gt;500000,Budgeting!$C$15,Budgeting!$D$15)))</f>
        <v>7.6279603593263765</v>
      </c>
      <c r="Q59" s="218">
        <f t="shared" si="2"/>
        <v>250609.5366472147</v>
      </c>
    </row>
    <row r="60" spans="1:24">
      <c r="A60" s="222">
        <v>15</v>
      </c>
      <c r="B60" s="191" t="s">
        <v>123</v>
      </c>
      <c r="C60" s="191">
        <v>2020</v>
      </c>
      <c r="D60" s="208">
        <f>Population!E16</f>
        <v>73451.099045877185</v>
      </c>
      <c r="E60" s="209" t="str">
        <f t="shared" si="3"/>
        <v>Small</v>
      </c>
      <c r="F60" s="208"/>
      <c r="G60" s="210">
        <f>Variables!$C$3*POWER(SUM(1,Variables!$C$2/100),C60-2017)</f>
        <v>8009.4795713407393</v>
      </c>
      <c r="H60" s="210">
        <f t="shared" ref="H60:H111" si="8">1647.41-417.73*LN(G60)+29.43*(LN(G60))^2</f>
        <v>270.37253619545299</v>
      </c>
      <c r="I60" s="211">
        <f>VLOOKUP(B60,'Waste per capita'!$B$2:$F$48,4,FALSE)*(H60/Variables!$C$6)</f>
        <v>177.36929127472882</v>
      </c>
      <c r="J60" s="210">
        <f t="shared" si="5"/>
        <v>13027.969381117147</v>
      </c>
      <c r="K60" s="212">
        <f>Variables!$C$13</f>
        <v>1</v>
      </c>
      <c r="L60" s="213">
        <f t="shared" si="0"/>
        <v>13027.969381117147</v>
      </c>
      <c r="N60" s="215">
        <f>IF(D60&gt;1500000,Budgeting!$B$13,(IF(D60&gt;500000,Budgeting!$C$13,Budgeting!$D$13)))</f>
        <v>26.27408568212417</v>
      </c>
      <c r="O60" s="216">
        <f t="shared" si="1"/>
        <v>342297.98378356214</v>
      </c>
      <c r="P60" s="217">
        <f>IF(D60&gt;1500000,Budgeting!$B$15,(IF(D60&gt;500000,Budgeting!$C$15,Budgeting!$D$15)))</f>
        <v>7.6279603593263765</v>
      </c>
      <c r="Q60" s="218">
        <f t="shared" si="2"/>
        <v>99376.834001679381</v>
      </c>
    </row>
    <row r="61" spans="1:24">
      <c r="A61" s="222">
        <v>16</v>
      </c>
      <c r="B61" s="191" t="s">
        <v>124</v>
      </c>
      <c r="C61" s="191">
        <v>2020</v>
      </c>
      <c r="D61" s="208">
        <f>Population!E17</f>
        <v>3761035.8080834826</v>
      </c>
      <c r="E61" s="209" t="str">
        <f t="shared" si="3"/>
        <v>Large</v>
      </c>
      <c r="F61" s="208"/>
      <c r="G61" s="210">
        <f>Variables!$C$3*POWER(SUM(1,Variables!$C$2/100),C61-2017)</f>
        <v>8009.4795713407393</v>
      </c>
      <c r="H61" s="210">
        <f t="shared" si="8"/>
        <v>270.37253619545299</v>
      </c>
      <c r="I61" s="211">
        <f>VLOOKUP(B61,'Waste per capita'!$B$2:$F$48,4,FALSE)*(H61/Variables!$C$6)</f>
        <v>203.4261201475627</v>
      </c>
      <c r="J61" s="210">
        <f t="shared" si="5"/>
        <v>765092.92217447597</v>
      </c>
      <c r="K61" s="212">
        <f>Variables!$C$13</f>
        <v>1</v>
      </c>
      <c r="L61" s="213">
        <f t="shared" si="0"/>
        <v>765092.92217447597</v>
      </c>
      <c r="N61" s="215">
        <f>IF(D61&gt;1500000,Budgeting!$B$13,(IF(D61&gt;500000,Budgeting!$C$13,Budgeting!$D$13)))</f>
        <v>25.956254000485576</v>
      </c>
      <c r="O61" s="216">
        <f t="shared" si="1"/>
        <v>19858946.221934441</v>
      </c>
      <c r="P61" s="217">
        <f>IF(D61&gt;1500000,Budgeting!$B$15,(IF(D61&gt;500000,Budgeting!$C$15,Budgeting!$D$15)))</f>
        <v>3.7080362857836535</v>
      </c>
      <c r="Q61" s="218">
        <f t="shared" si="2"/>
        <v>2836992.3174192058</v>
      </c>
    </row>
    <row r="62" spans="1:24">
      <c r="A62" s="222">
        <v>17</v>
      </c>
      <c r="B62" s="191" t="s">
        <v>125</v>
      </c>
      <c r="C62" s="191">
        <v>2020</v>
      </c>
      <c r="D62" s="208">
        <f>Population!E18</f>
        <v>13840.760132867426</v>
      </c>
      <c r="E62" s="209" t="str">
        <f t="shared" si="3"/>
        <v>Small</v>
      </c>
      <c r="F62" s="208"/>
      <c r="G62" s="210">
        <f>Variables!$C$3*POWER(SUM(1,Variables!$C$2/100),C62-2017)</f>
        <v>8009.4795713407393</v>
      </c>
      <c r="H62" s="210">
        <f t="shared" si="8"/>
        <v>270.37253619545299</v>
      </c>
      <c r="I62" s="211">
        <f>VLOOKUP(B62,'Waste per capita'!$B$2:$F$48,4,FALSE)*(H62/Variables!$C$6)</f>
        <v>156.55388652267411</v>
      </c>
      <c r="J62" s="210">
        <f t="shared" si="5"/>
        <v>2166.8247912284787</v>
      </c>
      <c r="K62" s="212">
        <f>Variables!$C$13</f>
        <v>1</v>
      </c>
      <c r="L62" s="213">
        <f t="shared" si="0"/>
        <v>2166.8247912284787</v>
      </c>
      <c r="N62" s="215">
        <f>IF(D62&gt;1500000,Budgeting!$B$13,(IF(D62&gt;500000,Budgeting!$C$13,Budgeting!$D$13)))</f>
        <v>26.27408568212417</v>
      </c>
      <c r="O62" s="216">
        <f t="shared" si="1"/>
        <v>56931.340222887869</v>
      </c>
      <c r="P62" s="217">
        <f>IF(D62&gt;1500000,Budgeting!$B$15,(IF(D62&gt;500000,Budgeting!$C$15,Budgeting!$D$15)))</f>
        <v>7.6279603593263765</v>
      </c>
      <c r="Q62" s="218">
        <f t="shared" si="2"/>
        <v>16528.453613096488</v>
      </c>
    </row>
    <row r="63" spans="1:24">
      <c r="A63" s="222">
        <v>18</v>
      </c>
      <c r="B63" s="191" t="s">
        <v>126</v>
      </c>
      <c r="C63" s="191">
        <v>2020</v>
      </c>
      <c r="D63" s="208">
        <f>Population!E19</f>
        <v>122281.44895620491</v>
      </c>
      <c r="E63" s="209" t="str">
        <f t="shared" si="3"/>
        <v>Medium</v>
      </c>
      <c r="F63" s="208"/>
      <c r="G63" s="210">
        <f>Variables!$C$3*POWER(SUM(1,Variables!$C$2/100),C63-2017)</f>
        <v>8009.4795713407393</v>
      </c>
      <c r="H63" s="210">
        <f t="shared" si="8"/>
        <v>270.37253619545299</v>
      </c>
      <c r="I63" s="211">
        <f>VLOOKUP(B63,'Waste per capita'!$B$2:$F$48,4,FALSE)*(H63/Variables!$C$6)</f>
        <v>88.684645637364412</v>
      </c>
      <c r="J63" s="210">
        <f t="shared" si="5"/>
        <v>10844.486968704497</v>
      </c>
      <c r="K63" s="212">
        <f>Variables!$C$13</f>
        <v>1</v>
      </c>
      <c r="L63" s="213">
        <f t="shared" si="0"/>
        <v>10844.486968704497</v>
      </c>
      <c r="N63" s="215">
        <f>IF(D63&gt;1500000,Budgeting!$B$13,(IF(D63&gt;500000,Budgeting!$C$13,Budgeting!$D$13)))</f>
        <v>26.27408568212417</v>
      </c>
      <c r="O63" s="216">
        <f t="shared" si="1"/>
        <v>284928.979794421</v>
      </c>
      <c r="P63" s="217">
        <f>IF(D63&gt;1500000,Budgeting!$B$15,(IF(D63&gt;500000,Budgeting!$C$15,Budgeting!$D$15)))</f>
        <v>7.6279603593263765</v>
      </c>
      <c r="Q63" s="218">
        <f t="shared" si="2"/>
        <v>82721.316714509361</v>
      </c>
    </row>
    <row r="64" spans="1:24">
      <c r="A64" s="222">
        <v>19</v>
      </c>
      <c r="B64" s="191" t="s">
        <v>127</v>
      </c>
      <c r="C64" s="191">
        <v>2020</v>
      </c>
      <c r="D64" s="208">
        <f>Population!E20</f>
        <v>5551977.0780467587</v>
      </c>
      <c r="E64" s="209" t="str">
        <f t="shared" si="3"/>
        <v>Large</v>
      </c>
      <c r="F64" s="208"/>
      <c r="G64" s="210">
        <f>Variables!$C$3*POWER(SUM(1,Variables!$C$2/100),C64-2017)</f>
        <v>8009.4795713407393</v>
      </c>
      <c r="H64" s="210">
        <f t="shared" si="8"/>
        <v>270.37253619545299</v>
      </c>
      <c r="I64" s="211">
        <f>VLOOKUP(B64,'Waste per capita'!$B$2:$F$48,4,FALSE)*(H64/Variables!$C$6)</f>
        <v>302.62492480378995</v>
      </c>
      <c r="J64" s="210">
        <f t="shared" si="5"/>
        <v>1680166.6457562658</v>
      </c>
      <c r="K64" s="212">
        <f>Variables!$C$13</f>
        <v>1</v>
      </c>
      <c r="L64" s="213">
        <f t="shared" si="0"/>
        <v>1680166.6457562658</v>
      </c>
      <c r="N64" s="215">
        <f>IF(D64&gt;1500000,Budgeting!$B$13,(IF(D64&gt;500000,Budgeting!$C$13,Budgeting!$D$13)))</f>
        <v>25.956254000485576</v>
      </c>
      <c r="O64" s="216">
        <f t="shared" si="1"/>
        <v>43610832.220393509</v>
      </c>
      <c r="P64" s="217">
        <f>IF(D64&gt;1500000,Budgeting!$B$15,(IF(D64&gt;500000,Budgeting!$C$15,Budgeting!$D$15)))</f>
        <v>3.7080362857836535</v>
      </c>
      <c r="Q64" s="218">
        <f t="shared" si="2"/>
        <v>6230118.8886276437</v>
      </c>
    </row>
    <row r="65" spans="1:17">
      <c r="A65" s="222">
        <v>20</v>
      </c>
      <c r="B65" s="191" t="s">
        <v>128</v>
      </c>
      <c r="C65" s="191">
        <v>2020</v>
      </c>
      <c r="D65" s="208">
        <f>Population!E21</f>
        <v>3478222.5311419708</v>
      </c>
      <c r="E65" s="209" t="str">
        <f t="shared" si="3"/>
        <v>Large</v>
      </c>
      <c r="F65" s="208"/>
      <c r="G65" s="210">
        <f>Variables!$C$3*POWER(SUM(1,Variables!$C$2/100),C65-2017)</f>
        <v>8009.4795713407393</v>
      </c>
      <c r="H65" s="210">
        <f t="shared" si="8"/>
        <v>270.37253619545299</v>
      </c>
      <c r="I65" s="211">
        <f>VLOOKUP(B65,'Waste per capita'!$B$2:$F$48,4,FALSE)*(H65/Variables!$C$6)</f>
        <v>114.74147451019829</v>
      </c>
      <c r="J65" s="210">
        <f t="shared" si="5"/>
        <v>399096.38189782383</v>
      </c>
      <c r="K65" s="212">
        <f>Variables!$C$13</f>
        <v>1</v>
      </c>
      <c r="L65" s="213">
        <f t="shared" si="0"/>
        <v>399096.38189782383</v>
      </c>
      <c r="N65" s="215">
        <f>IF(D65&gt;1500000,Budgeting!$B$13,(IF(D65&gt;500000,Budgeting!$C$13,Budgeting!$D$13)))</f>
        <v>25.956254000485576</v>
      </c>
      <c r="O65" s="216">
        <f t="shared" si="1"/>
        <v>10359047.059214709</v>
      </c>
      <c r="P65" s="217">
        <f>IF(D65&gt;1500000,Budgeting!$B$15,(IF(D65&gt;500000,Budgeting!$C$15,Budgeting!$D$15)))</f>
        <v>3.7080362857836535</v>
      </c>
      <c r="Q65" s="218">
        <f t="shared" si="2"/>
        <v>1479863.8656021012</v>
      </c>
    </row>
    <row r="66" spans="1:17">
      <c r="A66" s="222">
        <v>21</v>
      </c>
      <c r="B66" s="222" t="s">
        <v>129</v>
      </c>
      <c r="C66" s="191">
        <v>2020</v>
      </c>
      <c r="D66" s="208">
        <f>Population!E22</f>
        <v>15362346.135295814</v>
      </c>
      <c r="E66" s="209" t="str">
        <f t="shared" si="3"/>
        <v>Large</v>
      </c>
      <c r="F66" s="208"/>
      <c r="G66" s="210">
        <f>Variables!$C$3*POWER(SUM(1,Variables!$C$2/100),C66-2017)</f>
        <v>8009.4795713407393</v>
      </c>
      <c r="H66" s="210">
        <f t="shared" si="8"/>
        <v>270.37253619545299</v>
      </c>
      <c r="I66" s="211">
        <f>VLOOKUP(B66,'Waste per capita'!$B$2:$F$48,4,FALSE)*(H66/Variables!$C$6)</f>
        <v>234.96859720415111</v>
      </c>
      <c r="J66" s="210">
        <f t="shared" si="5"/>
        <v>3609668.9211750696</v>
      </c>
      <c r="K66" s="212">
        <f>Variables!$C$13</f>
        <v>1</v>
      </c>
      <c r="L66" s="213">
        <f t="shared" si="0"/>
        <v>3609668.9211750696</v>
      </c>
      <c r="N66" s="215">
        <f>IF(D66&gt;1500000,Budgeting!$B$13,(IF(D66&gt;500000,Budgeting!$C$13,Budgeting!$D$13)))</f>
        <v>25.956254000485576</v>
      </c>
      <c r="O66" s="216">
        <f t="shared" si="1"/>
        <v>93693483.375678852</v>
      </c>
      <c r="P66" s="217">
        <f>IF(D66&gt;1500000,Budgeting!$B$15,(IF(D66&gt;500000,Budgeting!$C$15,Budgeting!$D$15)))</f>
        <v>3.7080362857836535</v>
      </c>
      <c r="Q66" s="218">
        <f t="shared" si="2"/>
        <v>13384783.339382693</v>
      </c>
    </row>
    <row r="67" spans="1:17">
      <c r="A67" s="222">
        <v>22</v>
      </c>
      <c r="B67" s="191" t="s">
        <v>130</v>
      </c>
      <c r="C67" s="191">
        <v>2020</v>
      </c>
      <c r="D67" s="208">
        <f>Population!E23</f>
        <v>13624141.742010074</v>
      </c>
      <c r="E67" s="209" t="str">
        <f t="shared" si="3"/>
        <v>Large</v>
      </c>
      <c r="F67" s="208"/>
      <c r="G67" s="210">
        <f>Variables!$C$3*POWER(SUM(1,Variables!$C$2/100),C67-2017)</f>
        <v>8009.4795713407393</v>
      </c>
      <c r="H67" s="210">
        <f t="shared" si="8"/>
        <v>270.37253619545299</v>
      </c>
      <c r="I67" s="211">
        <f>VLOOKUP(B67,'Waste per capita'!$B$2:$F$48,4,FALSE)*(H67/Variables!$C$6)</f>
        <v>297.13927662003539</v>
      </c>
      <c r="J67" s="210">
        <f t="shared" si="5"/>
        <v>4048267.6217897017</v>
      </c>
      <c r="K67" s="212">
        <f>Variables!$C$13</f>
        <v>1</v>
      </c>
      <c r="L67" s="213">
        <f t="shared" si="0"/>
        <v>4048267.6217897017</v>
      </c>
      <c r="N67" s="215">
        <f>IF(D67&gt;1500000,Budgeting!$B$13,(IF(D67&gt;500000,Budgeting!$C$13,Budgeting!$D$13)))</f>
        <v>25.956254000485576</v>
      </c>
      <c r="O67" s="216">
        <f t="shared" si="1"/>
        <v>105077862.65311517</v>
      </c>
      <c r="P67" s="217">
        <f>IF(D67&gt;1500000,Budgeting!$B$15,(IF(D67&gt;500000,Budgeting!$C$15,Budgeting!$D$15)))</f>
        <v>3.7080362857836535</v>
      </c>
      <c r="Q67" s="218">
        <f t="shared" si="2"/>
        <v>15011123.23615931</v>
      </c>
    </row>
    <row r="68" spans="1:17">
      <c r="A68" s="222">
        <v>23</v>
      </c>
      <c r="B68" s="191" t="s">
        <v>131</v>
      </c>
      <c r="C68" s="191">
        <v>2020</v>
      </c>
      <c r="D68" s="208">
        <f>Population!E24</f>
        <v>49408.18003897911</v>
      </c>
      <c r="E68" s="209" t="str">
        <f t="shared" si="3"/>
        <v>Small</v>
      </c>
      <c r="F68" s="208"/>
      <c r="G68" s="210">
        <f>Variables!$C$3*POWER(SUM(1,Variables!$C$2/100),C68-2017)</f>
        <v>8009.4795713407393</v>
      </c>
      <c r="H68" s="210">
        <f t="shared" si="8"/>
        <v>270.37253619545299</v>
      </c>
      <c r="I68" s="211">
        <f>VLOOKUP(B68,'Waste per capita'!$B$2:$F$48,4,FALSE)*(H68/Variables!$C$6)</f>
        <v>281.59660676606433</v>
      </c>
      <c r="J68" s="210">
        <f t="shared" ref="J68:J131" si="9">I68*D68/1000</f>
        <v>13913.175845463309</v>
      </c>
      <c r="K68" s="212">
        <f>Variables!$C$13</f>
        <v>1</v>
      </c>
      <c r="L68" s="213">
        <f t="shared" ref="L68:L131" si="10">J68*K68</f>
        <v>13913.175845463309</v>
      </c>
      <c r="N68" s="215">
        <f>IF(D68&gt;1500000,Budgeting!$B$13,(IF(D68&gt;500000,Budgeting!$C$13,Budgeting!$D$13)))</f>
        <v>26.27408568212417</v>
      </c>
      <c r="O68" s="216">
        <f t="shared" ref="O68:O131" si="11">N68*L68</f>
        <v>365555.97427416337</v>
      </c>
      <c r="P68" s="217">
        <f>IF(D68&gt;1500000,Budgeting!$B$15,(IF(D68&gt;500000,Budgeting!$C$15,Budgeting!$D$15)))</f>
        <v>7.6279603593263765</v>
      </c>
      <c r="Q68" s="218">
        <f t="shared" ref="Q68:Q131" si="12">P68*J68</f>
        <v>106129.15382153136</v>
      </c>
    </row>
    <row r="69" spans="1:17">
      <c r="A69" s="222">
        <v>24</v>
      </c>
      <c r="B69" s="191" t="s">
        <v>132</v>
      </c>
      <c r="C69" s="191">
        <v>2020</v>
      </c>
      <c r="D69" s="208">
        <f>Population!E25</f>
        <v>2079474.8182424838</v>
      </c>
      <c r="E69" s="209" t="str">
        <f t="shared" ref="E69:E132" si="13">IF(D69&lt;100000,"Small",IF(D69&lt;1000000,"Medium","Large"))</f>
        <v>Large</v>
      </c>
      <c r="F69" s="208"/>
      <c r="G69" s="210">
        <f>Variables!$C$3*POWER(SUM(1,Variables!$C$2/100),C69-2017)</f>
        <v>8009.4795713407393</v>
      </c>
      <c r="H69" s="210">
        <f t="shared" si="8"/>
        <v>270.37253619545299</v>
      </c>
      <c r="I69" s="211">
        <f>VLOOKUP(B69,'Waste per capita'!$B$2:$F$48,4,FALSE)*(H69/Variables!$C$6)</f>
        <v>192.91196112869991</v>
      </c>
      <c r="J69" s="210">
        <f t="shared" si="9"/>
        <v>401155.56530490436</v>
      </c>
      <c r="K69" s="212">
        <f>Variables!$C$13</f>
        <v>1</v>
      </c>
      <c r="L69" s="213">
        <f t="shared" si="10"/>
        <v>401155.56530490436</v>
      </c>
      <c r="N69" s="215">
        <f>IF(D69&gt;1500000,Budgeting!$B$13,(IF(D69&gt;500000,Budgeting!$C$13,Budgeting!$D$13)))</f>
        <v>25.956254000485576</v>
      </c>
      <c r="O69" s="216">
        <f t="shared" si="11"/>
        <v>10412495.746762477</v>
      </c>
      <c r="P69" s="217">
        <f>IF(D69&gt;1500000,Budgeting!$B$15,(IF(D69&gt;500000,Budgeting!$C$15,Budgeting!$D$15)))</f>
        <v>3.7080362857836535</v>
      </c>
      <c r="Q69" s="218">
        <f t="shared" si="12"/>
        <v>1487499.3923946393</v>
      </c>
    </row>
    <row r="70" spans="1:17">
      <c r="A70" s="222">
        <v>25</v>
      </c>
      <c r="B70" s="191" t="s">
        <v>133</v>
      </c>
      <c r="C70" s="191">
        <v>2020</v>
      </c>
      <c r="D70" s="208">
        <f>Population!E26</f>
        <v>298512.23011630296</v>
      </c>
      <c r="E70" s="209" t="str">
        <f t="shared" si="13"/>
        <v>Medium</v>
      </c>
      <c r="F70" s="208"/>
      <c r="G70" s="210">
        <f>Variables!$C$3*POWER(SUM(1,Variables!$C$2/100),C70-2017)</f>
        <v>8009.4795713407393</v>
      </c>
      <c r="H70" s="210">
        <f t="shared" si="8"/>
        <v>270.37253619545299</v>
      </c>
      <c r="I70" s="211">
        <f>VLOOKUP(B70,'Waste per capita'!$B$2:$F$48,4,FALSE)*(H70/Variables!$C$6)</f>
        <v>307.6534356388982</v>
      </c>
      <c r="J70" s="210">
        <f t="shared" si="9"/>
        <v>91838.313175509989</v>
      </c>
      <c r="K70" s="212">
        <f>Variables!$C$13</f>
        <v>1</v>
      </c>
      <c r="L70" s="213">
        <f t="shared" si="10"/>
        <v>91838.313175509989</v>
      </c>
      <c r="N70" s="215">
        <f>IF(D70&gt;1500000,Budgeting!$B$13,(IF(D70&gt;500000,Budgeting!$C$13,Budgeting!$D$13)))</f>
        <v>26.27408568212417</v>
      </c>
      <c r="O70" s="216">
        <f t="shared" si="11"/>
        <v>2412967.7092751027</v>
      </c>
      <c r="P70" s="217">
        <f>IF(D70&gt;1500000,Budgeting!$B$15,(IF(D70&gt;500000,Budgeting!$C$15,Budgeting!$D$15)))</f>
        <v>7.6279603593263765</v>
      </c>
      <c r="Q70" s="218">
        <f t="shared" si="12"/>
        <v>700539.01237019151</v>
      </c>
    </row>
    <row r="71" spans="1:17">
      <c r="A71" s="222">
        <v>26</v>
      </c>
      <c r="B71" s="191" t="s">
        <v>134</v>
      </c>
      <c r="C71" s="191">
        <v>2020</v>
      </c>
      <c r="D71" s="208">
        <f>Population!E27</f>
        <v>123697.62664330562</v>
      </c>
      <c r="E71" s="209" t="str">
        <f t="shared" si="13"/>
        <v>Medium</v>
      </c>
      <c r="F71" s="208"/>
      <c r="G71" s="210">
        <f>Variables!$C$3*POWER(SUM(1,Variables!$C$2/100),C71-2017)</f>
        <v>8009.4795713407393</v>
      </c>
      <c r="H71" s="210">
        <f t="shared" si="8"/>
        <v>270.37253619545299</v>
      </c>
      <c r="I71" s="211">
        <f>VLOOKUP(B71,'Waste per capita'!$B$2:$F$48,4,FALSE)*(H71/Variables!$C$6)</f>
        <v>396.33808127626259</v>
      </c>
      <c r="J71" s="210">
        <f t="shared" si="9"/>
        <v>49026.080002235249</v>
      </c>
      <c r="K71" s="212">
        <f>Variables!$C$13</f>
        <v>1</v>
      </c>
      <c r="L71" s="213">
        <f t="shared" si="10"/>
        <v>49026.080002235249</v>
      </c>
      <c r="N71" s="215">
        <f>IF(D71&gt;1500000,Budgeting!$B$13,(IF(D71&gt;500000,Budgeting!$C$13,Budgeting!$D$13)))</f>
        <v>26.27408568212417</v>
      </c>
      <c r="O71" s="216">
        <f t="shared" si="11"/>
        <v>1288115.4266374032</v>
      </c>
      <c r="P71" s="217">
        <f>IF(D71&gt;1500000,Budgeting!$B$15,(IF(D71&gt;500000,Budgeting!$C$15,Budgeting!$D$15)))</f>
        <v>7.6279603593263765</v>
      </c>
      <c r="Q71" s="218">
        <f t="shared" si="12"/>
        <v>373968.99483021407</v>
      </c>
    </row>
    <row r="72" spans="1:17">
      <c r="A72" s="222">
        <v>27</v>
      </c>
      <c r="B72" s="191" t="s">
        <v>135</v>
      </c>
      <c r="C72" s="191">
        <v>2020</v>
      </c>
      <c r="D72" s="208">
        <f>Population!E28</f>
        <v>1247561.1760333304</v>
      </c>
      <c r="E72" s="209" t="str">
        <f t="shared" si="13"/>
        <v>Large</v>
      </c>
      <c r="F72" s="208"/>
      <c r="G72" s="210">
        <f>Variables!$C$3*POWER(SUM(1,Variables!$C$2/100),C72-2017)</f>
        <v>8009.4795713407393</v>
      </c>
      <c r="H72" s="210">
        <f t="shared" si="8"/>
        <v>270.37253619545299</v>
      </c>
      <c r="I72" s="211">
        <f>VLOOKUP(B72,'Waste per capita'!$B$2:$F$48,4,FALSE)*(H72/Variables!$C$6)</f>
        <v>156.34097323700325</v>
      </c>
      <c r="J72" s="210">
        <f t="shared" si="9"/>
        <v>195044.92843375122</v>
      </c>
      <c r="K72" s="212">
        <f>Variables!$C$13</f>
        <v>1</v>
      </c>
      <c r="L72" s="213">
        <f t="shared" si="10"/>
        <v>195044.92843375122</v>
      </c>
      <c r="N72" s="215">
        <f>IF(D72&gt;1500000,Budgeting!$B$13,(IF(D72&gt;500000,Budgeting!$C$13,Budgeting!$D$13)))</f>
        <v>26.132827156951464</v>
      </c>
      <c r="O72" s="216">
        <f t="shared" si="11"/>
        <v>5097075.4025991885</v>
      </c>
      <c r="P72" s="217">
        <f>IF(D72&gt;1500000,Budgeting!$B$15,(IF(D72&gt;500000,Budgeting!$C$15,Budgeting!$D$15)))</f>
        <v>2.1188778775906578</v>
      </c>
      <c r="Q72" s="218">
        <f t="shared" si="12"/>
        <v>413276.38399452856</v>
      </c>
    </row>
    <row r="73" spans="1:17">
      <c r="A73" s="222">
        <v>28</v>
      </c>
      <c r="B73" s="191" t="s">
        <v>136</v>
      </c>
      <c r="C73" s="191">
        <v>2020</v>
      </c>
      <c r="D73" s="208">
        <f>Population!E29</f>
        <v>1325338.5929655205</v>
      </c>
      <c r="E73" s="209" t="str">
        <f t="shared" si="13"/>
        <v>Large</v>
      </c>
      <c r="F73" s="208"/>
      <c r="G73" s="210">
        <f>Variables!$C$3*POWER(SUM(1,Variables!$C$2/100),C73-2017)</f>
        <v>8009.4795713407393</v>
      </c>
      <c r="H73" s="210">
        <f t="shared" si="8"/>
        <v>270.37253619545299</v>
      </c>
      <c r="I73" s="211">
        <f>VLOOKUP(B73,'Waste per capita'!$B$2:$F$48,4,FALSE)*(H73/Variables!$C$6)</f>
        <v>130.28414436416935</v>
      </c>
      <c r="J73" s="210">
        <f t="shared" si="9"/>
        <v>172670.60457732496</v>
      </c>
      <c r="K73" s="212">
        <f>Variables!$C$13</f>
        <v>1</v>
      </c>
      <c r="L73" s="213">
        <f t="shared" si="10"/>
        <v>172670.60457732496</v>
      </c>
      <c r="N73" s="215">
        <f>IF(D73&gt;1500000,Budgeting!$B$13,(IF(D73&gt;500000,Budgeting!$C$13,Budgeting!$D$13)))</f>
        <v>26.132827156951464</v>
      </c>
      <c r="O73" s="216">
        <f t="shared" si="11"/>
        <v>4512371.0645055454</v>
      </c>
      <c r="P73" s="217">
        <f>IF(D73&gt;1500000,Budgeting!$B$15,(IF(D73&gt;500000,Budgeting!$C$15,Budgeting!$D$15)))</f>
        <v>2.1188778775906578</v>
      </c>
      <c r="Q73" s="218">
        <f t="shared" si="12"/>
        <v>365867.92414909805</v>
      </c>
    </row>
    <row r="74" spans="1:17">
      <c r="A74" s="222">
        <v>29</v>
      </c>
      <c r="B74" s="191" t="s">
        <v>137</v>
      </c>
      <c r="C74" s="191">
        <v>2020</v>
      </c>
      <c r="D74" s="208">
        <f>Population!E30</f>
        <v>176841.94764232548</v>
      </c>
      <c r="E74" s="209" t="str">
        <f t="shared" si="13"/>
        <v>Medium</v>
      </c>
      <c r="F74" s="208"/>
      <c r="G74" s="210">
        <f>Variables!$C$3*POWER(SUM(1,Variables!$C$2/100),C74-2017)</f>
        <v>8009.4795713407393</v>
      </c>
      <c r="H74" s="210">
        <f t="shared" si="8"/>
        <v>270.37253619545299</v>
      </c>
      <c r="I74" s="211">
        <f>VLOOKUP(B74,'Waste per capita'!$B$2:$F$48,4,FALSE)*(H74/Variables!$C$6)</f>
        <v>177.36929127472882</v>
      </c>
      <c r="J74" s="210">
        <f t="shared" si="9"/>
        <v>31366.330920961973</v>
      </c>
      <c r="K74" s="212">
        <f>Variables!$C$13</f>
        <v>1</v>
      </c>
      <c r="L74" s="213">
        <f t="shared" si="10"/>
        <v>31366.330920961973</v>
      </c>
      <c r="N74" s="215">
        <f>IF(D74&gt;1500000,Budgeting!$B$13,(IF(D74&gt;500000,Budgeting!$C$13,Budgeting!$D$13)))</f>
        <v>26.27408568212417</v>
      </c>
      <c r="O74" s="216">
        <f t="shared" si="11"/>
        <v>824121.66615121556</v>
      </c>
      <c r="P74" s="217">
        <f>IF(D74&gt;1500000,Budgeting!$B$15,(IF(D74&gt;500000,Budgeting!$C$15,Budgeting!$D$15)))</f>
        <v>7.6279603593263765</v>
      </c>
      <c r="Q74" s="218">
        <f t="shared" si="12"/>
        <v>239261.12888261111</v>
      </c>
    </row>
    <row r="75" spans="1:17">
      <c r="A75" s="222">
        <v>30</v>
      </c>
      <c r="B75" s="191" t="s">
        <v>138</v>
      </c>
      <c r="C75" s="191">
        <v>2020</v>
      </c>
      <c r="D75" s="208">
        <f>Population!E31</f>
        <v>121325.8068203584</v>
      </c>
      <c r="E75" s="209" t="str">
        <f t="shared" si="13"/>
        <v>Medium</v>
      </c>
      <c r="F75" s="208"/>
      <c r="G75" s="210">
        <f>Variables!$C$3*POWER(SUM(1,Variables!$C$2/100),C75-2017)</f>
        <v>8009.4795713407393</v>
      </c>
      <c r="H75" s="210">
        <f t="shared" si="8"/>
        <v>270.37253619545299</v>
      </c>
      <c r="I75" s="211">
        <f>VLOOKUP(B75,'Waste per capita'!$B$2:$F$48,4,FALSE)*(H75/Variables!$C$6)</f>
        <v>166.85513225586604</v>
      </c>
      <c r="J75" s="210">
        <f t="shared" si="9"/>
        <v>20243.833543060555</v>
      </c>
      <c r="K75" s="212">
        <f>Variables!$C$13</f>
        <v>1</v>
      </c>
      <c r="L75" s="213">
        <f t="shared" si="10"/>
        <v>20243.833543060555</v>
      </c>
      <c r="N75" s="215">
        <f>IF(D75&gt;1500000,Budgeting!$B$13,(IF(D75&gt;500000,Budgeting!$C$13,Budgeting!$D$13)))</f>
        <v>26.27408568212417</v>
      </c>
      <c r="O75" s="216">
        <f t="shared" si="11"/>
        <v>531888.2170450323</v>
      </c>
      <c r="P75" s="217">
        <f>IF(D75&gt;1500000,Budgeting!$B$15,(IF(D75&gt;500000,Budgeting!$C$15,Budgeting!$D$15)))</f>
        <v>7.6279603593263765</v>
      </c>
      <c r="Q75" s="218">
        <f t="shared" si="12"/>
        <v>154419.15978726753</v>
      </c>
    </row>
    <row r="76" spans="1:17">
      <c r="A76" s="222">
        <v>31</v>
      </c>
      <c r="B76" s="191" t="s">
        <v>139</v>
      </c>
      <c r="C76" s="191">
        <v>2020</v>
      </c>
      <c r="D76" s="208">
        <f>Population!E32</f>
        <v>209374.52469325534</v>
      </c>
      <c r="E76" s="209" t="str">
        <f t="shared" si="13"/>
        <v>Medium</v>
      </c>
      <c r="F76" s="208"/>
      <c r="G76" s="210">
        <f>Variables!$C$3*POWER(SUM(1,Variables!$C$2/100),C76-2017)</f>
        <v>8009.4795713407393</v>
      </c>
      <c r="H76" s="210">
        <f t="shared" si="8"/>
        <v>270.37253619545299</v>
      </c>
      <c r="I76" s="211">
        <f>VLOOKUP(B76,'Waste per capita'!$B$2:$F$48,4,FALSE)*(H76/Variables!$C$6)</f>
        <v>185.53681190387442</v>
      </c>
      <c r="J76" s="210">
        <f t="shared" si="9"/>
        <v>38846.68180547563</v>
      </c>
      <c r="K76" s="212">
        <f>Variables!$C$13</f>
        <v>1</v>
      </c>
      <c r="L76" s="213">
        <f t="shared" si="10"/>
        <v>38846.68180547563</v>
      </c>
      <c r="N76" s="215">
        <f>IF(D76&gt;1500000,Budgeting!$B$13,(IF(D76&gt;500000,Budgeting!$C$13,Budgeting!$D$13)))</f>
        <v>26.27408568212417</v>
      </c>
      <c r="O76" s="216">
        <f t="shared" si="11"/>
        <v>1020661.0462232807</v>
      </c>
      <c r="P76" s="217">
        <f>IF(D76&gt;1500000,Budgeting!$B$15,(IF(D76&gt;500000,Budgeting!$C$15,Budgeting!$D$15)))</f>
        <v>7.6279603593263765</v>
      </c>
      <c r="Q76" s="218">
        <f t="shared" si="12"/>
        <v>296320.94890353328</v>
      </c>
    </row>
    <row r="77" spans="1:17">
      <c r="A77" s="222">
        <v>32</v>
      </c>
      <c r="B77" s="191" t="s">
        <v>140</v>
      </c>
      <c r="C77" s="191">
        <v>2020</v>
      </c>
      <c r="D77" s="208">
        <f>Population!E33</f>
        <v>1457625.8867135858</v>
      </c>
      <c r="E77" s="209" t="str">
        <f t="shared" si="13"/>
        <v>Large</v>
      </c>
      <c r="F77" s="208"/>
      <c r="G77" s="210">
        <f>Variables!$C$3*POWER(SUM(1,Variables!$C$2/100),C77-2017)</f>
        <v>8009.4795713407393</v>
      </c>
      <c r="H77" s="210">
        <f t="shared" si="8"/>
        <v>270.37253619545299</v>
      </c>
      <c r="I77" s="211">
        <f>VLOOKUP(B77,'Waste per capita'!$B$2:$F$48,4,FALSE)*(H77/Variables!$C$6)</f>
        <v>250.51126705812217</v>
      </c>
      <c r="J77" s="210">
        <f t="shared" si="9"/>
        <v>365151.70777733921</v>
      </c>
      <c r="K77" s="212">
        <f>Variables!$C$13</f>
        <v>1</v>
      </c>
      <c r="L77" s="213">
        <f t="shared" si="10"/>
        <v>365151.70777733921</v>
      </c>
      <c r="N77" s="215">
        <f>IF(D77&gt;1500000,Budgeting!$B$13,(IF(D77&gt;500000,Budgeting!$C$13,Budgeting!$D$13)))</f>
        <v>26.132827156951464</v>
      </c>
      <c r="O77" s="216">
        <f t="shared" si="11"/>
        <v>9542446.4654108547</v>
      </c>
      <c r="P77" s="217">
        <f>IF(D77&gt;1500000,Budgeting!$B$15,(IF(D77&gt;500000,Budgeting!$C$15,Budgeting!$D$15)))</f>
        <v>2.1188778775906578</v>
      </c>
      <c r="Q77" s="218">
        <f t="shared" si="12"/>
        <v>773711.87557385257</v>
      </c>
    </row>
    <row r="78" spans="1:17">
      <c r="A78" s="222">
        <v>33</v>
      </c>
      <c r="B78" s="191" t="s">
        <v>141</v>
      </c>
      <c r="C78" s="191">
        <v>2020</v>
      </c>
      <c r="D78" s="208">
        <f>Population!E34</f>
        <v>918220.22693776176</v>
      </c>
      <c r="E78" s="209" t="str">
        <f t="shared" si="13"/>
        <v>Medium</v>
      </c>
      <c r="F78" s="208"/>
      <c r="G78" s="210">
        <f>Variables!$C$3*POWER(SUM(1,Variables!$C$2/100),C78-2017)</f>
        <v>8009.4795713407393</v>
      </c>
      <c r="H78" s="210">
        <f t="shared" si="8"/>
        <v>270.37253619545299</v>
      </c>
      <c r="I78" s="211">
        <f>VLOOKUP(B78,'Waste per capita'!$B$2:$F$48,4,FALSE)*(H78/Variables!$C$6)</f>
        <v>119.76998534530659</v>
      </c>
      <c r="J78" s="210">
        <f t="shared" si="9"/>
        <v>109975.22312409982</v>
      </c>
      <c r="K78" s="212">
        <f>Variables!$C$13</f>
        <v>1</v>
      </c>
      <c r="L78" s="213">
        <f t="shared" si="10"/>
        <v>109975.22312409982</v>
      </c>
      <c r="N78" s="215">
        <f>IF(D78&gt;1500000,Budgeting!$B$13,(IF(D78&gt;500000,Budgeting!$C$13,Budgeting!$D$13)))</f>
        <v>26.132827156951464</v>
      </c>
      <c r="O78" s="216">
        <f t="shared" si="11"/>
        <v>2873963.4974492723</v>
      </c>
      <c r="P78" s="217">
        <f>IF(D78&gt;1500000,Budgeting!$B$15,(IF(D78&gt;500000,Budgeting!$C$15,Budgeting!$D$15)))</f>
        <v>2.1188778775906578</v>
      </c>
      <c r="Q78" s="218">
        <f t="shared" si="12"/>
        <v>233024.06736075165</v>
      </c>
    </row>
    <row r="79" spans="1:17">
      <c r="A79" s="222">
        <v>34</v>
      </c>
      <c r="B79" s="191" t="s">
        <v>142</v>
      </c>
      <c r="C79" s="191">
        <v>2020</v>
      </c>
      <c r="D79" s="208">
        <f>Population!E35</f>
        <v>531176.51916159026</v>
      </c>
      <c r="E79" s="209" t="str">
        <f t="shared" si="13"/>
        <v>Medium</v>
      </c>
      <c r="F79" s="208"/>
      <c r="G79" s="210">
        <f>Variables!$C$3*POWER(SUM(1,Variables!$C$2/100),C79-2017)</f>
        <v>8009.4795713407393</v>
      </c>
      <c r="H79" s="210">
        <f t="shared" si="8"/>
        <v>270.37253619545299</v>
      </c>
      <c r="I79" s="211">
        <f>VLOOKUP(B79,'Waste per capita'!$B$2:$F$48,4,FALSE)*(H79/Variables!$C$6)</f>
        <v>214.85455386371788</v>
      </c>
      <c r="J79" s="210">
        <f t="shared" si="9"/>
        <v>114125.69404734607</v>
      </c>
      <c r="K79" s="212">
        <f>Variables!$C$13</f>
        <v>1</v>
      </c>
      <c r="L79" s="213">
        <f t="shared" si="10"/>
        <v>114125.69404734607</v>
      </c>
      <c r="N79" s="215">
        <f>IF(D79&gt;1500000,Budgeting!$B$13,(IF(D79&gt;500000,Budgeting!$C$13,Budgeting!$D$13)))</f>
        <v>26.132827156951464</v>
      </c>
      <c r="O79" s="216">
        <f t="shared" si="11"/>
        <v>2982427.0367064197</v>
      </c>
      <c r="P79" s="217">
        <f>IF(D79&gt;1500000,Budgeting!$B$15,(IF(D79&gt;500000,Budgeting!$C$15,Budgeting!$D$15)))</f>
        <v>2.1188778775906578</v>
      </c>
      <c r="Q79" s="218">
        <f t="shared" si="12"/>
        <v>241818.40838160142</v>
      </c>
    </row>
    <row r="80" spans="1:17">
      <c r="A80" s="222">
        <v>35</v>
      </c>
      <c r="B80" s="191" t="s">
        <v>143</v>
      </c>
      <c r="C80" s="191">
        <v>2020</v>
      </c>
      <c r="D80" s="208">
        <f>Population!E36</f>
        <v>226294.57615273932</v>
      </c>
      <c r="E80" s="209" t="str">
        <f t="shared" si="13"/>
        <v>Medium</v>
      </c>
      <c r="F80" s="208"/>
      <c r="G80" s="210">
        <f>Variables!$C$3*POWER(SUM(1,Variables!$C$2/100),C80-2017)</f>
        <v>8009.4795713407393</v>
      </c>
      <c r="H80" s="210">
        <f t="shared" si="8"/>
        <v>270.37253619545299</v>
      </c>
      <c r="I80" s="211">
        <f>VLOOKUP(B80,'Waste per capita'!$B$2:$F$48,4,FALSE)*(H80/Variables!$C$6)</f>
        <v>183.76921415577576</v>
      </c>
      <c r="J80" s="210">
        <f t="shared" si="9"/>
        <v>41585.976427303256</v>
      </c>
      <c r="K80" s="212">
        <f>Variables!$C$13</f>
        <v>1</v>
      </c>
      <c r="L80" s="213">
        <f t="shared" si="10"/>
        <v>41585.976427303256</v>
      </c>
      <c r="N80" s="215">
        <f>IF(D80&gt;1500000,Budgeting!$B$13,(IF(D80&gt;500000,Budgeting!$C$13,Budgeting!$D$13)))</f>
        <v>26.27408568212417</v>
      </c>
      <c r="O80" s="216">
        <f t="shared" si="11"/>
        <v>1092633.5078257618</v>
      </c>
      <c r="P80" s="217">
        <f>IF(D80&gt;1500000,Budgeting!$B$15,(IF(D80&gt;500000,Budgeting!$C$15,Budgeting!$D$15)))</f>
        <v>7.6279603593263765</v>
      </c>
      <c r="Q80" s="218">
        <f t="shared" si="12"/>
        <v>317216.17969135038</v>
      </c>
    </row>
    <row r="81" spans="1:17">
      <c r="A81" s="222">
        <v>36</v>
      </c>
      <c r="B81" s="191" t="s">
        <v>144</v>
      </c>
      <c r="C81" s="191">
        <v>2020</v>
      </c>
      <c r="D81" s="208">
        <f>Population!E37</f>
        <v>1450891.9432912257</v>
      </c>
      <c r="E81" s="209" t="str">
        <f t="shared" si="13"/>
        <v>Large</v>
      </c>
      <c r="F81" s="208"/>
      <c r="G81" s="210">
        <f>Variables!$C$3*POWER(SUM(1,Variables!$C$2/100),C81-2017)</f>
        <v>8009.4795713407393</v>
      </c>
      <c r="H81" s="210">
        <f t="shared" si="8"/>
        <v>270.37253619545299</v>
      </c>
      <c r="I81" s="211">
        <f>VLOOKUP(B81,'Waste per capita'!$B$2:$F$48,4,FALSE)*(H81/Variables!$C$6)</f>
        <v>260.5682887283387</v>
      </c>
      <c r="J81" s="210">
        <f t="shared" si="9"/>
        <v>378056.4307931285</v>
      </c>
      <c r="K81" s="212">
        <f>Variables!$C$13</f>
        <v>1</v>
      </c>
      <c r="L81" s="213">
        <f t="shared" si="10"/>
        <v>378056.4307931285</v>
      </c>
      <c r="N81" s="215">
        <f>IF(D81&gt;1500000,Budgeting!$B$13,(IF(D81&gt;500000,Budgeting!$C$13,Budgeting!$D$13)))</f>
        <v>26.132827156951464</v>
      </c>
      <c r="O81" s="216">
        <f t="shared" si="11"/>
        <v>9879683.3614908103</v>
      </c>
      <c r="P81" s="217">
        <f>IF(D81&gt;1500000,Budgeting!$B$15,(IF(D81&gt;500000,Budgeting!$C$15,Budgeting!$D$15)))</f>
        <v>2.1188778775906578</v>
      </c>
      <c r="Q81" s="218">
        <f t="shared" si="12"/>
        <v>801055.40768844355</v>
      </c>
    </row>
    <row r="82" spans="1:17">
      <c r="A82" s="222">
        <v>37</v>
      </c>
      <c r="B82" s="191" t="s">
        <v>145</v>
      </c>
      <c r="C82" s="191">
        <v>2020</v>
      </c>
      <c r="D82" s="208">
        <f>Population!E38</f>
        <v>242067.61011325504</v>
      </c>
      <c r="E82" s="209" t="str">
        <f t="shared" si="13"/>
        <v>Medium</v>
      </c>
      <c r="F82" s="208"/>
      <c r="G82" s="210">
        <f>Variables!$C$3*POWER(SUM(1,Variables!$C$2/100),C82-2017)</f>
        <v>8009.4795713407393</v>
      </c>
      <c r="H82" s="210">
        <f t="shared" si="8"/>
        <v>270.37253619545299</v>
      </c>
      <c r="I82" s="211">
        <f>VLOOKUP(B82,'Waste per capita'!$B$2:$F$48,4,FALSE)*(H82/Variables!$C$6)</f>
        <v>183.76921415577576</v>
      </c>
      <c r="J82" s="210">
        <f t="shared" si="9"/>
        <v>44484.574483079596</v>
      </c>
      <c r="K82" s="212">
        <f>Variables!$C$13</f>
        <v>1</v>
      </c>
      <c r="L82" s="213">
        <f t="shared" si="10"/>
        <v>44484.574483079596</v>
      </c>
      <c r="N82" s="215">
        <f>IF(D82&gt;1500000,Budgeting!$B$13,(IF(D82&gt;500000,Budgeting!$C$13,Budgeting!$D$13)))</f>
        <v>26.27408568212417</v>
      </c>
      <c r="O82" s="216">
        <f t="shared" si="11"/>
        <v>1168791.5215012678</v>
      </c>
      <c r="P82" s="217">
        <f>IF(D82&gt;1500000,Budgeting!$B$15,(IF(D82&gt;500000,Budgeting!$C$15,Budgeting!$D$15)))</f>
        <v>7.6279603593263765</v>
      </c>
      <c r="Q82" s="218">
        <f t="shared" si="12"/>
        <v>339326.57075843279</v>
      </c>
    </row>
    <row r="83" spans="1:17">
      <c r="A83" s="222">
        <v>38</v>
      </c>
      <c r="B83" s="191" t="s">
        <v>146</v>
      </c>
      <c r="C83" s="191">
        <v>2020</v>
      </c>
      <c r="D83" s="208">
        <f>Population!E39</f>
        <v>1064535.9521425301</v>
      </c>
      <c r="E83" s="209" t="str">
        <f t="shared" si="13"/>
        <v>Large</v>
      </c>
      <c r="F83" s="208"/>
      <c r="G83" s="210">
        <f>Variables!$C$3*POWER(SUM(1,Variables!$C$2/100),C83-2017)</f>
        <v>8009.4795713407393</v>
      </c>
      <c r="H83" s="210">
        <f t="shared" si="8"/>
        <v>270.37253619545299</v>
      </c>
      <c r="I83" s="211">
        <f>VLOOKUP(B83,'Waste per capita'!$B$2:$F$48,4,FALSE)*(H83/Variables!$C$6)</f>
        <v>257.12410322483993</v>
      </c>
      <c r="J83" s="210">
        <f t="shared" si="9"/>
        <v>273717.85204524914</v>
      </c>
      <c r="K83" s="212">
        <f>Variables!$C$13</f>
        <v>1</v>
      </c>
      <c r="L83" s="213">
        <f t="shared" si="10"/>
        <v>273717.85204524914</v>
      </c>
      <c r="N83" s="215">
        <f>IF(D83&gt;1500000,Budgeting!$B$13,(IF(D83&gt;500000,Budgeting!$C$13,Budgeting!$D$13)))</f>
        <v>26.132827156951464</v>
      </c>
      <c r="O83" s="216">
        <f t="shared" si="11"/>
        <v>7153021.3172705099</v>
      </c>
      <c r="P83" s="217">
        <f>IF(D83&gt;1500000,Budgeting!$B$15,(IF(D83&gt;500000,Budgeting!$C$15,Budgeting!$D$15)))</f>
        <v>2.1188778775906578</v>
      </c>
      <c r="Q83" s="218">
        <f t="shared" si="12"/>
        <v>579974.7014003112</v>
      </c>
    </row>
    <row r="84" spans="1:17">
      <c r="A84" s="222">
        <v>39</v>
      </c>
      <c r="B84" s="191" t="s">
        <v>147</v>
      </c>
      <c r="C84" s="191">
        <v>2020</v>
      </c>
      <c r="D84" s="208">
        <f>Population!E40</f>
        <v>87637.569512125774</v>
      </c>
      <c r="E84" s="209" t="str">
        <f t="shared" si="13"/>
        <v>Small</v>
      </c>
      <c r="F84" s="208"/>
      <c r="G84" s="210">
        <f>Variables!$C$3*POWER(SUM(1,Variables!$C$2/100),C84-2017)</f>
        <v>8009.4795713407393</v>
      </c>
      <c r="H84" s="210">
        <f t="shared" si="8"/>
        <v>270.37253619545299</v>
      </c>
      <c r="I84" s="211">
        <f>VLOOKUP(B84,'Waste per capita'!$B$2:$F$48,4,FALSE)*(H84/Variables!$C$6)</f>
        <v>208.62214364125023</v>
      </c>
      <c r="J84" s="210">
        <f t="shared" si="9"/>
        <v>18283.137615128755</v>
      </c>
      <c r="K84" s="212">
        <f>Variables!$C$13</f>
        <v>1</v>
      </c>
      <c r="L84" s="213">
        <f t="shared" si="10"/>
        <v>18283.137615128755</v>
      </c>
      <c r="N84" s="215">
        <f>IF(D84&gt;1500000,Budgeting!$B$13,(IF(D84&gt;500000,Budgeting!$C$13,Budgeting!$D$13)))</f>
        <v>26.27408568212417</v>
      </c>
      <c r="O84" s="216">
        <f t="shared" si="11"/>
        <v>480372.72423796024</v>
      </c>
      <c r="P84" s="217">
        <f>IF(D84&gt;1500000,Budgeting!$B$15,(IF(D84&gt;500000,Budgeting!$C$15,Budgeting!$D$15)))</f>
        <v>7.6279603593263765</v>
      </c>
      <c r="Q84" s="218">
        <f t="shared" si="12"/>
        <v>139463.04897231114</v>
      </c>
    </row>
    <row r="85" spans="1:17">
      <c r="A85" s="222">
        <v>40</v>
      </c>
      <c r="B85" s="191" t="s">
        <v>148</v>
      </c>
      <c r="C85" s="191">
        <v>2020</v>
      </c>
      <c r="D85" s="208">
        <f>Population!E41</f>
        <v>156478.37432641268</v>
      </c>
      <c r="E85" s="209" t="str">
        <f t="shared" si="13"/>
        <v>Medium</v>
      </c>
      <c r="F85" s="208"/>
      <c r="G85" s="210">
        <f>Variables!$C$3*POWER(SUM(1,Variables!$C$2/100),C85-2017)</f>
        <v>8009.4795713407393</v>
      </c>
      <c r="H85" s="210">
        <f t="shared" si="8"/>
        <v>270.37253619545299</v>
      </c>
      <c r="I85" s="211">
        <f>VLOOKUP(B85,'Waste per capita'!$B$2:$F$48,4,FALSE)*(H85/Variables!$C$6)</f>
        <v>185.53681190387442</v>
      </c>
      <c r="J85" s="210">
        <f t="shared" si="9"/>
        <v>29032.49870442368</v>
      </c>
      <c r="K85" s="212">
        <f>Variables!$C$13</f>
        <v>1</v>
      </c>
      <c r="L85" s="213">
        <f t="shared" si="10"/>
        <v>29032.49870442368</v>
      </c>
      <c r="N85" s="215">
        <f>IF(D85&gt;1500000,Budgeting!$B$13,(IF(D85&gt;500000,Budgeting!$C$13,Budgeting!$D$13)))</f>
        <v>26.27408568212417</v>
      </c>
      <c r="O85" s="216">
        <f t="shared" si="11"/>
        <v>762802.35852618678</v>
      </c>
      <c r="P85" s="217">
        <f>IF(D85&gt;1500000,Budgeting!$B$15,(IF(D85&gt;500000,Budgeting!$C$15,Budgeting!$D$15)))</f>
        <v>7.6279603593263765</v>
      </c>
      <c r="Q85" s="218">
        <f t="shared" si="12"/>
        <v>221458.74924953823</v>
      </c>
    </row>
    <row r="86" spans="1:17">
      <c r="A86" s="222">
        <v>41</v>
      </c>
      <c r="B86" s="191" t="s">
        <v>149</v>
      </c>
      <c r="C86" s="191">
        <v>2020</v>
      </c>
      <c r="D86" s="208">
        <f>Population!E42</f>
        <v>75315.465486611327</v>
      </c>
      <c r="E86" s="209" t="str">
        <f t="shared" si="13"/>
        <v>Small</v>
      </c>
      <c r="F86" s="208"/>
      <c r="G86" s="210">
        <f>Variables!$C$3*POWER(SUM(1,Variables!$C$2/100),C86-2017)</f>
        <v>8009.4795713407393</v>
      </c>
      <c r="H86" s="210">
        <f t="shared" si="8"/>
        <v>270.37253619545299</v>
      </c>
      <c r="I86" s="211">
        <f>VLOOKUP(B86,'Waste per capita'!$B$2:$F$48,4,FALSE)*(H86/Variables!$C$6)</f>
        <v>208.62214364125023</v>
      </c>
      <c r="J86" s="210">
        <f t="shared" si="9"/>
        <v>15712.473859155452</v>
      </c>
      <c r="K86" s="212">
        <f>Variables!$C$13</f>
        <v>1</v>
      </c>
      <c r="L86" s="213">
        <f t="shared" si="10"/>
        <v>15712.473859155452</v>
      </c>
      <c r="N86" s="215">
        <f>IF(D86&gt;1500000,Budgeting!$B$13,(IF(D86&gt;500000,Budgeting!$C$13,Budgeting!$D$13)))</f>
        <v>26.27408568212417</v>
      </c>
      <c r="O86" s="216">
        <f t="shared" si="11"/>
        <v>412830.88445358659</v>
      </c>
      <c r="P86" s="217">
        <f>IF(D86&gt;1500000,Budgeting!$B$15,(IF(D86&gt;500000,Budgeting!$C$15,Budgeting!$D$15)))</f>
        <v>7.6279603593263765</v>
      </c>
      <c r="Q86" s="218">
        <f t="shared" si="12"/>
        <v>119854.12774458973</v>
      </c>
    </row>
    <row r="87" spans="1:17">
      <c r="A87" s="222">
        <v>42</v>
      </c>
      <c r="B87" s="191" t="s">
        <v>150</v>
      </c>
      <c r="C87" s="191">
        <v>2020</v>
      </c>
      <c r="D87" s="208">
        <f>Population!E43</f>
        <v>93267.709227190498</v>
      </c>
      <c r="E87" s="209" t="str">
        <f t="shared" si="13"/>
        <v>Small</v>
      </c>
      <c r="F87" s="208"/>
      <c r="G87" s="210">
        <f>Variables!$C$3*POWER(SUM(1,Variables!$C$2/100),C87-2017)</f>
        <v>8009.4795713407393</v>
      </c>
      <c r="H87" s="210">
        <f t="shared" si="8"/>
        <v>270.37253619545299</v>
      </c>
      <c r="I87" s="211">
        <f>VLOOKUP(B87,'Waste per capita'!$B$2:$F$48,4,FALSE)*(H87/Variables!$C$6)</f>
        <v>208.62214364125023</v>
      </c>
      <c r="J87" s="210">
        <f t="shared" si="9"/>
        <v>19457.709431485295</v>
      </c>
      <c r="K87" s="212">
        <f>Variables!$C$13</f>
        <v>1</v>
      </c>
      <c r="L87" s="213">
        <f t="shared" si="10"/>
        <v>19457.709431485295</v>
      </c>
      <c r="N87" s="215">
        <f>IF(D87&gt;1500000,Budgeting!$B$13,(IF(D87&gt;500000,Budgeting!$C$13,Budgeting!$D$13)))</f>
        <v>26.27408568212417</v>
      </c>
      <c r="O87" s="216">
        <f t="shared" si="11"/>
        <v>511233.52478072018</v>
      </c>
      <c r="P87" s="217">
        <f>IF(D87&gt;1500000,Budgeting!$B$15,(IF(D87&gt;500000,Budgeting!$C$15,Budgeting!$D$15)))</f>
        <v>7.6279603593263765</v>
      </c>
      <c r="Q87" s="218">
        <f t="shared" si="12"/>
        <v>148422.6362266608</v>
      </c>
    </row>
    <row r="88" spans="1:17">
      <c r="A88" s="222">
        <v>1</v>
      </c>
      <c r="B88" s="191" t="s">
        <v>109</v>
      </c>
      <c r="C88" s="191">
        <v>2021</v>
      </c>
      <c r="D88" s="208">
        <f>Population!F2</f>
        <v>505581.7247414047</v>
      </c>
      <c r="E88" s="209" t="str">
        <f t="shared" si="13"/>
        <v>Medium</v>
      </c>
      <c r="F88" s="208"/>
      <c r="G88" s="210">
        <f>Variables!$C$3*POWER(SUM(1,Variables!$C$2/100),C88-2017)</f>
        <v>8579.7545168201996</v>
      </c>
      <c r="H88" s="210">
        <f t="shared" si="8"/>
        <v>278.16871425679892</v>
      </c>
      <c r="I88" s="211">
        <f>VLOOKUP(B88,'Waste per capita'!$B$2:$F$48,4,FALSE)*(H88/Variables!$C$6)</f>
        <v>214.46540945788655</v>
      </c>
      <c r="J88" s="210">
        <f t="shared" si="9"/>
        <v>108429.79161108985</v>
      </c>
      <c r="K88" s="212">
        <f>Variables!$C$13</f>
        <v>1</v>
      </c>
      <c r="L88" s="213">
        <f t="shared" si="10"/>
        <v>108429.79161108985</v>
      </c>
      <c r="N88" s="215">
        <f>IF(D88&gt;1500000,Budgeting!$B$13,(IF(D88&gt;500000,Budgeting!$C$13,Budgeting!$D$13)))</f>
        <v>26.132827156951464</v>
      </c>
      <c r="O88" s="216">
        <f t="shared" si="11"/>
        <v>2833577.002836877</v>
      </c>
      <c r="P88" s="217">
        <f>IF(D88&gt;1500000,Budgeting!$B$15,(IF(D88&gt;500000,Budgeting!$C$15,Budgeting!$D$15)))</f>
        <v>2.1188778775906578</v>
      </c>
      <c r="Q88" s="218">
        <f t="shared" si="12"/>
        <v>229749.48671650336</v>
      </c>
    </row>
    <row r="89" spans="1:17">
      <c r="A89" s="222">
        <v>2</v>
      </c>
      <c r="B89" s="191" t="s">
        <v>110</v>
      </c>
      <c r="C89" s="191">
        <v>2021</v>
      </c>
      <c r="D89" s="208">
        <f>Population!F3</f>
        <v>370860.70975971239</v>
      </c>
      <c r="E89" s="209" t="str">
        <f t="shared" si="13"/>
        <v>Medium</v>
      </c>
      <c r="F89" s="208"/>
      <c r="G89" s="210">
        <f>Variables!$C$3*POWER(SUM(1,Variables!$C$2/100),C89-2017)</f>
        <v>8579.7545168201996</v>
      </c>
      <c r="H89" s="210">
        <f t="shared" si="8"/>
        <v>278.16871425679892</v>
      </c>
      <c r="I89" s="211">
        <f>VLOOKUP(B89,'Waste per capita'!$B$2:$F$48,4,FALSE)*(H89/Variables!$C$6)</f>
        <v>134.0408809111791</v>
      </c>
      <c r="J89" s="210">
        <f t="shared" si="9"/>
        <v>49710.49623153697</v>
      </c>
      <c r="K89" s="212">
        <f>Variables!$C$13</f>
        <v>1</v>
      </c>
      <c r="L89" s="213">
        <f t="shared" si="10"/>
        <v>49710.49623153697</v>
      </c>
      <c r="N89" s="215">
        <f>IF(D89&gt;1500000,Budgeting!$B$13,(IF(D89&gt;500000,Budgeting!$C$13,Budgeting!$D$13)))</f>
        <v>26.27408568212417</v>
      </c>
      <c r="O89" s="216">
        <f t="shared" si="11"/>
        <v>1306097.8372883131</v>
      </c>
      <c r="P89" s="217">
        <f>IF(D89&gt;1500000,Budgeting!$B$15,(IF(D89&gt;500000,Budgeting!$C$15,Budgeting!$D$15)))</f>
        <v>7.6279603593263765</v>
      </c>
      <c r="Q89" s="218">
        <f t="shared" si="12"/>
        <v>379189.69469660724</v>
      </c>
    </row>
    <row r="90" spans="1:17">
      <c r="A90" s="222">
        <v>3</v>
      </c>
      <c r="B90" s="191" t="s">
        <v>111</v>
      </c>
      <c r="C90" s="191">
        <v>2021</v>
      </c>
      <c r="D90" s="208">
        <f>Population!F4</f>
        <v>10672312.70101269</v>
      </c>
      <c r="E90" s="209" t="str">
        <f t="shared" si="13"/>
        <v>Large</v>
      </c>
      <c r="F90" s="208"/>
      <c r="G90" s="210">
        <f>Variables!$C$3*POWER(SUM(1,Variables!$C$2/100),C90-2017)</f>
        <v>8579.7545168201996</v>
      </c>
      <c r="H90" s="210">
        <f t="shared" si="8"/>
        <v>278.16871425679892</v>
      </c>
      <c r="I90" s="211">
        <f>VLOOKUP(B90,'Waste per capita'!$B$2:$F$48,4,FALSE)*(H90/Variables!$C$6)</f>
        <v>346.61857212311634</v>
      </c>
      <c r="J90" s="210">
        <f t="shared" si="9"/>
        <v>3699221.7896764171</v>
      </c>
      <c r="K90" s="212">
        <f>Variables!$C$13</f>
        <v>1</v>
      </c>
      <c r="L90" s="213">
        <f t="shared" si="10"/>
        <v>3699221.7896764171</v>
      </c>
      <c r="N90" s="215">
        <f>IF(D90&gt;1500000,Budgeting!$B$13,(IF(D90&gt;500000,Budgeting!$C$13,Budgeting!$D$13)))</f>
        <v>25.956254000485576</v>
      </c>
      <c r="O90" s="216">
        <f t="shared" si="11"/>
        <v>96017940.376971915</v>
      </c>
      <c r="P90" s="217">
        <f>IF(D90&gt;1500000,Budgeting!$B$15,(IF(D90&gt;500000,Budgeting!$C$15,Budgeting!$D$15)))</f>
        <v>3.7080362857836535</v>
      </c>
      <c r="Q90" s="218">
        <f t="shared" si="12"/>
        <v>13716848.625281701</v>
      </c>
    </row>
    <row r="91" spans="1:17">
      <c r="A91" s="222">
        <v>4</v>
      </c>
      <c r="B91" s="191" t="s">
        <v>112</v>
      </c>
      <c r="C91" s="191">
        <v>2021</v>
      </c>
      <c r="D91" s="208">
        <f>Population!F5</f>
        <v>2272842.6663259347</v>
      </c>
      <c r="E91" s="209" t="str">
        <f t="shared" si="13"/>
        <v>Large</v>
      </c>
      <c r="F91" s="208"/>
      <c r="G91" s="210">
        <f>Variables!$C$3*POWER(SUM(1,Variables!$C$2/100),C91-2017)</f>
        <v>8579.7545168201996</v>
      </c>
      <c r="H91" s="210">
        <f t="shared" si="8"/>
        <v>278.16871425679892</v>
      </c>
      <c r="I91" s="211">
        <f>VLOOKUP(B91,'Waste per capita'!$B$2:$F$48,4,FALSE)*(H91/Variables!$C$6)</f>
        <v>214.46540945788655</v>
      </c>
      <c r="J91" s="210">
        <f t="shared" si="9"/>
        <v>487446.13306694623</v>
      </c>
      <c r="K91" s="212">
        <f>Variables!$C$13</f>
        <v>1</v>
      </c>
      <c r="L91" s="213">
        <f t="shared" si="10"/>
        <v>487446.13306694623</v>
      </c>
      <c r="N91" s="215">
        <f>IF(D91&gt;1500000,Budgeting!$B$13,(IF(D91&gt;500000,Budgeting!$C$13,Budgeting!$D$13)))</f>
        <v>25.956254000485576</v>
      </c>
      <c r="O91" s="216">
        <f t="shared" si="11"/>
        <v>12652275.641440148</v>
      </c>
      <c r="P91" s="217">
        <f>IF(D91&gt;1500000,Budgeting!$B$15,(IF(D91&gt;500000,Budgeting!$C$15,Budgeting!$D$15)))</f>
        <v>3.7080362857836535</v>
      </c>
      <c r="Q91" s="218">
        <f t="shared" si="12"/>
        <v>1807467.9487771639</v>
      </c>
    </row>
    <row r="92" spans="1:17">
      <c r="A92" s="222">
        <v>5</v>
      </c>
      <c r="B92" s="191" t="s">
        <v>113</v>
      </c>
      <c r="C92" s="191">
        <v>2021</v>
      </c>
      <c r="D92" s="208">
        <f>Population!F6</f>
        <v>1066010.9344165314</v>
      </c>
      <c r="E92" s="209" t="str">
        <f t="shared" si="13"/>
        <v>Large</v>
      </c>
      <c r="F92" s="208"/>
      <c r="G92" s="210">
        <f>Variables!$C$3*POWER(SUM(1,Variables!$C$2/100),C92-2017)</f>
        <v>8579.7545168201996</v>
      </c>
      <c r="H92" s="210">
        <f t="shared" si="8"/>
        <v>278.16871425679892</v>
      </c>
      <c r="I92" s="211">
        <f>VLOOKUP(B92,'Waste per capita'!$B$2:$F$48,4,FALSE)*(H92/Variables!$C$6)</f>
        <v>214.46540945788655</v>
      </c>
      <c r="J92" s="210">
        <f t="shared" si="9"/>
        <v>228622.47153622564</v>
      </c>
      <c r="K92" s="212">
        <f>Variables!$C$13</f>
        <v>1</v>
      </c>
      <c r="L92" s="213">
        <f t="shared" si="10"/>
        <v>228622.47153622564</v>
      </c>
      <c r="N92" s="215">
        <f>IF(D92&gt;1500000,Budgeting!$B$13,(IF(D92&gt;500000,Budgeting!$C$13,Budgeting!$D$13)))</f>
        <v>26.132827156951464</v>
      </c>
      <c r="O92" s="216">
        <f t="shared" si="11"/>
        <v>5974551.5328512406</v>
      </c>
      <c r="P92" s="217">
        <f>IF(D92&gt;1500000,Budgeting!$B$15,(IF(D92&gt;500000,Budgeting!$C$15,Budgeting!$D$15)))</f>
        <v>2.1188778775906578</v>
      </c>
      <c r="Q92" s="218">
        <f t="shared" si="12"/>
        <v>484423.09725820838</v>
      </c>
    </row>
    <row r="93" spans="1:17">
      <c r="A93" s="222">
        <v>6</v>
      </c>
      <c r="B93" s="191" t="s">
        <v>114</v>
      </c>
      <c r="C93" s="191">
        <v>2021</v>
      </c>
      <c r="D93" s="208">
        <f>Population!F7</f>
        <v>1215389.880973473</v>
      </c>
      <c r="E93" s="209" t="str">
        <f t="shared" si="13"/>
        <v>Large</v>
      </c>
      <c r="F93" s="208"/>
      <c r="G93" s="210">
        <f>Variables!$C$3*POWER(SUM(1,Variables!$C$2/100),C93-2017)</f>
        <v>8579.7545168201996</v>
      </c>
      <c r="H93" s="210">
        <f t="shared" si="8"/>
        <v>278.16871425679892</v>
      </c>
      <c r="I93" s="211">
        <f>VLOOKUP(B93,'Waste per capita'!$B$2:$F$48,4,FALSE)*(H93/Variables!$C$6)</f>
        <v>214.46540945788655</v>
      </c>
      <c r="J93" s="210">
        <f t="shared" si="9"/>
        <v>260659.08847394789</v>
      </c>
      <c r="K93" s="212">
        <f>Variables!$C$13</f>
        <v>1</v>
      </c>
      <c r="L93" s="213">
        <f t="shared" si="10"/>
        <v>260659.08847394789</v>
      </c>
      <c r="N93" s="215">
        <f>IF(D93&gt;1500000,Budgeting!$B$13,(IF(D93&gt;500000,Budgeting!$C$13,Budgeting!$D$13)))</f>
        <v>26.132827156951464</v>
      </c>
      <c r="O93" s="216">
        <f t="shared" si="11"/>
        <v>6811758.9059782</v>
      </c>
      <c r="P93" s="217">
        <f>IF(D93&gt;1500000,Budgeting!$B$15,(IF(D93&gt;500000,Budgeting!$C$15,Budgeting!$D$15)))</f>
        <v>2.1188778775906578</v>
      </c>
      <c r="Q93" s="218">
        <f t="shared" si="12"/>
        <v>552304.77616039419</v>
      </c>
    </row>
    <row r="94" spans="1:17">
      <c r="A94" s="222">
        <v>7</v>
      </c>
      <c r="B94" s="191" t="s">
        <v>115</v>
      </c>
      <c r="C94" s="191">
        <v>2021</v>
      </c>
      <c r="D94" s="208">
        <f>Population!F8</f>
        <v>5873198.2154455381</v>
      </c>
      <c r="E94" s="209" t="str">
        <f t="shared" si="13"/>
        <v>Large</v>
      </c>
      <c r="F94" s="208"/>
      <c r="G94" s="210">
        <f>Variables!$C$3*POWER(SUM(1,Variables!$C$2/100),C94-2017)</f>
        <v>8579.7545168201996</v>
      </c>
      <c r="H94" s="210">
        <f t="shared" si="8"/>
        <v>278.16871425679892</v>
      </c>
      <c r="I94" s="211">
        <f>VLOOKUP(B94,'Waste per capita'!$B$2:$F$48,4,FALSE)*(H94/Variables!$C$6)</f>
        <v>332.98576731619227</v>
      </c>
      <c r="J94" s="210">
        <f t="shared" si="9"/>
        <v>1955691.4143702234</v>
      </c>
      <c r="K94" s="212">
        <f>Variables!$C$13</f>
        <v>1</v>
      </c>
      <c r="L94" s="213">
        <f t="shared" si="10"/>
        <v>1955691.4143702234</v>
      </c>
      <c r="N94" s="215">
        <f>IF(D94&gt;1500000,Budgeting!$B$13,(IF(D94&gt;500000,Budgeting!$C$13,Budgeting!$D$13)))</f>
        <v>25.956254000485576</v>
      </c>
      <c r="O94" s="216">
        <f t="shared" si="11"/>
        <v>50762423.097962402</v>
      </c>
      <c r="P94" s="217">
        <f>IF(D94&gt;1500000,Budgeting!$B$15,(IF(D94&gt;500000,Budgeting!$C$15,Budgeting!$D$15)))</f>
        <v>3.7080362857836535</v>
      </c>
      <c r="Q94" s="218">
        <f t="shared" si="12"/>
        <v>7251774.7282803431</v>
      </c>
    </row>
    <row r="95" spans="1:17">
      <c r="A95" s="222">
        <v>8</v>
      </c>
      <c r="B95" s="191" t="s">
        <v>116</v>
      </c>
      <c r="C95" s="191">
        <v>2021</v>
      </c>
      <c r="D95" s="208">
        <f>Population!F9</f>
        <v>55969.865138845817</v>
      </c>
      <c r="E95" s="209" t="str">
        <f t="shared" si="13"/>
        <v>Small</v>
      </c>
      <c r="F95" s="208"/>
      <c r="G95" s="210">
        <f>Variables!$C$3*POWER(SUM(1,Variables!$C$2/100),C95-2017)</f>
        <v>8579.7545168201996</v>
      </c>
      <c r="H95" s="210">
        <f t="shared" si="8"/>
        <v>278.16871425679892</v>
      </c>
      <c r="I95" s="211">
        <f>VLOOKUP(B95,'Waste per capita'!$B$2:$F$48,4,FALSE)*(H95/Variables!$C$6)</f>
        <v>225.28274370685887</v>
      </c>
      <c r="J95" s="210">
        <f t="shared" si="9"/>
        <v>12609.044783382056</v>
      </c>
      <c r="K95" s="212">
        <f>Variables!$C$13</f>
        <v>1</v>
      </c>
      <c r="L95" s="213">
        <f t="shared" si="10"/>
        <v>12609.044783382056</v>
      </c>
      <c r="N95" s="215">
        <f>IF(D95&gt;1500000,Budgeting!$B$13,(IF(D95&gt;500000,Budgeting!$C$13,Budgeting!$D$13)))</f>
        <v>26.27408568212417</v>
      </c>
      <c r="O95" s="216">
        <f t="shared" si="11"/>
        <v>331291.12300832092</v>
      </c>
      <c r="P95" s="217">
        <f>IF(D95&gt;1500000,Budgeting!$B$15,(IF(D95&gt;500000,Budgeting!$C$15,Budgeting!$D$15)))</f>
        <v>7.6279603593263765</v>
      </c>
      <c r="Q95" s="218">
        <f t="shared" si="12"/>
        <v>96181.293776609367</v>
      </c>
    </row>
    <row r="96" spans="1:17">
      <c r="A96" s="222">
        <v>9</v>
      </c>
      <c r="B96" s="191" t="s">
        <v>117</v>
      </c>
      <c r="C96" s="191">
        <v>2021</v>
      </c>
      <c r="D96" s="208">
        <f>Population!F10</f>
        <v>719913.36990320042</v>
      </c>
      <c r="E96" s="209" t="str">
        <f t="shared" si="13"/>
        <v>Medium</v>
      </c>
      <c r="F96" s="208"/>
      <c r="G96" s="210">
        <f>Variables!$C$3*POWER(SUM(1,Variables!$C$2/100),C96-2017)</f>
        <v>8579.7545168201996</v>
      </c>
      <c r="H96" s="210">
        <f t="shared" si="8"/>
        <v>278.16871425679892</v>
      </c>
      <c r="I96" s="211">
        <f>VLOOKUP(B96,'Waste per capita'!$B$2:$F$48,4,FALSE)*(H96/Variables!$C$6)</f>
        <v>166.49288365809613</v>
      </c>
      <c r="J96" s="210">
        <f t="shared" si="9"/>
        <v>119860.45293920148</v>
      </c>
      <c r="K96" s="212">
        <f>Variables!$C$13</f>
        <v>1</v>
      </c>
      <c r="L96" s="213">
        <f t="shared" si="10"/>
        <v>119860.45293920148</v>
      </c>
      <c r="N96" s="215">
        <f>IF(D96&gt;1500000,Budgeting!$B$13,(IF(D96&gt;500000,Budgeting!$C$13,Budgeting!$D$13)))</f>
        <v>26.132827156951464</v>
      </c>
      <c r="O96" s="216">
        <f t="shared" si="11"/>
        <v>3132292.4996140674</v>
      </c>
      <c r="P96" s="217">
        <f>IF(D96&gt;1500000,Budgeting!$B$15,(IF(D96&gt;500000,Budgeting!$C$15,Budgeting!$D$15)))</f>
        <v>2.1188778775906578</v>
      </c>
      <c r="Q96" s="218">
        <f t="shared" si="12"/>
        <v>253969.66213087016</v>
      </c>
    </row>
    <row r="97" spans="1:17">
      <c r="A97" s="222">
        <v>10</v>
      </c>
      <c r="B97" s="191" t="s">
        <v>118</v>
      </c>
      <c r="C97" s="191">
        <v>2021</v>
      </c>
      <c r="D97" s="208">
        <f>Population!F11</f>
        <v>668072.80220820569</v>
      </c>
      <c r="E97" s="209" t="str">
        <f t="shared" si="13"/>
        <v>Medium</v>
      </c>
      <c r="F97" s="208"/>
      <c r="G97" s="210">
        <f>Variables!$C$3*POWER(SUM(1,Variables!$C$2/100),C97-2017)</f>
        <v>8579.7545168201996</v>
      </c>
      <c r="H97" s="210">
        <f t="shared" si="8"/>
        <v>278.16871425679892</v>
      </c>
      <c r="I97" s="211">
        <f>VLOOKUP(B97,'Waste per capita'!$B$2:$F$48,4,FALSE)*(H97/Variables!$C$6)</f>
        <v>190.88675625432944</v>
      </c>
      <c r="J97" s="210">
        <f t="shared" si="9"/>
        <v>127526.2501552646</v>
      </c>
      <c r="K97" s="212">
        <f>Variables!$C$13</f>
        <v>1</v>
      </c>
      <c r="L97" s="213">
        <f t="shared" si="10"/>
        <v>127526.2501552646</v>
      </c>
      <c r="N97" s="215">
        <f>IF(D97&gt;1500000,Budgeting!$B$13,(IF(D97&gt;500000,Budgeting!$C$13,Budgeting!$D$13)))</f>
        <v>26.132827156951464</v>
      </c>
      <c r="O97" s="216">
        <f t="shared" si="11"/>
        <v>3332621.4532816848</v>
      </c>
      <c r="P97" s="217">
        <f>IF(D97&gt;1500000,Budgeting!$B$15,(IF(D97&gt;500000,Budgeting!$C$15,Budgeting!$D$15)))</f>
        <v>2.1188778775906578</v>
      </c>
      <c r="Q97" s="218">
        <f t="shared" si="12"/>
        <v>270212.55026608234</v>
      </c>
    </row>
    <row r="98" spans="1:17">
      <c r="A98" s="222">
        <v>11</v>
      </c>
      <c r="B98" s="191" t="s">
        <v>119</v>
      </c>
      <c r="C98" s="191">
        <v>2021</v>
      </c>
      <c r="D98" s="208">
        <f>Population!F12</f>
        <v>260583.06278127513</v>
      </c>
      <c r="E98" s="209" t="str">
        <f t="shared" si="13"/>
        <v>Medium</v>
      </c>
      <c r="F98" s="208"/>
      <c r="G98" s="210">
        <f>Variables!$C$3*POWER(SUM(1,Variables!$C$2/100),C98-2017)</f>
        <v>8579.7545168201996</v>
      </c>
      <c r="H98" s="210">
        <f t="shared" si="8"/>
        <v>278.16871425679892</v>
      </c>
      <c r="I98" s="211">
        <f>VLOOKUP(B98,'Waste per capita'!$B$2:$F$48,4,FALSE)*(H98/Variables!$C$6)</f>
        <v>118.05003897791562</v>
      </c>
      <c r="J98" s="210">
        <f t="shared" si="9"/>
        <v>30761.840718314164</v>
      </c>
      <c r="K98" s="212">
        <f>Variables!$C$13</f>
        <v>1</v>
      </c>
      <c r="L98" s="213">
        <f t="shared" si="10"/>
        <v>30761.840718314164</v>
      </c>
      <c r="N98" s="215">
        <f>IF(D98&gt;1500000,Budgeting!$B$13,(IF(D98&gt;500000,Budgeting!$C$13,Budgeting!$D$13)))</f>
        <v>26.27408568212417</v>
      </c>
      <c r="O98" s="216">
        <f t="shared" si="11"/>
        <v>808239.23877284245</v>
      </c>
      <c r="P98" s="217">
        <f>IF(D98&gt;1500000,Budgeting!$B$15,(IF(D98&gt;500000,Budgeting!$C$15,Budgeting!$D$15)))</f>
        <v>7.6279603593263765</v>
      </c>
      <c r="Q98" s="218">
        <f t="shared" si="12"/>
        <v>234650.10157921247</v>
      </c>
    </row>
    <row r="99" spans="1:17">
      <c r="A99" s="222">
        <v>12</v>
      </c>
      <c r="B99" s="191" t="s">
        <v>120</v>
      </c>
      <c r="C99" s="191">
        <v>2021</v>
      </c>
      <c r="D99" s="208">
        <f>Population!F13</f>
        <v>126755.65456199566</v>
      </c>
      <c r="E99" s="209" t="str">
        <f t="shared" si="13"/>
        <v>Medium</v>
      </c>
      <c r="F99" s="208"/>
      <c r="G99" s="210">
        <f>Variables!$C$3*POWER(SUM(1,Variables!$C$2/100),C99-2017)</f>
        <v>8579.7545168201996</v>
      </c>
      <c r="H99" s="210">
        <f t="shared" si="8"/>
        <v>278.16871425679892</v>
      </c>
      <c r="I99" s="211">
        <f>VLOOKUP(B99,'Waste per capita'!$B$2:$F$48,4,FALSE)*(H99/Variables!$C$6)</f>
        <v>236.10007795583124</v>
      </c>
      <c r="J99" s="210">
        <f t="shared" si="9"/>
        <v>29927.019923429591</v>
      </c>
      <c r="K99" s="212">
        <f>Variables!$C$13</f>
        <v>1</v>
      </c>
      <c r="L99" s="213">
        <f t="shared" si="10"/>
        <v>29927.019923429591</v>
      </c>
      <c r="N99" s="215">
        <f>IF(D99&gt;1500000,Budgeting!$B$13,(IF(D99&gt;500000,Budgeting!$C$13,Budgeting!$D$13)))</f>
        <v>26.27408568212417</v>
      </c>
      <c r="O99" s="216">
        <f t="shared" si="11"/>
        <v>786305.0856788262</v>
      </c>
      <c r="P99" s="217">
        <f>IF(D99&gt;1500000,Budgeting!$B$15,(IF(D99&gt;500000,Budgeting!$C$15,Budgeting!$D$15)))</f>
        <v>7.6279603593263765</v>
      </c>
      <c r="Q99" s="218">
        <f t="shared" si="12"/>
        <v>228282.12164869159</v>
      </c>
    </row>
    <row r="100" spans="1:17">
      <c r="A100" s="222">
        <v>13</v>
      </c>
      <c r="B100" s="191" t="s">
        <v>121</v>
      </c>
      <c r="C100" s="191">
        <v>2021</v>
      </c>
      <c r="D100" s="208">
        <f>Population!F14</f>
        <v>8508589.9110932406</v>
      </c>
      <c r="E100" s="209" t="str">
        <f t="shared" si="13"/>
        <v>Large</v>
      </c>
      <c r="F100" s="208"/>
      <c r="G100" s="210">
        <f>Variables!$C$3*POWER(SUM(1,Variables!$C$2/100),C100-2017)</f>
        <v>8579.7545168201996</v>
      </c>
      <c r="H100" s="210">
        <f t="shared" si="8"/>
        <v>278.16871425679892</v>
      </c>
      <c r="I100" s="211">
        <f>VLOOKUP(B100,'Waste per capita'!$B$2:$F$48,4,FALSE)*(H100/Variables!$C$6)</f>
        <v>305.70727225356637</v>
      </c>
      <c r="J100" s="210">
        <f t="shared" si="9"/>
        <v>2601137.8124445295</v>
      </c>
      <c r="K100" s="212">
        <f>Variables!$C$13</f>
        <v>1</v>
      </c>
      <c r="L100" s="213">
        <f t="shared" si="10"/>
        <v>2601137.8124445295</v>
      </c>
      <c r="N100" s="215">
        <f>IF(D100&gt;1500000,Budgeting!$B$13,(IF(D100&gt;500000,Budgeting!$C$13,Budgeting!$D$13)))</f>
        <v>25.956254000485576</v>
      </c>
      <c r="O100" s="216">
        <f t="shared" si="11"/>
        <v>67515793.75007762</v>
      </c>
      <c r="P100" s="217">
        <f>IF(D100&gt;1500000,Budgeting!$B$15,(IF(D100&gt;500000,Budgeting!$C$15,Budgeting!$D$15)))</f>
        <v>3.7080362857836535</v>
      </c>
      <c r="Q100" s="218">
        <f t="shared" si="12"/>
        <v>9645113.3928682301</v>
      </c>
    </row>
    <row r="101" spans="1:17">
      <c r="A101" s="222">
        <v>14</v>
      </c>
      <c r="B101" s="191" t="s">
        <v>122</v>
      </c>
      <c r="C101" s="191">
        <v>2021</v>
      </c>
      <c r="D101" s="208">
        <f>Population!F15</f>
        <v>339043.50603946112</v>
      </c>
      <c r="E101" s="209" t="str">
        <f t="shared" si="13"/>
        <v>Medium</v>
      </c>
      <c r="F101" s="208"/>
      <c r="G101" s="210">
        <f>Variables!$C$3*POWER(SUM(1,Variables!$C$2/100),C101-2017)</f>
        <v>8579.7545168201996</v>
      </c>
      <c r="H101" s="210">
        <f t="shared" si="8"/>
        <v>278.16871425679892</v>
      </c>
      <c r="I101" s="211">
        <f>VLOOKUP(B101,'Waste per capita'!$B$2:$F$48,4,FALSE)*(H101/Variables!$C$6)</f>
        <v>102.05919704465215</v>
      </c>
      <c r="J101" s="210">
        <f t="shared" si="9"/>
        <v>34602.507989591075</v>
      </c>
      <c r="K101" s="212">
        <f>Variables!$C$13</f>
        <v>1</v>
      </c>
      <c r="L101" s="213">
        <f t="shared" si="10"/>
        <v>34602.507989591075</v>
      </c>
      <c r="N101" s="215">
        <f>IF(D101&gt;1500000,Budgeting!$B$13,(IF(D101&gt;500000,Budgeting!$C$13,Budgeting!$D$13)))</f>
        <v>26.27408568212417</v>
      </c>
      <c r="O101" s="216">
        <f t="shared" si="11"/>
        <v>909149.25973490207</v>
      </c>
      <c r="P101" s="217">
        <f>IF(D101&gt;1500000,Budgeting!$B$15,(IF(D101&gt;500000,Budgeting!$C$15,Budgeting!$D$15)))</f>
        <v>7.6279603593263765</v>
      </c>
      <c r="Q101" s="218">
        <f t="shared" si="12"/>
        <v>263946.55927787494</v>
      </c>
    </row>
    <row r="102" spans="1:17">
      <c r="A102" s="222">
        <v>15</v>
      </c>
      <c r="B102" s="191" t="s">
        <v>123</v>
      </c>
      <c r="C102" s="191">
        <v>2021</v>
      </c>
      <c r="D102" s="208">
        <f>Population!F16</f>
        <v>75191.890093264476</v>
      </c>
      <c r="E102" s="209" t="str">
        <f t="shared" si="13"/>
        <v>Small</v>
      </c>
      <c r="F102" s="208"/>
      <c r="G102" s="210">
        <f>Variables!$C$3*POWER(SUM(1,Variables!$C$2/100),C102-2017)</f>
        <v>8579.7545168201996</v>
      </c>
      <c r="H102" s="210">
        <f t="shared" si="8"/>
        <v>278.16871425679892</v>
      </c>
      <c r="I102" s="211">
        <f>VLOOKUP(B102,'Waste per capita'!$B$2:$F$48,4,FALSE)*(H102/Variables!$C$6)</f>
        <v>182.48372559135962</v>
      </c>
      <c r="J102" s="210">
        <f t="shared" si="9"/>
        <v>13721.296238474946</v>
      </c>
      <c r="K102" s="212">
        <f>Variables!$C$13</f>
        <v>1</v>
      </c>
      <c r="L102" s="213">
        <f t="shared" si="10"/>
        <v>13721.296238474946</v>
      </c>
      <c r="N102" s="215">
        <f>IF(D102&gt;1500000,Budgeting!$B$13,(IF(D102&gt;500000,Budgeting!$C$13,Budgeting!$D$13)))</f>
        <v>26.27408568212417</v>
      </c>
      <c r="O102" s="216">
        <f t="shared" si="11"/>
        <v>360514.51303949882</v>
      </c>
      <c r="P102" s="217">
        <f>IF(D102&gt;1500000,Budgeting!$B$15,(IF(D102&gt;500000,Budgeting!$C$15,Budgeting!$D$15)))</f>
        <v>7.6279603593263765</v>
      </c>
      <c r="Q102" s="218">
        <f t="shared" si="12"/>
        <v>104665.50378566101</v>
      </c>
    </row>
    <row r="103" spans="1:17">
      <c r="A103" s="222">
        <v>16</v>
      </c>
      <c r="B103" s="191" t="s">
        <v>124</v>
      </c>
      <c r="C103" s="191">
        <v>2021</v>
      </c>
      <c r="D103" s="208">
        <f>Population!F17</f>
        <v>3850172.3567350614</v>
      </c>
      <c r="E103" s="209" t="str">
        <f t="shared" si="13"/>
        <v>Large</v>
      </c>
      <c r="F103" s="208"/>
      <c r="G103" s="210">
        <f>Variables!$C$3*POWER(SUM(1,Variables!$C$2/100),C103-2017)</f>
        <v>8579.7545168201996</v>
      </c>
      <c r="H103" s="210">
        <f t="shared" si="8"/>
        <v>278.16871425679892</v>
      </c>
      <c r="I103" s="211">
        <f>VLOOKUP(B103,'Waste per capita'!$B$2:$F$48,4,FALSE)*(H103/Variables!$C$6)</f>
        <v>209.29190177359544</v>
      </c>
      <c r="J103" s="210">
        <f t="shared" si="9"/>
        <v>805809.89469720703</v>
      </c>
      <c r="K103" s="212">
        <f>Variables!$C$13</f>
        <v>1</v>
      </c>
      <c r="L103" s="213">
        <f t="shared" si="10"/>
        <v>805809.89469720703</v>
      </c>
      <c r="N103" s="215">
        <f>IF(D103&gt;1500000,Budgeting!$B$13,(IF(D103&gt;500000,Budgeting!$C$13,Budgeting!$D$13)))</f>
        <v>25.956254000485576</v>
      </c>
      <c r="O103" s="216">
        <f t="shared" si="11"/>
        <v>20915806.302865241</v>
      </c>
      <c r="P103" s="217">
        <f>IF(D103&gt;1500000,Budgeting!$B$15,(IF(D103&gt;500000,Budgeting!$C$15,Budgeting!$D$15)))</f>
        <v>3.7080362857836535</v>
      </c>
      <c r="Q103" s="218">
        <f t="shared" si="12"/>
        <v>2987972.3289807485</v>
      </c>
    </row>
    <row r="104" spans="1:17">
      <c r="A104" s="222">
        <v>17</v>
      </c>
      <c r="B104" s="191" t="s">
        <v>125</v>
      </c>
      <c r="C104" s="191">
        <v>2021</v>
      </c>
      <c r="D104" s="208">
        <f>Population!F18</f>
        <v>14168.786148016387</v>
      </c>
      <c r="E104" s="209" t="str">
        <f t="shared" si="13"/>
        <v>Small</v>
      </c>
      <c r="F104" s="208"/>
      <c r="G104" s="210">
        <f>Variables!$C$3*POWER(SUM(1,Variables!$C$2/100),C104-2017)</f>
        <v>8579.7545168201996</v>
      </c>
      <c r="H104" s="210">
        <f t="shared" si="8"/>
        <v>278.16871425679892</v>
      </c>
      <c r="I104" s="211">
        <f>VLOOKUP(B104,'Waste per capita'!$B$2:$F$48,4,FALSE)*(H104/Variables!$C$6)</f>
        <v>161.06810972263773</v>
      </c>
      <c r="J104" s="210">
        <f t="shared" si="9"/>
        <v>2282.1396019252929</v>
      </c>
      <c r="K104" s="212">
        <f>Variables!$C$13</f>
        <v>1</v>
      </c>
      <c r="L104" s="213">
        <f t="shared" si="10"/>
        <v>2282.1396019252929</v>
      </c>
      <c r="N104" s="215">
        <f>IF(D104&gt;1500000,Budgeting!$B$13,(IF(D104&gt;500000,Budgeting!$C$13,Budgeting!$D$13)))</f>
        <v>26.27408568212417</v>
      </c>
      <c r="O104" s="216">
        <f t="shared" si="11"/>
        <v>59961.131439553894</v>
      </c>
      <c r="P104" s="217">
        <f>IF(D104&gt;1500000,Budgeting!$B$15,(IF(D104&gt;500000,Budgeting!$C$15,Budgeting!$D$15)))</f>
        <v>7.6279603593263765</v>
      </c>
      <c r="Q104" s="218">
        <f t="shared" si="12"/>
        <v>17408.07041793501</v>
      </c>
    </row>
    <row r="105" spans="1:17">
      <c r="A105" s="222">
        <v>18</v>
      </c>
      <c r="B105" s="191" t="s">
        <v>126</v>
      </c>
      <c r="C105" s="191">
        <v>2021</v>
      </c>
      <c r="D105" s="208">
        <f>Population!F19</f>
        <v>125179.51929646698</v>
      </c>
      <c r="E105" s="209" t="str">
        <f t="shared" si="13"/>
        <v>Medium</v>
      </c>
      <c r="F105" s="208"/>
      <c r="G105" s="210">
        <f>Variables!$C$3*POWER(SUM(1,Variables!$C$2/100),C105-2017)</f>
        <v>8579.7545168201996</v>
      </c>
      <c r="H105" s="210">
        <f t="shared" si="8"/>
        <v>278.16871425679892</v>
      </c>
      <c r="I105" s="211">
        <f>VLOOKUP(B105,'Waste per capita'!$B$2:$F$48,4,FALSE)*(H105/Variables!$C$6)</f>
        <v>91.241862795679808</v>
      </c>
      <c r="J105" s="210">
        <f t="shared" si="9"/>
        <v>11421.612524477394</v>
      </c>
      <c r="K105" s="212">
        <f>Variables!$C$13</f>
        <v>1</v>
      </c>
      <c r="L105" s="213">
        <f t="shared" si="10"/>
        <v>11421.612524477394</v>
      </c>
      <c r="N105" s="215">
        <f>IF(D105&gt;1500000,Budgeting!$B$13,(IF(D105&gt;500000,Budgeting!$C$13,Budgeting!$D$13)))</f>
        <v>26.27408568212417</v>
      </c>
      <c r="O105" s="216">
        <f t="shared" si="11"/>
        <v>300092.42609614157</v>
      </c>
      <c r="P105" s="217">
        <f>IF(D105&gt;1500000,Budgeting!$B$15,(IF(D105&gt;500000,Budgeting!$C$15,Budgeting!$D$15)))</f>
        <v>7.6279603593263765</v>
      </c>
      <c r="Q105" s="218">
        <f t="shared" si="12"/>
        <v>87123.607576299226</v>
      </c>
    </row>
    <row r="106" spans="1:17">
      <c r="A106" s="222">
        <v>19</v>
      </c>
      <c r="B106" s="191" t="s">
        <v>127</v>
      </c>
      <c r="C106" s="191">
        <v>2021</v>
      </c>
      <c r="D106" s="208">
        <f>Population!F20</f>
        <v>5683558.9347964674</v>
      </c>
      <c r="E106" s="209" t="str">
        <f t="shared" si="13"/>
        <v>Large</v>
      </c>
      <c r="F106" s="208"/>
      <c r="G106" s="210">
        <f>Variables!$C$3*POWER(SUM(1,Variables!$C$2/100),C106-2017)</f>
        <v>8579.7545168201996</v>
      </c>
      <c r="H106" s="210">
        <f t="shared" si="8"/>
        <v>278.16871425679892</v>
      </c>
      <c r="I106" s="211">
        <f>VLOOKUP(B106,'Waste per capita'!$B$2:$F$48,4,FALSE)*(H106/Variables!$C$6)</f>
        <v>311.35109881824764</v>
      </c>
      <c r="J106" s="210">
        <f t="shared" si="9"/>
        <v>1769582.3195471491</v>
      </c>
      <c r="K106" s="212">
        <f>Variables!$C$13</f>
        <v>1</v>
      </c>
      <c r="L106" s="213">
        <f t="shared" si="10"/>
        <v>1769582.3195471491</v>
      </c>
      <c r="N106" s="215">
        <f>IF(D106&gt;1500000,Budgeting!$B$13,(IF(D106&gt;500000,Budgeting!$C$13,Budgeting!$D$13)))</f>
        <v>25.956254000485576</v>
      </c>
      <c r="O106" s="216">
        <f t="shared" si="11"/>
        <v>45931728.160934232</v>
      </c>
      <c r="P106" s="217">
        <f>IF(D106&gt;1500000,Budgeting!$B$15,(IF(D106&gt;500000,Budgeting!$C$15,Budgeting!$D$15)))</f>
        <v>3.7080362857836535</v>
      </c>
      <c r="Q106" s="218">
        <f t="shared" si="12"/>
        <v>6561675.451562033</v>
      </c>
    </row>
    <row r="107" spans="1:17">
      <c r="A107" s="222">
        <v>20</v>
      </c>
      <c r="B107" s="191" t="s">
        <v>128</v>
      </c>
      <c r="C107" s="191">
        <v>2021</v>
      </c>
      <c r="D107" s="208">
        <f>Population!F21</f>
        <v>3560656.4051300357</v>
      </c>
      <c r="E107" s="209" t="str">
        <f t="shared" si="13"/>
        <v>Large</v>
      </c>
      <c r="F107" s="208"/>
      <c r="G107" s="210">
        <f>Variables!$C$3*POWER(SUM(1,Variables!$C$2/100),C107-2017)</f>
        <v>8579.7545168201996</v>
      </c>
      <c r="H107" s="210">
        <f t="shared" si="8"/>
        <v>278.16871425679892</v>
      </c>
      <c r="I107" s="211">
        <f>VLOOKUP(B107,'Waste per capita'!$B$2:$F$48,4,FALSE)*(H107/Variables!$C$6)</f>
        <v>118.05003897791562</v>
      </c>
      <c r="J107" s="210">
        <f t="shared" si="9"/>
        <v>420335.62741256563</v>
      </c>
      <c r="K107" s="212">
        <f>Variables!$C$13</f>
        <v>1</v>
      </c>
      <c r="L107" s="213">
        <f t="shared" si="10"/>
        <v>420335.62741256563</v>
      </c>
      <c r="N107" s="215">
        <f>IF(D107&gt;1500000,Budgeting!$B$13,(IF(D107&gt;500000,Budgeting!$C$13,Budgeting!$D$13)))</f>
        <v>25.956254000485576</v>
      </c>
      <c r="O107" s="216">
        <f t="shared" si="11"/>
        <v>10910338.310574021</v>
      </c>
      <c r="P107" s="217">
        <f>IF(D107&gt;1500000,Budgeting!$B$15,(IF(D107&gt;500000,Budgeting!$C$15,Budgeting!$D$15)))</f>
        <v>3.7080362857836535</v>
      </c>
      <c r="Q107" s="218">
        <f t="shared" si="12"/>
        <v>1558619.7586534314</v>
      </c>
    </row>
    <row r="108" spans="1:17">
      <c r="A108" s="222">
        <v>21</v>
      </c>
      <c r="B108" s="222" t="s">
        <v>129</v>
      </c>
      <c r="C108" s="191">
        <v>2021</v>
      </c>
      <c r="D108" s="208">
        <f>Population!F22</f>
        <v>15726433.738702327</v>
      </c>
      <c r="E108" s="209" t="str">
        <f t="shared" si="13"/>
        <v>Large</v>
      </c>
      <c r="F108" s="208"/>
      <c r="G108" s="210">
        <f>Variables!$C$3*POWER(SUM(1,Variables!$C$2/100),C108-2017)</f>
        <v>8579.7545168201996</v>
      </c>
      <c r="H108" s="210">
        <f t="shared" si="8"/>
        <v>278.16871425679892</v>
      </c>
      <c r="I108" s="211">
        <f>VLOOKUP(B108,'Waste per capita'!$B$2:$F$48,4,FALSE)*(H108/Variables!$C$6)</f>
        <v>241.7439045205125</v>
      </c>
      <c r="J108" s="210">
        <f t="shared" si="9"/>
        <v>3801769.4961770219</v>
      </c>
      <c r="K108" s="212">
        <f>Variables!$C$13</f>
        <v>1</v>
      </c>
      <c r="L108" s="213">
        <f t="shared" si="10"/>
        <v>3801769.4961770219</v>
      </c>
      <c r="N108" s="215">
        <f>IF(D108&gt;1500000,Budgeting!$B$13,(IF(D108&gt;500000,Budgeting!$C$13,Budgeting!$D$13)))</f>
        <v>25.956254000485576</v>
      </c>
      <c r="O108" s="216">
        <f t="shared" si="11"/>
        <v>98679694.694068849</v>
      </c>
      <c r="P108" s="217">
        <f>IF(D108&gt;1500000,Budgeting!$B$15,(IF(D108&gt;500000,Budgeting!$C$15,Budgeting!$D$15)))</f>
        <v>3.7080362857836535</v>
      </c>
      <c r="Q108" s="218">
        <f t="shared" si="12"/>
        <v>14097099.242009835</v>
      </c>
    </row>
    <row r="109" spans="1:17">
      <c r="A109" s="222">
        <v>22</v>
      </c>
      <c r="B109" s="191" t="s">
        <v>130</v>
      </c>
      <c r="C109" s="191">
        <v>2021</v>
      </c>
      <c r="D109" s="208">
        <f>Population!F23</f>
        <v>13947033.901295714</v>
      </c>
      <c r="E109" s="209" t="str">
        <f t="shared" si="13"/>
        <v>Large</v>
      </c>
      <c r="F109" s="208"/>
      <c r="G109" s="210">
        <f>Variables!$C$3*POWER(SUM(1,Variables!$C$2/100),C109-2017)</f>
        <v>8579.7545168201996</v>
      </c>
      <c r="H109" s="210">
        <f t="shared" si="8"/>
        <v>278.16871425679892</v>
      </c>
      <c r="I109" s="211">
        <f>VLOOKUP(B109,'Waste per capita'!$B$2:$F$48,4,FALSE)*(H109/Variables!$C$6)</f>
        <v>305.70727225356637</v>
      </c>
      <c r="J109" s="210">
        <f t="shared" si="9"/>
        <v>4263709.6899931291</v>
      </c>
      <c r="K109" s="212">
        <f>Variables!$C$13</f>
        <v>1</v>
      </c>
      <c r="L109" s="213">
        <f t="shared" si="10"/>
        <v>4263709.6899931291</v>
      </c>
      <c r="N109" s="215">
        <f>IF(D109&gt;1500000,Budgeting!$B$13,(IF(D109&gt;500000,Budgeting!$C$13,Budgeting!$D$13)))</f>
        <v>25.956254000485576</v>
      </c>
      <c r="O109" s="216">
        <f t="shared" si="11"/>
        <v>110669931.69779328</v>
      </c>
      <c r="P109" s="217">
        <f>IF(D109&gt;1500000,Budgeting!$B$15,(IF(D109&gt;500000,Budgeting!$C$15,Budgeting!$D$15)))</f>
        <v>3.7080362857836535</v>
      </c>
      <c r="Q109" s="218">
        <f t="shared" si="12"/>
        <v>15809990.242541894</v>
      </c>
    </row>
    <row r="110" spans="1:17">
      <c r="A110" s="222">
        <v>23</v>
      </c>
      <c r="B110" s="191" t="s">
        <v>131</v>
      </c>
      <c r="C110" s="191">
        <v>2021</v>
      </c>
      <c r="D110" s="208">
        <f>Population!F24</f>
        <v>50579.153905902916</v>
      </c>
      <c r="E110" s="209" t="str">
        <f t="shared" si="13"/>
        <v>Small</v>
      </c>
      <c r="F110" s="208"/>
      <c r="G110" s="210">
        <f>Variables!$C$3*POWER(SUM(1,Variables!$C$2/100),C110-2017)</f>
        <v>8579.7545168201996</v>
      </c>
      <c r="H110" s="210">
        <f t="shared" si="8"/>
        <v>278.16871425679892</v>
      </c>
      <c r="I110" s="211">
        <f>VLOOKUP(B110,'Waste per capita'!$B$2:$F$48,4,FALSE)*(H110/Variables!$C$6)</f>
        <v>289.71643032030289</v>
      </c>
      <c r="J110" s="210">
        <f t="shared" si="9"/>
        <v>14653.611918239398</v>
      </c>
      <c r="K110" s="212">
        <f>Variables!$C$13</f>
        <v>1</v>
      </c>
      <c r="L110" s="213">
        <f t="shared" si="10"/>
        <v>14653.611918239398</v>
      </c>
      <c r="N110" s="215">
        <f>IF(D110&gt;1500000,Budgeting!$B$13,(IF(D110&gt;500000,Budgeting!$C$13,Budgeting!$D$13)))</f>
        <v>26.27408568212417</v>
      </c>
      <c r="O110" s="216">
        <f t="shared" si="11"/>
        <v>385010.25509241788</v>
      </c>
      <c r="P110" s="217">
        <f>IF(D110&gt;1500000,Budgeting!$B$15,(IF(D110&gt;500000,Budgeting!$C$15,Budgeting!$D$15)))</f>
        <v>7.6279603593263765</v>
      </c>
      <c r="Q110" s="218">
        <f t="shared" si="12"/>
        <v>111777.17083328267</v>
      </c>
    </row>
    <row r="111" spans="1:17">
      <c r="A111" s="222">
        <v>24</v>
      </c>
      <c r="B111" s="191" t="s">
        <v>132</v>
      </c>
      <c r="C111" s="191">
        <v>2021</v>
      </c>
      <c r="D111" s="208">
        <f>Population!F25</f>
        <v>2128758.3714348311</v>
      </c>
      <c r="E111" s="209" t="str">
        <f t="shared" si="13"/>
        <v>Large</v>
      </c>
      <c r="F111" s="208"/>
      <c r="G111" s="210">
        <f>Variables!$C$3*POWER(SUM(1,Variables!$C$2/100),C111-2017)</f>
        <v>8579.7545168201996</v>
      </c>
      <c r="H111" s="210">
        <f t="shared" si="8"/>
        <v>278.16871425679892</v>
      </c>
      <c r="I111" s="211">
        <f>VLOOKUP(B111,'Waste per capita'!$B$2:$F$48,4,FALSE)*(H111/Variables!$C$6)</f>
        <v>198.4745675246231</v>
      </c>
      <c r="J111" s="210">
        <f t="shared" si="9"/>
        <v>422504.3971349491</v>
      </c>
      <c r="K111" s="212">
        <f>Variables!$C$13</f>
        <v>1</v>
      </c>
      <c r="L111" s="213">
        <f t="shared" si="10"/>
        <v>422504.3971349491</v>
      </c>
      <c r="N111" s="215">
        <f>IF(D111&gt;1500000,Budgeting!$B$13,(IF(D111&gt;500000,Budgeting!$C$13,Budgeting!$D$13)))</f>
        <v>25.956254000485576</v>
      </c>
      <c r="O111" s="216">
        <f t="shared" si="11"/>
        <v>10966631.448356768</v>
      </c>
      <c r="P111" s="217">
        <f>IF(D111&gt;1500000,Budgeting!$B$15,(IF(D111&gt;500000,Budgeting!$C$15,Budgeting!$D$15)))</f>
        <v>3.7080362857836535</v>
      </c>
      <c r="Q111" s="218">
        <f t="shared" si="12"/>
        <v>1566661.6354795385</v>
      </c>
    </row>
    <row r="112" spans="1:17">
      <c r="A112" s="222">
        <v>25</v>
      </c>
      <c r="B112" s="191" t="s">
        <v>133</v>
      </c>
      <c r="C112" s="191">
        <v>2021</v>
      </c>
      <c r="D112" s="208">
        <f>Population!F26</f>
        <v>305586.96997005941</v>
      </c>
      <c r="E112" s="209" t="str">
        <f t="shared" si="13"/>
        <v>Medium</v>
      </c>
      <c r="F112" s="208"/>
      <c r="G112" s="210">
        <f>Variables!$C$3*POWER(SUM(1,Variables!$C$2/100),C112-2017)</f>
        <v>8579.7545168201996</v>
      </c>
      <c r="H112" s="210">
        <f t="shared" ref="H112:H175" si="14">1647.41-417.73*LN(G112)+29.43*(LN(G112))^2</f>
        <v>278.16871425679892</v>
      </c>
      <c r="I112" s="211">
        <f>VLOOKUP(B112,'Waste per capita'!$B$2:$F$48,4,FALSE)*(H112/Variables!$C$6)</f>
        <v>316.52460650253875</v>
      </c>
      <c r="J112" s="210">
        <f t="shared" si="9"/>
        <v>96725.795422076175</v>
      </c>
      <c r="K112" s="212">
        <f>Variables!$C$13</f>
        <v>1</v>
      </c>
      <c r="L112" s="213">
        <f t="shared" si="10"/>
        <v>96725.795422076175</v>
      </c>
      <c r="N112" s="215">
        <f>IF(D112&gt;1500000,Budgeting!$B$13,(IF(D112&gt;500000,Budgeting!$C$13,Budgeting!$D$13)))</f>
        <v>26.27408568212417</v>
      </c>
      <c r="O112" s="216">
        <f t="shared" si="11"/>
        <v>2541381.8365912433</v>
      </c>
      <c r="P112" s="217">
        <f>IF(D112&gt;1500000,Budgeting!$B$15,(IF(D112&gt;500000,Budgeting!$C$15,Budgeting!$D$15)))</f>
        <v>7.6279603593263765</v>
      </c>
      <c r="Q112" s="218">
        <f t="shared" si="12"/>
        <v>737820.53320390976</v>
      </c>
    </row>
    <row r="113" spans="1:17">
      <c r="A113" s="222">
        <v>26</v>
      </c>
      <c r="B113" s="191" t="s">
        <v>134</v>
      </c>
      <c r="C113" s="191">
        <v>2021</v>
      </c>
      <c r="D113" s="208">
        <f>Population!F27</f>
        <v>126629.26039475198</v>
      </c>
      <c r="E113" s="209" t="str">
        <f t="shared" si="13"/>
        <v>Medium</v>
      </c>
      <c r="F113" s="208"/>
      <c r="G113" s="210">
        <f>Variables!$C$3*POWER(SUM(1,Variables!$C$2/100),C113-2017)</f>
        <v>8579.7545168201996</v>
      </c>
      <c r="H113" s="210">
        <f t="shared" si="14"/>
        <v>278.16871425679892</v>
      </c>
      <c r="I113" s="211">
        <f>VLOOKUP(B113,'Waste per capita'!$B$2:$F$48,4,FALSE)*(H113/Variables!$C$6)</f>
        <v>407.76646929821851</v>
      </c>
      <c r="J113" s="210">
        <f t="shared" si="9"/>
        <v>51635.166421012749</v>
      </c>
      <c r="K113" s="212">
        <f>Variables!$C$13</f>
        <v>1</v>
      </c>
      <c r="L113" s="213">
        <f t="shared" si="10"/>
        <v>51635.166421012749</v>
      </c>
      <c r="N113" s="215">
        <f>IF(D113&gt;1500000,Budgeting!$B$13,(IF(D113&gt;500000,Budgeting!$C$13,Budgeting!$D$13)))</f>
        <v>26.27408568212417</v>
      </c>
      <c r="O113" s="216">
        <f t="shared" si="11"/>
        <v>1356666.7867564298</v>
      </c>
      <c r="P113" s="217">
        <f>IF(D113&gt;1500000,Budgeting!$B$15,(IF(D113&gt;500000,Budgeting!$C$15,Budgeting!$D$15)))</f>
        <v>7.6279603593263765</v>
      </c>
      <c r="Q113" s="218">
        <f t="shared" si="12"/>
        <v>393871.00260670565</v>
      </c>
    </row>
    <row r="114" spans="1:17">
      <c r="A114" s="222">
        <v>27</v>
      </c>
      <c r="B114" s="191" t="s">
        <v>135</v>
      </c>
      <c r="C114" s="191">
        <v>2021</v>
      </c>
      <c r="D114" s="208">
        <f>Population!F28</f>
        <v>1277128.3759053203</v>
      </c>
      <c r="E114" s="209" t="str">
        <f t="shared" si="13"/>
        <v>Large</v>
      </c>
      <c r="F114" s="208"/>
      <c r="G114" s="210">
        <f>Variables!$C$3*POWER(SUM(1,Variables!$C$2/100),C114-2017)</f>
        <v>8579.7545168201996</v>
      </c>
      <c r="H114" s="210">
        <f t="shared" si="14"/>
        <v>278.16871425679892</v>
      </c>
      <c r="I114" s="211">
        <f>VLOOKUP(B114,'Waste per capita'!$B$2:$F$48,4,FALSE)*(H114/Variables!$C$6)</f>
        <v>160.84905709341493</v>
      </c>
      <c r="J114" s="210">
        <f t="shared" si="9"/>
        <v>205424.89505161514</v>
      </c>
      <c r="K114" s="212">
        <f>Variables!$C$13</f>
        <v>1</v>
      </c>
      <c r="L114" s="213">
        <f t="shared" si="10"/>
        <v>205424.89505161514</v>
      </c>
      <c r="N114" s="215">
        <f>IF(D114&gt;1500000,Budgeting!$B$13,(IF(D114&gt;500000,Budgeting!$C$13,Budgeting!$D$13)))</f>
        <v>26.132827156951464</v>
      </c>
      <c r="O114" s="216">
        <f t="shared" si="11"/>
        <v>5368333.2761187525</v>
      </c>
      <c r="P114" s="217">
        <f>IF(D114&gt;1500000,Budgeting!$B$15,(IF(D114&gt;500000,Budgeting!$C$15,Budgeting!$D$15)))</f>
        <v>2.1188778775906578</v>
      </c>
      <c r="Q114" s="218">
        <f t="shared" si="12"/>
        <v>435270.26563124993</v>
      </c>
    </row>
    <row r="115" spans="1:17">
      <c r="A115" s="222">
        <v>28</v>
      </c>
      <c r="B115" s="191" t="s">
        <v>136</v>
      </c>
      <c r="C115" s="191">
        <v>2021</v>
      </c>
      <c r="D115" s="208">
        <f>Population!F29</f>
        <v>1356749.1176188034</v>
      </c>
      <c r="E115" s="209" t="str">
        <f t="shared" si="13"/>
        <v>Large</v>
      </c>
      <c r="F115" s="208"/>
      <c r="G115" s="210">
        <f>Variables!$C$3*POWER(SUM(1,Variables!$C$2/100),C115-2017)</f>
        <v>8579.7545168201996</v>
      </c>
      <c r="H115" s="210">
        <f t="shared" si="14"/>
        <v>278.16871425679892</v>
      </c>
      <c r="I115" s="211">
        <f>VLOOKUP(B115,'Waste per capita'!$B$2:$F$48,4,FALSE)*(H115/Variables!$C$6)</f>
        <v>134.0408809111791</v>
      </c>
      <c r="J115" s="210">
        <f t="shared" si="9"/>
        <v>181859.84690108933</v>
      </c>
      <c r="K115" s="212">
        <f>Variables!$C$13</f>
        <v>1</v>
      </c>
      <c r="L115" s="213">
        <f t="shared" si="10"/>
        <v>181859.84690108933</v>
      </c>
      <c r="N115" s="215">
        <f>IF(D115&gt;1500000,Budgeting!$B$13,(IF(D115&gt;500000,Budgeting!$C$13,Budgeting!$D$13)))</f>
        <v>26.132827156951464</v>
      </c>
      <c r="O115" s="216">
        <f t="shared" si="11"/>
        <v>4752511.9458558224</v>
      </c>
      <c r="P115" s="217">
        <f>IF(D115&gt;1500000,Budgeting!$B$15,(IF(D115&gt;500000,Budgeting!$C$15,Budgeting!$D$15)))</f>
        <v>2.1188778775906578</v>
      </c>
      <c r="Q115" s="218">
        <f t="shared" si="12"/>
        <v>385338.80642074213</v>
      </c>
    </row>
    <row r="116" spans="1:17">
      <c r="A116" s="222">
        <v>29</v>
      </c>
      <c r="B116" s="191" t="s">
        <v>137</v>
      </c>
      <c r="C116" s="191">
        <v>2021</v>
      </c>
      <c r="D116" s="208">
        <f>Population!F30</f>
        <v>181033.10180144862</v>
      </c>
      <c r="E116" s="209" t="str">
        <f t="shared" si="13"/>
        <v>Medium</v>
      </c>
      <c r="F116" s="208"/>
      <c r="G116" s="210">
        <f>Variables!$C$3*POWER(SUM(1,Variables!$C$2/100),C116-2017)</f>
        <v>8579.7545168201996</v>
      </c>
      <c r="H116" s="210">
        <f t="shared" si="14"/>
        <v>278.16871425679892</v>
      </c>
      <c r="I116" s="211">
        <f>VLOOKUP(B116,'Waste per capita'!$B$2:$F$48,4,FALSE)*(H116/Variables!$C$6)</f>
        <v>182.48372559135962</v>
      </c>
      <c r="J116" s="210">
        <f t="shared" si="9"/>
        <v>33035.594872088222</v>
      </c>
      <c r="K116" s="212">
        <f>Variables!$C$13</f>
        <v>1</v>
      </c>
      <c r="L116" s="213">
        <f t="shared" si="10"/>
        <v>33035.594872088222</v>
      </c>
      <c r="N116" s="215">
        <f>IF(D116&gt;1500000,Budgeting!$B$13,(IF(D116&gt;500000,Budgeting!$C$13,Budgeting!$D$13)))</f>
        <v>26.27408568212417</v>
      </c>
      <c r="O116" s="216">
        <f t="shared" si="11"/>
        <v>867980.05022918782</v>
      </c>
      <c r="P116" s="217">
        <f>IF(D116&gt;1500000,Budgeting!$B$15,(IF(D116&gt;500000,Budgeting!$C$15,Budgeting!$D$15)))</f>
        <v>7.6279603593263765</v>
      </c>
      <c r="Q116" s="218">
        <f t="shared" si="12"/>
        <v>251994.20813105468</v>
      </c>
    </row>
    <row r="117" spans="1:17">
      <c r="A117" s="222">
        <v>30</v>
      </c>
      <c r="B117" s="191" t="s">
        <v>138</v>
      </c>
      <c r="C117" s="191">
        <v>2021</v>
      </c>
      <c r="D117" s="208">
        <f>Population!F31</f>
        <v>124201.22844200091</v>
      </c>
      <c r="E117" s="209" t="str">
        <f t="shared" si="13"/>
        <v>Medium</v>
      </c>
      <c r="F117" s="208"/>
      <c r="G117" s="210">
        <f>Variables!$C$3*POWER(SUM(1,Variables!$C$2/100),C117-2017)</f>
        <v>8579.7545168201996</v>
      </c>
      <c r="H117" s="210">
        <f t="shared" si="14"/>
        <v>278.16871425679892</v>
      </c>
      <c r="I117" s="211">
        <f>VLOOKUP(B117,'Waste per capita'!$B$2:$F$48,4,FALSE)*(H117/Variables!$C$6)</f>
        <v>171.66639134238727</v>
      </c>
      <c r="J117" s="210">
        <f t="shared" si="9"/>
        <v>21321.176686929768</v>
      </c>
      <c r="K117" s="212">
        <f>Variables!$C$13</f>
        <v>1</v>
      </c>
      <c r="L117" s="213">
        <f t="shared" si="10"/>
        <v>21321.176686929768</v>
      </c>
      <c r="N117" s="215">
        <f>IF(D117&gt;1500000,Budgeting!$B$13,(IF(D117&gt;500000,Budgeting!$C$13,Budgeting!$D$13)))</f>
        <v>26.27408568212417</v>
      </c>
      <c r="O117" s="216">
        <f t="shared" si="11"/>
        <v>560194.42311610107</v>
      </c>
      <c r="P117" s="217">
        <f>IF(D117&gt;1500000,Budgeting!$B$15,(IF(D117&gt;500000,Budgeting!$C$15,Budgeting!$D$15)))</f>
        <v>7.6279603593263765</v>
      </c>
      <c r="Q117" s="218">
        <f t="shared" si="12"/>
        <v>162637.09058209395</v>
      </c>
    </row>
    <row r="118" spans="1:17">
      <c r="A118" s="222">
        <v>31</v>
      </c>
      <c r="B118" s="191" t="s">
        <v>139</v>
      </c>
      <c r="C118" s="191">
        <v>2021</v>
      </c>
      <c r="D118" s="208">
        <f>Population!F32</f>
        <v>214336.70092848552</v>
      </c>
      <c r="E118" s="209" t="str">
        <f t="shared" si="13"/>
        <v>Medium</v>
      </c>
      <c r="F118" s="208"/>
      <c r="G118" s="210">
        <f>Variables!$C$3*POWER(SUM(1,Variables!$C$2/100),C118-2017)</f>
        <v>8579.7545168201996</v>
      </c>
      <c r="H118" s="210">
        <f t="shared" si="14"/>
        <v>278.16871425679892</v>
      </c>
      <c r="I118" s="211">
        <f>VLOOKUP(B118,'Waste per capita'!$B$2:$F$48,4,FALSE)*(H118/Variables!$C$6)</f>
        <v>190.88675625432944</v>
      </c>
      <c r="J118" s="210">
        <f t="shared" si="9"/>
        <v>40914.037586492916</v>
      </c>
      <c r="K118" s="212">
        <f>Variables!$C$13</f>
        <v>1</v>
      </c>
      <c r="L118" s="213">
        <f t="shared" si="10"/>
        <v>40914.037586492916</v>
      </c>
      <c r="N118" s="215">
        <f>IF(D118&gt;1500000,Budgeting!$B$13,(IF(D118&gt;500000,Budgeting!$C$13,Budgeting!$D$13)))</f>
        <v>26.27408568212417</v>
      </c>
      <c r="O118" s="216">
        <f t="shared" si="11"/>
        <v>1074978.9291491637</v>
      </c>
      <c r="P118" s="217">
        <f>IF(D118&gt;1500000,Budgeting!$B$15,(IF(D118&gt;500000,Budgeting!$C$15,Budgeting!$D$15)))</f>
        <v>7.6279603593263765</v>
      </c>
      <c r="Q118" s="218">
        <f t="shared" si="12"/>
        <v>312090.65684975736</v>
      </c>
    </row>
    <row r="119" spans="1:17">
      <c r="A119" s="222">
        <v>32</v>
      </c>
      <c r="B119" s="191" t="s">
        <v>140</v>
      </c>
      <c r="C119" s="191">
        <v>2021</v>
      </c>
      <c r="D119" s="208">
        <f>Population!F33</f>
        <v>1492171.620228698</v>
      </c>
      <c r="E119" s="209" t="str">
        <f t="shared" si="13"/>
        <v>Large</v>
      </c>
      <c r="F119" s="208"/>
      <c r="G119" s="210">
        <f>Variables!$C$3*POWER(SUM(1,Variables!$C$2/100),C119-2017)</f>
        <v>8579.7545168201996</v>
      </c>
      <c r="H119" s="210">
        <f t="shared" si="14"/>
        <v>278.16871425679892</v>
      </c>
      <c r="I119" s="211">
        <f>VLOOKUP(B119,'Waste per capita'!$B$2:$F$48,4,FALSE)*(H119/Variables!$C$6)</f>
        <v>257.73474645377598</v>
      </c>
      <c r="J119" s="210">
        <f t="shared" si="9"/>
        <v>384584.4742051636</v>
      </c>
      <c r="K119" s="212">
        <f>Variables!$C$13</f>
        <v>1</v>
      </c>
      <c r="L119" s="213">
        <f t="shared" si="10"/>
        <v>384584.4742051636</v>
      </c>
      <c r="N119" s="215">
        <f>IF(D119&gt;1500000,Budgeting!$B$13,(IF(D119&gt;500000,Budgeting!$C$13,Budgeting!$D$13)))</f>
        <v>26.132827156951464</v>
      </c>
      <c r="O119" s="216">
        <f t="shared" si="11"/>
        <v>10050279.5916506</v>
      </c>
      <c r="P119" s="217">
        <f>IF(D119&gt;1500000,Budgeting!$B$15,(IF(D119&gt;500000,Budgeting!$C$15,Budgeting!$D$15)))</f>
        <v>2.1188778775906578</v>
      </c>
      <c r="Q119" s="218">
        <f t="shared" si="12"/>
        <v>814887.53445815609</v>
      </c>
    </row>
    <row r="120" spans="1:17">
      <c r="A120" s="222">
        <v>33</v>
      </c>
      <c r="B120" s="191" t="s">
        <v>141</v>
      </c>
      <c r="C120" s="191">
        <v>2021</v>
      </c>
      <c r="D120" s="208">
        <f>Population!F34</f>
        <v>939982.04631618678</v>
      </c>
      <c r="E120" s="209" t="str">
        <f t="shared" si="13"/>
        <v>Medium</v>
      </c>
      <c r="F120" s="208"/>
      <c r="G120" s="210">
        <f>Variables!$C$3*POWER(SUM(1,Variables!$C$2/100),C120-2017)</f>
        <v>8579.7545168201996</v>
      </c>
      <c r="H120" s="210">
        <f t="shared" si="14"/>
        <v>278.16871425679892</v>
      </c>
      <c r="I120" s="211">
        <f>VLOOKUP(B120,'Waste per capita'!$B$2:$F$48,4,FALSE)*(H120/Variables!$C$6)</f>
        <v>123.22354666220677</v>
      </c>
      <c r="J120" s="210">
        <f t="shared" si="9"/>
        <v>115827.92154587925</v>
      </c>
      <c r="K120" s="212">
        <f>Variables!$C$13</f>
        <v>1</v>
      </c>
      <c r="L120" s="213">
        <f t="shared" si="10"/>
        <v>115827.92154587925</v>
      </c>
      <c r="N120" s="215">
        <f>IF(D120&gt;1500000,Budgeting!$B$13,(IF(D120&gt;500000,Budgeting!$C$13,Budgeting!$D$13)))</f>
        <v>26.132827156951464</v>
      </c>
      <c r="O120" s="216">
        <f t="shared" si="11"/>
        <v>3026911.0537073966</v>
      </c>
      <c r="P120" s="217">
        <f>IF(D120&gt;1500000,Budgeting!$B$15,(IF(D120&gt;500000,Budgeting!$C$15,Budgeting!$D$15)))</f>
        <v>2.1188778775906578</v>
      </c>
      <c r="Q120" s="218">
        <f t="shared" si="12"/>
        <v>245425.22057086983</v>
      </c>
    </row>
    <row r="121" spans="1:17">
      <c r="A121" s="222">
        <v>34</v>
      </c>
      <c r="B121" s="191" t="s">
        <v>142</v>
      </c>
      <c r="C121" s="191">
        <v>2021</v>
      </c>
      <c r="D121" s="208">
        <f>Population!F35</f>
        <v>543765.40266572009</v>
      </c>
      <c r="E121" s="209" t="str">
        <f t="shared" si="13"/>
        <v>Medium</v>
      </c>
      <c r="F121" s="208"/>
      <c r="G121" s="210">
        <f>Variables!$C$3*POWER(SUM(1,Variables!$C$2/100),C121-2017)</f>
        <v>8579.7545168201996</v>
      </c>
      <c r="H121" s="210">
        <f t="shared" si="14"/>
        <v>278.16871425679892</v>
      </c>
      <c r="I121" s="211">
        <f>VLOOKUP(B121,'Waste per capita'!$B$2:$F$48,4,FALSE)*(H121/Variables!$C$6)</f>
        <v>221.04987378334798</v>
      </c>
      <c r="J121" s="210">
        <f t="shared" si="9"/>
        <v>120199.27362700881</v>
      </c>
      <c r="K121" s="212">
        <f>Variables!$C$13</f>
        <v>1</v>
      </c>
      <c r="L121" s="213">
        <f t="shared" si="10"/>
        <v>120199.27362700881</v>
      </c>
      <c r="N121" s="215">
        <f>IF(D121&gt;1500000,Budgeting!$B$13,(IF(D121&gt;500000,Budgeting!$C$13,Budgeting!$D$13)))</f>
        <v>26.132827156951464</v>
      </c>
      <c r="O121" s="216">
        <f t="shared" si="11"/>
        <v>3141146.8420857354</v>
      </c>
      <c r="P121" s="217">
        <f>IF(D121&gt;1500000,Budgeting!$B$15,(IF(D121&gt;500000,Budgeting!$C$15,Budgeting!$D$15)))</f>
        <v>2.1188778775906578</v>
      </c>
      <c r="Q121" s="218">
        <f t="shared" si="12"/>
        <v>254687.58179073516</v>
      </c>
    </row>
    <row r="122" spans="1:17">
      <c r="A122" s="222">
        <v>35</v>
      </c>
      <c r="B122" s="191" t="s">
        <v>143</v>
      </c>
      <c r="C122" s="191">
        <v>2021</v>
      </c>
      <c r="D122" s="208">
        <f>Population!F36</f>
        <v>231657.75760755927</v>
      </c>
      <c r="E122" s="209" t="str">
        <f t="shared" si="13"/>
        <v>Medium</v>
      </c>
      <c r="F122" s="208"/>
      <c r="G122" s="210">
        <f>Variables!$C$3*POWER(SUM(1,Variables!$C$2/100),C122-2017)</f>
        <v>8579.7545168201996</v>
      </c>
      <c r="H122" s="210">
        <f t="shared" si="14"/>
        <v>278.16871425679892</v>
      </c>
      <c r="I122" s="211">
        <f>VLOOKUP(B122,'Waste per capita'!$B$2:$F$48,4,FALSE)*(H122/Variables!$C$6)</f>
        <v>189.06818991682107</v>
      </c>
      <c r="J122" s="210">
        <f t="shared" si="9"/>
        <v>43799.112911050914</v>
      </c>
      <c r="K122" s="212">
        <f>Variables!$C$13</f>
        <v>1</v>
      </c>
      <c r="L122" s="213">
        <f t="shared" si="10"/>
        <v>43799.112911050914</v>
      </c>
      <c r="N122" s="215">
        <f>IF(D122&gt;1500000,Budgeting!$B$13,(IF(D122&gt;500000,Budgeting!$C$13,Budgeting!$D$13)))</f>
        <v>26.27408568212417</v>
      </c>
      <c r="O122" s="216">
        <f t="shared" si="11"/>
        <v>1150781.6454259828</v>
      </c>
      <c r="P122" s="217">
        <f>IF(D122&gt;1500000,Budgeting!$B$15,(IF(D122&gt;500000,Budgeting!$C$15,Budgeting!$D$15)))</f>
        <v>7.6279603593263765</v>
      </c>
      <c r="Q122" s="218">
        <f t="shared" si="12"/>
        <v>334097.89705915644</v>
      </c>
    </row>
    <row r="123" spans="1:17">
      <c r="A123" s="222">
        <v>36</v>
      </c>
      <c r="B123" s="191" t="s">
        <v>144</v>
      </c>
      <c r="C123" s="191">
        <v>2021</v>
      </c>
      <c r="D123" s="208">
        <f>Population!F37</f>
        <v>1485278.0823472277</v>
      </c>
      <c r="E123" s="209" t="str">
        <f t="shared" si="13"/>
        <v>Large</v>
      </c>
      <c r="F123" s="208"/>
      <c r="G123" s="210">
        <f>Variables!$C$3*POWER(SUM(1,Variables!$C$2/100),C123-2017)</f>
        <v>8579.7545168201996</v>
      </c>
      <c r="H123" s="210">
        <f t="shared" si="14"/>
        <v>278.16871425679892</v>
      </c>
      <c r="I123" s="211">
        <f>VLOOKUP(B123,'Waste per capita'!$B$2:$F$48,4,FALSE)*(H123/Variables!$C$6)</f>
        <v>268.0817618223582</v>
      </c>
      <c r="J123" s="210">
        <f t="shared" si="9"/>
        <v>398175.96511177847</v>
      </c>
      <c r="K123" s="212">
        <f>Variables!$C$13</f>
        <v>1</v>
      </c>
      <c r="L123" s="213">
        <f t="shared" si="10"/>
        <v>398175.96511177847</v>
      </c>
      <c r="N123" s="215">
        <f>IF(D123&gt;1500000,Budgeting!$B$13,(IF(D123&gt;500000,Budgeting!$C$13,Budgeting!$D$13)))</f>
        <v>26.132827156951464</v>
      </c>
      <c r="O123" s="216">
        <f t="shared" si="11"/>
        <v>10405463.674318442</v>
      </c>
      <c r="P123" s="217">
        <f>IF(D123&gt;1500000,Budgeting!$B$15,(IF(D123&gt;500000,Budgeting!$C$15,Budgeting!$D$15)))</f>
        <v>2.1188778775906578</v>
      </c>
      <c r="Q123" s="218">
        <f t="shared" si="12"/>
        <v>843686.243863657</v>
      </c>
    </row>
    <row r="124" spans="1:17">
      <c r="A124" s="222">
        <v>37</v>
      </c>
      <c r="B124" s="191" t="s">
        <v>145</v>
      </c>
      <c r="C124" s="191">
        <v>2021</v>
      </c>
      <c r="D124" s="208">
        <f>Population!F38</f>
        <v>247804.61247293922</v>
      </c>
      <c r="E124" s="209" t="str">
        <f t="shared" si="13"/>
        <v>Medium</v>
      </c>
      <c r="F124" s="208"/>
      <c r="G124" s="210">
        <f>Variables!$C$3*POWER(SUM(1,Variables!$C$2/100),C124-2017)</f>
        <v>8579.7545168201996</v>
      </c>
      <c r="H124" s="210">
        <f t="shared" si="14"/>
        <v>278.16871425679892</v>
      </c>
      <c r="I124" s="211">
        <f>VLOOKUP(B124,'Waste per capita'!$B$2:$F$48,4,FALSE)*(H124/Variables!$C$6)</f>
        <v>189.06818991682107</v>
      </c>
      <c r="J124" s="210">
        <f t="shared" si="9"/>
        <v>46851.969533297917</v>
      </c>
      <c r="K124" s="212">
        <f>Variables!$C$13</f>
        <v>1</v>
      </c>
      <c r="L124" s="213">
        <f t="shared" si="10"/>
        <v>46851.969533297917</v>
      </c>
      <c r="N124" s="215">
        <f>IF(D124&gt;1500000,Budgeting!$B$13,(IF(D124&gt;500000,Budgeting!$C$13,Budgeting!$D$13)))</f>
        <v>26.27408568212417</v>
      </c>
      <c r="O124" s="216">
        <f t="shared" si="11"/>
        <v>1230992.6618941405</v>
      </c>
      <c r="P124" s="217">
        <f>IF(D124&gt;1500000,Budgeting!$B$15,(IF(D124&gt;500000,Budgeting!$C$15,Budgeting!$D$15)))</f>
        <v>7.6279603593263765</v>
      </c>
      <c r="Q124" s="218">
        <f t="shared" si="12"/>
        <v>357384.96635636361</v>
      </c>
    </row>
    <row r="125" spans="1:17">
      <c r="A125" s="222">
        <v>38</v>
      </c>
      <c r="B125" s="191" t="s">
        <v>146</v>
      </c>
      <c r="C125" s="191">
        <v>2021</v>
      </c>
      <c r="D125" s="208">
        <f>Population!F39</f>
        <v>1089765.4542083084</v>
      </c>
      <c r="E125" s="209" t="str">
        <f t="shared" si="13"/>
        <v>Large</v>
      </c>
      <c r="F125" s="208"/>
      <c r="G125" s="210">
        <f>Variables!$C$3*POWER(SUM(1,Variables!$C$2/100),C125-2017)</f>
        <v>8579.7545168201996</v>
      </c>
      <c r="H125" s="210">
        <f t="shared" si="14"/>
        <v>278.16871425679892</v>
      </c>
      <c r="I125" s="211">
        <f>VLOOKUP(B125,'Waste per capita'!$B$2:$F$48,4,FALSE)*(H125/Variables!$C$6)</f>
        <v>264.53826340846018</v>
      </c>
      <c r="J125" s="210">
        <f t="shared" si="9"/>
        <v>288284.66077879776</v>
      </c>
      <c r="K125" s="212">
        <f>Variables!$C$13</f>
        <v>1</v>
      </c>
      <c r="L125" s="213">
        <f t="shared" si="10"/>
        <v>288284.66077879776</v>
      </c>
      <c r="N125" s="215">
        <f>IF(D125&gt;1500000,Budgeting!$B$13,(IF(D125&gt;500000,Budgeting!$C$13,Budgeting!$D$13)))</f>
        <v>26.132827156951464</v>
      </c>
      <c r="O125" s="216">
        <f t="shared" si="11"/>
        <v>7533693.2121327063</v>
      </c>
      <c r="P125" s="217">
        <f>IF(D125&gt;1500000,Budgeting!$B$15,(IF(D125&gt;500000,Budgeting!$C$15,Budgeting!$D$15)))</f>
        <v>2.1188778775906578</v>
      </c>
      <c r="Q125" s="218">
        <f t="shared" si="12"/>
        <v>610839.9901729218</v>
      </c>
    </row>
    <row r="126" spans="1:17">
      <c r="A126" s="222">
        <v>39</v>
      </c>
      <c r="B126" s="191" t="s">
        <v>147</v>
      </c>
      <c r="C126" s="191">
        <v>2021</v>
      </c>
      <c r="D126" s="208">
        <f>Population!F40</f>
        <v>89714.579909563166</v>
      </c>
      <c r="E126" s="209" t="str">
        <f t="shared" si="13"/>
        <v>Small</v>
      </c>
      <c r="F126" s="208"/>
      <c r="G126" s="210">
        <f>Variables!$C$3*POWER(SUM(1,Variables!$C$2/100),C126-2017)</f>
        <v>8579.7545168201996</v>
      </c>
      <c r="H126" s="210">
        <f t="shared" si="14"/>
        <v>278.16871425679892</v>
      </c>
      <c r="I126" s="211">
        <f>VLOOKUP(B126,'Waste per capita'!$B$2:$F$48,4,FALSE)*(H126/Variables!$C$6)</f>
        <v>214.63775233528978</v>
      </c>
      <c r="J126" s="210">
        <f t="shared" si="9"/>
        <v>19256.135783493381</v>
      </c>
      <c r="K126" s="212">
        <f>Variables!$C$13</f>
        <v>1</v>
      </c>
      <c r="L126" s="213">
        <f t="shared" si="10"/>
        <v>19256.135783493381</v>
      </c>
      <c r="N126" s="215">
        <f>IF(D126&gt;1500000,Budgeting!$B$13,(IF(D126&gt;500000,Budgeting!$C$13,Budgeting!$D$13)))</f>
        <v>26.27408568212417</v>
      </c>
      <c r="O126" s="216">
        <f t="shared" si="11"/>
        <v>505937.36148212233</v>
      </c>
      <c r="P126" s="217">
        <f>IF(D126&gt;1500000,Budgeting!$B$15,(IF(D126&gt;500000,Budgeting!$C$15,Budgeting!$D$15)))</f>
        <v>7.6279603593263765</v>
      </c>
      <c r="Q126" s="218">
        <f t="shared" si="12"/>
        <v>146885.04043029365</v>
      </c>
    </row>
    <row r="127" spans="1:17">
      <c r="A127" s="222">
        <v>40</v>
      </c>
      <c r="B127" s="191" t="s">
        <v>148</v>
      </c>
      <c r="C127" s="191">
        <v>2021</v>
      </c>
      <c r="D127" s="208">
        <f>Population!F41</f>
        <v>160186.91179794868</v>
      </c>
      <c r="E127" s="209" t="str">
        <f t="shared" si="13"/>
        <v>Medium</v>
      </c>
      <c r="F127" s="208"/>
      <c r="G127" s="210">
        <f>Variables!$C$3*POWER(SUM(1,Variables!$C$2/100),C127-2017)</f>
        <v>8579.7545168201996</v>
      </c>
      <c r="H127" s="210">
        <f t="shared" si="14"/>
        <v>278.16871425679892</v>
      </c>
      <c r="I127" s="211">
        <f>VLOOKUP(B127,'Waste per capita'!$B$2:$F$48,4,FALSE)*(H127/Variables!$C$6)</f>
        <v>190.88675625432944</v>
      </c>
      <c r="J127" s="210">
        <f t="shared" si="9"/>
        <v>30577.559987508801</v>
      </c>
      <c r="K127" s="212">
        <f>Variables!$C$13</f>
        <v>1</v>
      </c>
      <c r="L127" s="213">
        <f t="shared" si="10"/>
        <v>30577.559987508801</v>
      </c>
      <c r="N127" s="215">
        <f>IF(D127&gt;1500000,Budgeting!$B$13,(IF(D127&gt;500000,Budgeting!$C$13,Budgeting!$D$13)))</f>
        <v>26.27408568212417</v>
      </c>
      <c r="O127" s="216">
        <f t="shared" si="11"/>
        <v>803397.43106209789</v>
      </c>
      <c r="P127" s="217">
        <f>IF(D127&gt;1500000,Budgeting!$B$15,(IF(D127&gt;500000,Budgeting!$C$15,Budgeting!$D$15)))</f>
        <v>7.6279603593263765</v>
      </c>
      <c r="Q127" s="218">
        <f t="shared" si="12"/>
        <v>233244.41546964148</v>
      </c>
    </row>
    <row r="128" spans="1:17">
      <c r="A128" s="222">
        <v>41</v>
      </c>
      <c r="B128" s="191" t="s">
        <v>149</v>
      </c>
      <c r="C128" s="191">
        <v>2021</v>
      </c>
      <c r="D128" s="208">
        <f>Population!F42</f>
        <v>77100.442018644026</v>
      </c>
      <c r="E128" s="209" t="str">
        <f t="shared" si="13"/>
        <v>Small</v>
      </c>
      <c r="F128" s="208"/>
      <c r="G128" s="210">
        <f>Variables!$C$3*POWER(SUM(1,Variables!$C$2/100),C128-2017)</f>
        <v>8579.7545168201996</v>
      </c>
      <c r="H128" s="210">
        <f t="shared" si="14"/>
        <v>278.16871425679892</v>
      </c>
      <c r="I128" s="211">
        <f>VLOOKUP(B128,'Waste per capita'!$B$2:$F$48,4,FALSE)*(H128/Variables!$C$6)</f>
        <v>214.63775233528978</v>
      </c>
      <c r="J128" s="210">
        <f t="shared" si="9"/>
        <v>16548.665578939086</v>
      </c>
      <c r="K128" s="212">
        <f>Variables!$C$13</f>
        <v>1</v>
      </c>
      <c r="L128" s="213">
        <f t="shared" si="10"/>
        <v>16548.665578939086</v>
      </c>
      <c r="N128" s="215">
        <f>IF(D128&gt;1500000,Budgeting!$B$13,(IF(D128&gt;500000,Budgeting!$C$13,Budgeting!$D$13)))</f>
        <v>26.27408568212417</v>
      </c>
      <c r="O128" s="216">
        <f t="shared" si="11"/>
        <v>434801.05734586454</v>
      </c>
      <c r="P128" s="217">
        <f>IF(D128&gt;1500000,Budgeting!$B$15,(IF(D128&gt;500000,Budgeting!$C$15,Budgeting!$D$15)))</f>
        <v>7.6279603593263765</v>
      </c>
      <c r="Q128" s="218">
        <f t="shared" si="12"/>
        <v>126232.56503589623</v>
      </c>
    </row>
    <row r="129" spans="1:17">
      <c r="A129" s="222">
        <v>42</v>
      </c>
      <c r="B129" s="191" t="s">
        <v>150</v>
      </c>
      <c r="C129" s="191">
        <v>2021</v>
      </c>
      <c r="D129" s="208">
        <f>Population!F43</f>
        <v>95478.153935874914</v>
      </c>
      <c r="E129" s="209" t="str">
        <f t="shared" si="13"/>
        <v>Small</v>
      </c>
      <c r="F129" s="208"/>
      <c r="G129" s="210">
        <f>Variables!$C$3*POWER(SUM(1,Variables!$C$2/100),C129-2017)</f>
        <v>8579.7545168201996</v>
      </c>
      <c r="H129" s="210">
        <f t="shared" si="14"/>
        <v>278.16871425679892</v>
      </c>
      <c r="I129" s="211">
        <f>VLOOKUP(B129,'Waste per capita'!$B$2:$F$48,4,FALSE)*(H129/Variables!$C$6)</f>
        <v>214.63775233528978</v>
      </c>
      <c r="J129" s="210">
        <f t="shared" si="9"/>
        <v>20493.216357918991</v>
      </c>
      <c r="K129" s="212">
        <f>Variables!$C$13</f>
        <v>1</v>
      </c>
      <c r="L129" s="213">
        <f t="shared" si="10"/>
        <v>20493.216357918991</v>
      </c>
      <c r="N129" s="215">
        <f>IF(D129&gt;1500000,Budgeting!$B$13,(IF(D129&gt;500000,Budgeting!$C$13,Budgeting!$D$13)))</f>
        <v>26.27408568212417</v>
      </c>
      <c r="O129" s="216">
        <f t="shared" si="11"/>
        <v>538440.52249027218</v>
      </c>
      <c r="P129" s="217">
        <f>IF(D129&gt;1500000,Budgeting!$B$15,(IF(D129&gt;500000,Budgeting!$C$15,Budgeting!$D$15)))</f>
        <v>7.6279603593263765</v>
      </c>
      <c r="Q129" s="218">
        <f t="shared" si="12"/>
        <v>156321.44201330491</v>
      </c>
    </row>
    <row r="130" spans="1:17">
      <c r="A130" s="222">
        <v>1</v>
      </c>
      <c r="B130" s="191" t="s">
        <v>109</v>
      </c>
      <c r="C130" s="191">
        <v>2022</v>
      </c>
      <c r="D130" s="208">
        <f>Population!G2</f>
        <v>517564.01161777606</v>
      </c>
      <c r="E130" s="209" t="str">
        <f t="shared" si="13"/>
        <v>Medium</v>
      </c>
      <c r="F130" s="208"/>
      <c r="G130" s="210">
        <f>Variables!$C$3*POWER(SUM(1,Variables!$C$2/100),C130-2017)</f>
        <v>9190.6330384177963</v>
      </c>
      <c r="H130" s="210">
        <f t="shared" si="14"/>
        <v>286.24333671364138</v>
      </c>
      <c r="I130" s="211">
        <f>VLOOKUP(B130,'Waste per capita'!$B$2:$F$48,4,FALSE)*(H130/Variables!$C$6)</f>
        <v>220.69086589015041</v>
      </c>
      <c r="J130" s="210">
        <f t="shared" si="9"/>
        <v>114221.64987750686</v>
      </c>
      <c r="K130" s="212">
        <f>Variables!$C$13</f>
        <v>1</v>
      </c>
      <c r="L130" s="213">
        <f t="shared" si="10"/>
        <v>114221.64987750686</v>
      </c>
      <c r="N130" s="215">
        <f>IF(D130&gt;1500000,Budgeting!$B$13,(IF(D130&gt;500000,Budgeting!$C$13,Budgeting!$D$13)))</f>
        <v>26.132827156951464</v>
      </c>
      <c r="O130" s="216">
        <f t="shared" si="11"/>
        <v>2984934.6338307131</v>
      </c>
      <c r="P130" s="217">
        <f>IF(D130&gt;1500000,Budgeting!$B$15,(IF(D130&gt;500000,Budgeting!$C$15,Budgeting!$D$15)))</f>
        <v>2.1188778775906578</v>
      </c>
      <c r="Q130" s="218">
        <f t="shared" si="12"/>
        <v>242021.72706735495</v>
      </c>
    </row>
    <row r="131" spans="1:17">
      <c r="A131" s="222">
        <v>2</v>
      </c>
      <c r="B131" s="191" t="s">
        <v>110</v>
      </c>
      <c r="C131" s="191">
        <v>2022</v>
      </c>
      <c r="D131" s="208">
        <f>Population!G3</f>
        <v>379650.10858101764</v>
      </c>
      <c r="E131" s="209" t="str">
        <f t="shared" si="13"/>
        <v>Medium</v>
      </c>
      <c r="F131" s="208"/>
      <c r="G131" s="210">
        <f>Variables!$C$3*POWER(SUM(1,Variables!$C$2/100),C131-2017)</f>
        <v>9190.6330384177963</v>
      </c>
      <c r="H131" s="210">
        <f t="shared" si="14"/>
        <v>286.24333671364138</v>
      </c>
      <c r="I131" s="211">
        <f>VLOOKUP(B131,'Waste per capita'!$B$2:$F$48,4,FALSE)*(H131/Variables!$C$6)</f>
        <v>137.93179118134401</v>
      </c>
      <c r="J131" s="210">
        <f t="shared" si="9"/>
        <v>52365.819498771503</v>
      </c>
      <c r="K131" s="212">
        <f>Variables!$C$13</f>
        <v>1</v>
      </c>
      <c r="L131" s="213">
        <f t="shared" si="10"/>
        <v>52365.819498771503</v>
      </c>
      <c r="N131" s="215">
        <f>IF(D131&gt;1500000,Budgeting!$B$13,(IF(D131&gt;500000,Budgeting!$C$13,Budgeting!$D$13)))</f>
        <v>26.27408568212417</v>
      </c>
      <c r="O131" s="216">
        <f t="shared" si="11"/>
        <v>1375864.028325371</v>
      </c>
      <c r="P131" s="217">
        <f>IF(D131&gt;1500000,Budgeting!$B$15,(IF(D131&gt;500000,Budgeting!$C$15,Budgeting!$D$15)))</f>
        <v>7.6279603593263765</v>
      </c>
      <c r="Q131" s="218">
        <f t="shared" si="12"/>
        <v>399444.39532026922</v>
      </c>
    </row>
    <row r="132" spans="1:17">
      <c r="A132" s="222">
        <v>3</v>
      </c>
      <c r="B132" s="191" t="s">
        <v>111</v>
      </c>
      <c r="C132" s="191">
        <v>2022</v>
      </c>
      <c r="D132" s="208">
        <f>Population!G4</f>
        <v>10925246.512026692</v>
      </c>
      <c r="E132" s="209" t="str">
        <f t="shared" si="13"/>
        <v>Large</v>
      </c>
      <c r="F132" s="208"/>
      <c r="G132" s="210">
        <f>Variables!$C$3*POWER(SUM(1,Variables!$C$2/100),C132-2017)</f>
        <v>9190.6330384177963</v>
      </c>
      <c r="H132" s="210">
        <f t="shared" si="14"/>
        <v>286.24333671364138</v>
      </c>
      <c r="I132" s="211">
        <f>VLOOKUP(B132,'Waste per capita'!$B$2:$F$48,4,FALSE)*(H132/Variables!$C$6)</f>
        <v>356.68014254055794</v>
      </c>
      <c r="J132" s="210">
        <f t="shared" ref="J132:J195" si="15">I132*D132/1000</f>
        <v>3896818.4832004136</v>
      </c>
      <c r="K132" s="212">
        <f>Variables!$C$13</f>
        <v>1</v>
      </c>
      <c r="L132" s="213">
        <f t="shared" ref="L132:L195" si="16">J132*K132</f>
        <v>3896818.4832004136</v>
      </c>
      <c r="N132" s="215">
        <f>IF(D132&gt;1500000,Budgeting!$B$13,(IF(D132&gt;500000,Budgeting!$C$13,Budgeting!$D$13)))</f>
        <v>25.956254000485576</v>
      </c>
      <c r="O132" s="216">
        <f t="shared" ref="O132:O195" si="17">N132*L132</f>
        <v>101146810.34373687</v>
      </c>
      <c r="P132" s="217">
        <f>IF(D132&gt;1500000,Budgeting!$B$15,(IF(D132&gt;500000,Budgeting!$C$15,Budgeting!$D$15)))</f>
        <v>3.7080362857836535</v>
      </c>
      <c r="Q132" s="218">
        <f t="shared" ref="Q132:Q195" si="18">P132*J132</f>
        <v>14449544.334819552</v>
      </c>
    </row>
    <row r="133" spans="1:17">
      <c r="A133" s="222">
        <v>4</v>
      </c>
      <c r="B133" s="191" t="s">
        <v>112</v>
      </c>
      <c r="C133" s="191">
        <v>2022</v>
      </c>
      <c r="D133" s="208">
        <f>Population!G5</f>
        <v>2326709.0375178596</v>
      </c>
      <c r="E133" s="209" t="str">
        <f t="shared" ref="E133:E196" si="19">IF(D133&lt;100000,"Small",IF(D133&lt;1000000,"Medium","Large"))</f>
        <v>Large</v>
      </c>
      <c r="F133" s="208"/>
      <c r="G133" s="210">
        <f>Variables!$C$3*POWER(SUM(1,Variables!$C$2/100),C133-2017)</f>
        <v>9190.6330384177963</v>
      </c>
      <c r="H133" s="210">
        <f t="shared" si="14"/>
        <v>286.24333671364138</v>
      </c>
      <c r="I133" s="211">
        <f>VLOOKUP(B133,'Waste per capita'!$B$2:$F$48,4,FALSE)*(H133/Variables!$C$6)</f>
        <v>220.69086589015041</v>
      </c>
      <c r="J133" s="210">
        <f t="shared" si="15"/>
        <v>513483.43216425489</v>
      </c>
      <c r="K133" s="212">
        <f>Variables!$C$13</f>
        <v>1</v>
      </c>
      <c r="L133" s="213">
        <f t="shared" si="16"/>
        <v>513483.43216425489</v>
      </c>
      <c r="N133" s="215">
        <f>IF(D133&gt;1500000,Budgeting!$B$13,(IF(D133&gt;500000,Budgeting!$C$13,Budgeting!$D$13)))</f>
        <v>25.956254000485576</v>
      </c>
      <c r="O133" s="216">
        <f t="shared" si="17"/>
        <v>13328106.390296504</v>
      </c>
      <c r="P133" s="217">
        <f>IF(D133&gt;1500000,Budgeting!$B$15,(IF(D133&gt;500000,Budgeting!$C$15,Budgeting!$D$15)))</f>
        <v>3.7080362857836535</v>
      </c>
      <c r="Q133" s="218">
        <f t="shared" si="18"/>
        <v>1904015.1986137864</v>
      </c>
    </row>
    <row r="134" spans="1:17">
      <c r="A134" s="222">
        <v>5</v>
      </c>
      <c r="B134" s="191" t="s">
        <v>113</v>
      </c>
      <c r="C134" s="191">
        <v>2022</v>
      </c>
      <c r="D134" s="208">
        <f>Population!G6</f>
        <v>1091275.3935622033</v>
      </c>
      <c r="E134" s="209" t="str">
        <f t="shared" si="19"/>
        <v>Large</v>
      </c>
      <c r="F134" s="208"/>
      <c r="G134" s="210">
        <f>Variables!$C$3*POWER(SUM(1,Variables!$C$2/100),C134-2017)</f>
        <v>9190.6330384177963</v>
      </c>
      <c r="H134" s="210">
        <f t="shared" si="14"/>
        <v>286.24333671364138</v>
      </c>
      <c r="I134" s="211">
        <f>VLOOKUP(B134,'Waste per capita'!$B$2:$F$48,4,FALSE)*(H134/Variables!$C$6)</f>
        <v>220.69086589015041</v>
      </c>
      <c r="J134" s="210">
        <f t="shared" si="15"/>
        <v>240834.51152985732</v>
      </c>
      <c r="K134" s="212">
        <f>Variables!$C$13</f>
        <v>1</v>
      </c>
      <c r="L134" s="213">
        <f t="shared" si="16"/>
        <v>240834.51152985732</v>
      </c>
      <c r="N134" s="215">
        <f>IF(D134&gt;1500000,Budgeting!$B$13,(IF(D134&gt;500000,Budgeting!$C$13,Budgeting!$D$13)))</f>
        <v>26.132827156951464</v>
      </c>
      <c r="O134" s="216">
        <f t="shared" si="17"/>
        <v>6293686.6632385962</v>
      </c>
      <c r="P134" s="217">
        <f>IF(D134&gt;1500000,Budgeting!$B$15,(IF(D134&gt;500000,Budgeting!$C$15,Budgeting!$D$15)))</f>
        <v>2.1188778775906578</v>
      </c>
      <c r="Q134" s="218">
        <f t="shared" si="18"/>
        <v>510298.91864096688</v>
      </c>
    </row>
    <row r="135" spans="1:17">
      <c r="A135" s="222">
        <v>6</v>
      </c>
      <c r="B135" s="191" t="s">
        <v>114</v>
      </c>
      <c r="C135" s="191">
        <v>2022</v>
      </c>
      <c r="D135" s="208">
        <f>Population!G7</f>
        <v>1244194.6211525444</v>
      </c>
      <c r="E135" s="209" t="str">
        <f t="shared" si="19"/>
        <v>Large</v>
      </c>
      <c r="F135" s="208"/>
      <c r="G135" s="210">
        <f>Variables!$C$3*POWER(SUM(1,Variables!$C$2/100),C135-2017)</f>
        <v>9190.6330384177963</v>
      </c>
      <c r="H135" s="210">
        <f t="shared" si="14"/>
        <v>286.24333671364138</v>
      </c>
      <c r="I135" s="211">
        <f>VLOOKUP(B135,'Waste per capita'!$B$2:$F$48,4,FALSE)*(H135/Variables!$C$6)</f>
        <v>220.69086589015041</v>
      </c>
      <c r="J135" s="210">
        <f t="shared" si="15"/>
        <v>274582.38827802264</v>
      </c>
      <c r="K135" s="212">
        <f>Variables!$C$13</f>
        <v>1</v>
      </c>
      <c r="L135" s="213">
        <f t="shared" si="16"/>
        <v>274582.38827802264</v>
      </c>
      <c r="N135" s="215">
        <f>IF(D135&gt;1500000,Budgeting!$B$13,(IF(D135&gt;500000,Budgeting!$C$13,Budgeting!$D$13)))</f>
        <v>26.132827156951464</v>
      </c>
      <c r="O135" s="216">
        <f t="shared" si="17"/>
        <v>7175614.0932125011</v>
      </c>
      <c r="P135" s="217">
        <f>IF(D135&gt;1500000,Budgeting!$B$15,(IF(D135&gt;500000,Budgeting!$C$15,Budgeting!$D$15)))</f>
        <v>2.1188778775906578</v>
      </c>
      <c r="Q135" s="218">
        <f t="shared" si="18"/>
        <v>581806.54809831048</v>
      </c>
    </row>
    <row r="136" spans="1:17">
      <c r="A136" s="222">
        <v>7</v>
      </c>
      <c r="B136" s="191" t="s">
        <v>115</v>
      </c>
      <c r="C136" s="191">
        <v>2022</v>
      </c>
      <c r="D136" s="208">
        <f>Population!G8</f>
        <v>6012393.0131515982</v>
      </c>
      <c r="E136" s="209" t="str">
        <f t="shared" si="19"/>
        <v>Large</v>
      </c>
      <c r="F136" s="208"/>
      <c r="G136" s="210">
        <f>Variables!$C$3*POWER(SUM(1,Variables!$C$2/100),C136-2017)</f>
        <v>9190.6330384177963</v>
      </c>
      <c r="H136" s="210">
        <f t="shared" si="14"/>
        <v>286.24333671364138</v>
      </c>
      <c r="I136" s="211">
        <f>VLOOKUP(B136,'Waste per capita'!$B$2:$F$48,4,FALSE)*(H136/Variables!$C$6)</f>
        <v>342.65160756628615</v>
      </c>
      <c r="J136" s="210">
        <f t="shared" si="15"/>
        <v>2060156.1312767023</v>
      </c>
      <c r="K136" s="212">
        <f>Variables!$C$13</f>
        <v>1</v>
      </c>
      <c r="L136" s="213">
        <f t="shared" si="16"/>
        <v>2060156.1312767023</v>
      </c>
      <c r="N136" s="215">
        <f>IF(D136&gt;1500000,Budgeting!$B$13,(IF(D136&gt;500000,Budgeting!$C$13,Budgeting!$D$13)))</f>
        <v>25.956254000485576</v>
      </c>
      <c r="O136" s="216">
        <f t="shared" si="17"/>
        <v>53473935.824075788</v>
      </c>
      <c r="P136" s="217">
        <f>IF(D136&gt;1500000,Budgeting!$B$15,(IF(D136&gt;500000,Budgeting!$C$15,Budgeting!$D$15)))</f>
        <v>3.7080362857836535</v>
      </c>
      <c r="Q136" s="218">
        <f t="shared" si="18"/>
        <v>7639133.6891536843</v>
      </c>
    </row>
    <row r="137" spans="1:17">
      <c r="A137" s="222">
        <v>8</v>
      </c>
      <c r="B137" s="191" t="s">
        <v>116</v>
      </c>
      <c r="C137" s="191">
        <v>2022</v>
      </c>
      <c r="D137" s="208">
        <f>Population!G9</f>
        <v>57296.350942636469</v>
      </c>
      <c r="E137" s="209" t="str">
        <f t="shared" si="19"/>
        <v>Small</v>
      </c>
      <c r="F137" s="208"/>
      <c r="G137" s="210">
        <f>Variables!$C$3*POWER(SUM(1,Variables!$C$2/100),C137-2017)</f>
        <v>9190.6330384177963</v>
      </c>
      <c r="H137" s="210">
        <f t="shared" si="14"/>
        <v>286.24333671364138</v>
      </c>
      <c r="I137" s="211">
        <f>VLOOKUP(B137,'Waste per capita'!$B$2:$F$48,4,FALSE)*(H137/Variables!$C$6)</f>
        <v>231.8222034240834</v>
      </c>
      <c r="J137" s="210">
        <f t="shared" si="15"/>
        <v>13282.566323681545</v>
      </c>
      <c r="K137" s="212">
        <f>Variables!$C$13</f>
        <v>1</v>
      </c>
      <c r="L137" s="213">
        <f t="shared" si="16"/>
        <v>13282.566323681545</v>
      </c>
      <c r="N137" s="215">
        <f>IF(D137&gt;1500000,Budgeting!$B$13,(IF(D137&gt;500000,Budgeting!$C$13,Budgeting!$D$13)))</f>
        <v>26.27408568212417</v>
      </c>
      <c r="O137" s="216">
        <f t="shared" si="17"/>
        <v>348987.28566690598</v>
      </c>
      <c r="P137" s="217">
        <f>IF(D137&gt;1500000,Budgeting!$B$15,(IF(D137&gt;500000,Budgeting!$C$15,Budgeting!$D$15)))</f>
        <v>7.6279603593263765</v>
      </c>
      <c r="Q137" s="218">
        <f t="shared" si="18"/>
        <v>101318.8893871663</v>
      </c>
    </row>
    <row r="138" spans="1:17">
      <c r="A138" s="222">
        <v>9</v>
      </c>
      <c r="B138" s="191" t="s">
        <v>117</v>
      </c>
      <c r="C138" s="191">
        <v>2022</v>
      </c>
      <c r="D138" s="208">
        <f>Population!G10</f>
        <v>736975.31676990644</v>
      </c>
      <c r="E138" s="209" t="str">
        <f t="shared" si="19"/>
        <v>Medium</v>
      </c>
      <c r="F138" s="208"/>
      <c r="G138" s="210">
        <f>Variables!$C$3*POWER(SUM(1,Variables!$C$2/100),C138-2017)</f>
        <v>9190.6330384177963</v>
      </c>
      <c r="H138" s="210">
        <f t="shared" si="14"/>
        <v>286.24333671364138</v>
      </c>
      <c r="I138" s="211">
        <f>VLOOKUP(B138,'Waste per capita'!$B$2:$F$48,4,FALSE)*(H138/Variables!$C$6)</f>
        <v>171.32580378314307</v>
      </c>
      <c r="J138" s="210">
        <f t="shared" si="15"/>
        <v>126262.88851394071</v>
      </c>
      <c r="K138" s="212">
        <f>Variables!$C$13</f>
        <v>1</v>
      </c>
      <c r="L138" s="213">
        <f t="shared" si="16"/>
        <v>126262.88851394071</v>
      </c>
      <c r="N138" s="215">
        <f>IF(D138&gt;1500000,Budgeting!$B$13,(IF(D138&gt;500000,Budgeting!$C$13,Budgeting!$D$13)))</f>
        <v>26.132827156951464</v>
      </c>
      <c r="O138" s="216">
        <f t="shared" si="17"/>
        <v>3299606.241872245</v>
      </c>
      <c r="P138" s="217">
        <f>IF(D138&gt;1500000,Budgeting!$B$15,(IF(D138&gt;500000,Budgeting!$C$15,Budgeting!$D$15)))</f>
        <v>2.1188778775906578</v>
      </c>
      <c r="Q138" s="218">
        <f t="shared" si="18"/>
        <v>267535.64123288455</v>
      </c>
    </row>
    <row r="139" spans="1:17">
      <c r="A139" s="222">
        <v>10</v>
      </c>
      <c r="B139" s="191" t="s">
        <v>118</v>
      </c>
      <c r="C139" s="191">
        <v>2022</v>
      </c>
      <c r="D139" s="208">
        <f>Population!G11</f>
        <v>683906.12762054021</v>
      </c>
      <c r="E139" s="209" t="str">
        <f t="shared" si="19"/>
        <v>Medium</v>
      </c>
      <c r="F139" s="208"/>
      <c r="G139" s="210">
        <f>Variables!$C$3*POWER(SUM(1,Variables!$C$2/100),C139-2017)</f>
        <v>9190.6330384177963</v>
      </c>
      <c r="H139" s="210">
        <f t="shared" si="14"/>
        <v>286.24333671364138</v>
      </c>
      <c r="I139" s="211">
        <f>VLOOKUP(B139,'Waste per capita'!$B$2:$F$48,4,FALSE)*(H139/Variables!$C$6)</f>
        <v>196.42777654082394</v>
      </c>
      <c r="J139" s="210">
        <f t="shared" si="15"/>
        <v>134338.1600111477</v>
      </c>
      <c r="K139" s="212">
        <f>Variables!$C$13</f>
        <v>1</v>
      </c>
      <c r="L139" s="213">
        <f t="shared" si="16"/>
        <v>134338.1600111477</v>
      </c>
      <c r="N139" s="215">
        <f>IF(D139&gt;1500000,Budgeting!$B$13,(IF(D139&gt;500000,Budgeting!$C$13,Budgeting!$D$13)))</f>
        <v>26.132827156951464</v>
      </c>
      <c r="O139" s="216">
        <f t="shared" si="17"/>
        <v>3510635.9161542119</v>
      </c>
      <c r="P139" s="217">
        <f>IF(D139&gt;1500000,Budgeting!$B$15,(IF(D139&gt;500000,Budgeting!$C$15,Budgeting!$D$15)))</f>
        <v>2.1188778775906578</v>
      </c>
      <c r="Q139" s="218">
        <f t="shared" si="18"/>
        <v>284646.15536385484</v>
      </c>
    </row>
    <row r="140" spans="1:17">
      <c r="A140" s="222">
        <v>11</v>
      </c>
      <c r="B140" s="191" t="s">
        <v>119</v>
      </c>
      <c r="C140" s="191">
        <v>2022</v>
      </c>
      <c r="D140" s="208">
        <f>Population!G12</f>
        <v>266758.8813691914</v>
      </c>
      <c r="E140" s="209" t="str">
        <f t="shared" si="19"/>
        <v>Medium</v>
      </c>
      <c r="F140" s="208"/>
      <c r="G140" s="210">
        <f>Variables!$C$3*POWER(SUM(1,Variables!$C$2/100),C140-2017)</f>
        <v>9190.6330384177963</v>
      </c>
      <c r="H140" s="210">
        <f t="shared" si="14"/>
        <v>286.24333671364138</v>
      </c>
      <c r="I140" s="211">
        <f>VLOOKUP(B140,'Waste per capita'!$B$2:$F$48,4,FALSE)*(H140/Variables!$C$6)</f>
        <v>121.47677047900822</v>
      </c>
      <c r="J140" s="210">
        <f t="shared" si="15"/>
        <v>32405.007405322245</v>
      </c>
      <c r="K140" s="212">
        <f>Variables!$C$13</f>
        <v>1</v>
      </c>
      <c r="L140" s="213">
        <f t="shared" si="16"/>
        <v>32405.007405322245</v>
      </c>
      <c r="N140" s="215">
        <f>IF(D140&gt;1500000,Budgeting!$B$13,(IF(D140&gt;500000,Budgeting!$C$13,Budgeting!$D$13)))</f>
        <v>26.27408568212417</v>
      </c>
      <c r="O140" s="216">
        <f t="shared" si="17"/>
        <v>851411.94109730492</v>
      </c>
      <c r="P140" s="217">
        <f>IF(D140&gt;1500000,Budgeting!$B$15,(IF(D140&gt;500000,Budgeting!$C$15,Budgeting!$D$15)))</f>
        <v>7.6279603593263765</v>
      </c>
      <c r="Q140" s="218">
        <f t="shared" si="18"/>
        <v>247184.11193147575</v>
      </c>
    </row>
    <row r="141" spans="1:17">
      <c r="A141" s="222">
        <v>12</v>
      </c>
      <c r="B141" s="191" t="s">
        <v>120</v>
      </c>
      <c r="C141" s="191">
        <v>2022</v>
      </c>
      <c r="D141" s="208">
        <f>Population!G13</f>
        <v>129759.76357511496</v>
      </c>
      <c r="E141" s="209" t="str">
        <f t="shared" si="19"/>
        <v>Medium</v>
      </c>
      <c r="F141" s="208"/>
      <c r="G141" s="210">
        <f>Variables!$C$3*POWER(SUM(1,Variables!$C$2/100),C141-2017)</f>
        <v>9190.6330384177963</v>
      </c>
      <c r="H141" s="210">
        <f t="shared" si="14"/>
        <v>286.24333671364138</v>
      </c>
      <c r="I141" s="211">
        <f>VLOOKUP(B141,'Waste per capita'!$B$2:$F$48,4,FALSE)*(H141/Variables!$C$6)</f>
        <v>242.95354095801645</v>
      </c>
      <c r="J141" s="210">
        <f t="shared" si="15"/>
        <v>31525.594034449223</v>
      </c>
      <c r="K141" s="212">
        <f>Variables!$C$13</f>
        <v>1</v>
      </c>
      <c r="L141" s="213">
        <f t="shared" si="16"/>
        <v>31525.594034449223</v>
      </c>
      <c r="N141" s="215">
        <f>IF(D141&gt;1500000,Budgeting!$B$13,(IF(D141&gt;500000,Budgeting!$C$13,Budgeting!$D$13)))</f>
        <v>26.27408568212417</v>
      </c>
      <c r="O141" s="216">
        <f t="shared" si="17"/>
        <v>828306.15884098143</v>
      </c>
      <c r="P141" s="217">
        <f>IF(D141&gt;1500000,Budgeting!$B$15,(IF(D141&gt;500000,Budgeting!$C$15,Budgeting!$D$15)))</f>
        <v>7.6279603593263765</v>
      </c>
      <c r="Q141" s="218">
        <f t="shared" si="18"/>
        <v>240475.98159899475</v>
      </c>
    </row>
    <row r="142" spans="1:17">
      <c r="A142" s="222">
        <v>13</v>
      </c>
      <c r="B142" s="191" t="s">
        <v>121</v>
      </c>
      <c r="C142" s="191">
        <v>2022</v>
      </c>
      <c r="D142" s="208">
        <f>Population!G14</f>
        <v>8710243.4919861518</v>
      </c>
      <c r="E142" s="209" t="str">
        <f t="shared" si="19"/>
        <v>Large</v>
      </c>
      <c r="F142" s="208"/>
      <c r="G142" s="210">
        <f>Variables!$C$3*POWER(SUM(1,Variables!$C$2/100),C142-2017)</f>
        <v>9190.6330384177963</v>
      </c>
      <c r="H142" s="210">
        <f t="shared" si="14"/>
        <v>286.24333671364138</v>
      </c>
      <c r="I142" s="211">
        <f>VLOOKUP(B142,'Waste per capita'!$B$2:$F$48,4,FALSE)*(H142/Variables!$C$6)</f>
        <v>314.58127813288985</v>
      </c>
      <c r="J142" s="210">
        <f t="shared" si="15"/>
        <v>2740079.5305576893</v>
      </c>
      <c r="K142" s="212">
        <f>Variables!$C$13</f>
        <v>1</v>
      </c>
      <c r="L142" s="213">
        <f t="shared" si="16"/>
        <v>2740079.5305576893</v>
      </c>
      <c r="N142" s="215">
        <f>IF(D142&gt;1500000,Budgeting!$B$13,(IF(D142&gt;500000,Budgeting!$C$13,Budgeting!$D$13)))</f>
        <v>25.956254000485576</v>
      </c>
      <c r="O142" s="216">
        <f t="shared" si="17"/>
        <v>71122200.276686653</v>
      </c>
      <c r="P142" s="217">
        <f>IF(D142&gt;1500000,Budgeting!$B$15,(IF(D142&gt;500000,Budgeting!$C$15,Budgeting!$D$15)))</f>
        <v>3.7080362857836535</v>
      </c>
      <c r="Q142" s="218">
        <f t="shared" si="18"/>
        <v>10160314.325240951</v>
      </c>
    </row>
    <row r="143" spans="1:17">
      <c r="A143" s="222">
        <v>14</v>
      </c>
      <c r="B143" s="191" t="s">
        <v>122</v>
      </c>
      <c r="C143" s="191">
        <v>2022</v>
      </c>
      <c r="D143" s="208">
        <f>Population!G15</f>
        <v>347078.83713259641</v>
      </c>
      <c r="E143" s="209" t="str">
        <f t="shared" si="19"/>
        <v>Medium</v>
      </c>
      <c r="F143" s="208"/>
      <c r="G143" s="210">
        <f>Variables!$C$3*POWER(SUM(1,Variables!$C$2/100),C143-2017)</f>
        <v>9190.6330384177963</v>
      </c>
      <c r="H143" s="210">
        <f t="shared" si="14"/>
        <v>286.24333671364138</v>
      </c>
      <c r="I143" s="211">
        <f>VLOOKUP(B143,'Waste per capita'!$B$2:$F$48,4,FALSE)*(H143/Variables!$C$6)</f>
        <v>105.02174977667245</v>
      </c>
      <c r="J143" s="210">
        <f t="shared" si="15"/>
        <v>36450.826786117992</v>
      </c>
      <c r="K143" s="212">
        <f>Variables!$C$13</f>
        <v>1</v>
      </c>
      <c r="L143" s="213">
        <f t="shared" si="16"/>
        <v>36450.826786117992</v>
      </c>
      <c r="N143" s="215">
        <f>IF(D143&gt;1500000,Budgeting!$B$13,(IF(D143&gt;500000,Budgeting!$C$13,Budgeting!$D$13)))</f>
        <v>26.27408568212417</v>
      </c>
      <c r="O143" s="216">
        <f t="shared" si="17"/>
        <v>957712.14616273087</v>
      </c>
      <c r="P143" s="217">
        <f>IF(D143&gt;1500000,Budgeting!$B$15,(IF(D143&gt;500000,Budgeting!$C$15,Budgeting!$D$15)))</f>
        <v>7.6279603593263765</v>
      </c>
      <c r="Q143" s="218">
        <f t="shared" si="18"/>
        <v>278045.46178918012</v>
      </c>
    </row>
    <row r="144" spans="1:17">
      <c r="A144" s="222">
        <v>15</v>
      </c>
      <c r="B144" s="191" t="s">
        <v>123</v>
      </c>
      <c r="C144" s="191">
        <v>2022</v>
      </c>
      <c r="D144" s="208">
        <f>Population!G16</f>
        <v>76973.937888474858</v>
      </c>
      <c r="E144" s="209" t="str">
        <f t="shared" si="19"/>
        <v>Small</v>
      </c>
      <c r="F144" s="208"/>
      <c r="G144" s="210">
        <f>Variables!$C$3*POWER(SUM(1,Variables!$C$2/100),C144-2017)</f>
        <v>9190.6330384177963</v>
      </c>
      <c r="H144" s="210">
        <f t="shared" si="14"/>
        <v>286.24333671364138</v>
      </c>
      <c r="I144" s="211">
        <f>VLOOKUP(B144,'Waste per capita'!$B$2:$F$48,4,FALSE)*(H144/Variables!$C$6)</f>
        <v>187.78082448547886</v>
      </c>
      <c r="J144" s="210">
        <f t="shared" si="15"/>
        <v>14454.229520591849</v>
      </c>
      <c r="K144" s="212">
        <f>Variables!$C$13</f>
        <v>1</v>
      </c>
      <c r="L144" s="213">
        <f t="shared" si="16"/>
        <v>14454.229520591849</v>
      </c>
      <c r="N144" s="215">
        <f>IF(D144&gt;1500000,Budgeting!$B$13,(IF(D144&gt;500000,Budgeting!$C$13,Budgeting!$D$13)))</f>
        <v>26.27408568212417</v>
      </c>
      <c r="O144" s="216">
        <f t="shared" si="17"/>
        <v>379771.66489311878</v>
      </c>
      <c r="P144" s="217">
        <f>IF(D144&gt;1500000,Budgeting!$B$15,(IF(D144&gt;500000,Budgeting!$C$15,Budgeting!$D$15)))</f>
        <v>7.6279603593263765</v>
      </c>
      <c r="Q144" s="218">
        <f t="shared" si="18"/>
        <v>110256.28980767971</v>
      </c>
    </row>
    <row r="145" spans="1:17">
      <c r="A145" s="222">
        <v>16</v>
      </c>
      <c r="B145" s="191" t="s">
        <v>124</v>
      </c>
      <c r="C145" s="191">
        <v>2022</v>
      </c>
      <c r="D145" s="208">
        <f>Population!G17</f>
        <v>3941421.4415896828</v>
      </c>
      <c r="E145" s="209" t="str">
        <f t="shared" si="19"/>
        <v>Large</v>
      </c>
      <c r="F145" s="208"/>
      <c r="G145" s="210">
        <f>Variables!$C$3*POWER(SUM(1,Variables!$C$2/100),C145-2017)</f>
        <v>9190.6330384177963</v>
      </c>
      <c r="H145" s="210">
        <f t="shared" si="14"/>
        <v>286.24333671364138</v>
      </c>
      <c r="I145" s="211">
        <f>VLOOKUP(B145,'Waste per capita'!$B$2:$F$48,4,FALSE)*(H145/Variables!$C$6)</f>
        <v>215.36718272174767</v>
      </c>
      <c r="J145" s="210">
        <f t="shared" si="15"/>
        <v>848852.83179425925</v>
      </c>
      <c r="K145" s="212">
        <f>Variables!$C$13</f>
        <v>1</v>
      </c>
      <c r="L145" s="213">
        <f t="shared" si="16"/>
        <v>848852.83179425925</v>
      </c>
      <c r="N145" s="215">
        <f>IF(D145&gt;1500000,Budgeting!$B$13,(IF(D145&gt;500000,Budgeting!$C$13,Budgeting!$D$13)))</f>
        <v>25.956254000485576</v>
      </c>
      <c r="O145" s="216">
        <f t="shared" si="17"/>
        <v>22033039.711083252</v>
      </c>
      <c r="P145" s="217">
        <f>IF(D145&gt;1500000,Budgeting!$B$15,(IF(D145&gt;500000,Budgeting!$C$15,Budgeting!$D$15)))</f>
        <v>3.7080362857836535</v>
      </c>
      <c r="Q145" s="218">
        <f t="shared" si="18"/>
        <v>3147577.1015833216</v>
      </c>
    </row>
    <row r="146" spans="1:17">
      <c r="A146" s="222">
        <v>17</v>
      </c>
      <c r="B146" s="191" t="s">
        <v>125</v>
      </c>
      <c r="C146" s="191">
        <v>2022</v>
      </c>
      <c r="D146" s="208">
        <f>Population!G18</f>
        <v>14504.586379724376</v>
      </c>
      <c r="E146" s="209" t="str">
        <f t="shared" si="19"/>
        <v>Small</v>
      </c>
      <c r="F146" s="208"/>
      <c r="G146" s="210">
        <f>Variables!$C$3*POWER(SUM(1,Variables!$C$2/100),C146-2017)</f>
        <v>9190.6330384177963</v>
      </c>
      <c r="H146" s="210">
        <f t="shared" si="14"/>
        <v>286.24333671364138</v>
      </c>
      <c r="I146" s="211">
        <f>VLOOKUP(B146,'Waste per capita'!$B$2:$F$48,4,FALSE)*(H146/Variables!$C$6)</f>
        <v>165.74356066011057</v>
      </c>
      <c r="J146" s="210">
        <f t="shared" si="15"/>
        <v>2404.0417924776607</v>
      </c>
      <c r="K146" s="212">
        <f>Variables!$C$13</f>
        <v>1</v>
      </c>
      <c r="L146" s="213">
        <f t="shared" si="16"/>
        <v>2404.0417924776607</v>
      </c>
      <c r="N146" s="215">
        <f>IF(D146&gt;1500000,Budgeting!$B$13,(IF(D146&gt;500000,Budgeting!$C$13,Budgeting!$D$13)))</f>
        <v>26.27408568212417</v>
      </c>
      <c r="O146" s="216">
        <f t="shared" si="17"/>
        <v>63164.000038965431</v>
      </c>
      <c r="P146" s="217">
        <f>IF(D146&gt;1500000,Budgeting!$B$15,(IF(D146&gt;500000,Budgeting!$C$15,Budgeting!$D$15)))</f>
        <v>7.6279603593263765</v>
      </c>
      <c r="Q146" s="218">
        <f t="shared" si="18"/>
        <v>18337.935495183523</v>
      </c>
    </row>
    <row r="147" spans="1:17">
      <c r="A147" s="222">
        <v>18</v>
      </c>
      <c r="B147" s="191" t="s">
        <v>126</v>
      </c>
      <c r="C147" s="191">
        <v>2022</v>
      </c>
      <c r="D147" s="208">
        <f>Population!G19</f>
        <v>128146.27390379326</v>
      </c>
      <c r="E147" s="209" t="str">
        <f t="shared" si="19"/>
        <v>Medium</v>
      </c>
      <c r="F147" s="208"/>
      <c r="G147" s="210">
        <f>Variables!$C$3*POWER(SUM(1,Variables!$C$2/100),C147-2017)</f>
        <v>9190.6330384177963</v>
      </c>
      <c r="H147" s="210">
        <f t="shared" si="14"/>
        <v>286.24333671364138</v>
      </c>
      <c r="I147" s="211">
        <f>VLOOKUP(B147,'Waste per capita'!$B$2:$F$48,4,FALSE)*(H147/Variables!$C$6)</f>
        <v>93.89041224273943</v>
      </c>
      <c r="J147" s="210">
        <f t="shared" si="15"/>
        <v>12031.706484198152</v>
      </c>
      <c r="K147" s="212">
        <f>Variables!$C$13</f>
        <v>1</v>
      </c>
      <c r="L147" s="213">
        <f t="shared" si="16"/>
        <v>12031.706484198152</v>
      </c>
      <c r="N147" s="215">
        <f>IF(D147&gt;1500000,Budgeting!$B$13,(IF(D147&gt;500000,Budgeting!$C$13,Budgeting!$D$13)))</f>
        <v>26.27408568212417</v>
      </c>
      <c r="O147" s="216">
        <f t="shared" si="17"/>
        <v>316122.0870679912</v>
      </c>
      <c r="P147" s="217">
        <f>IF(D147&gt;1500000,Budgeting!$B$15,(IF(D147&gt;500000,Budgeting!$C$15,Budgeting!$D$15)))</f>
        <v>7.6279603593263765</v>
      </c>
      <c r="Q147" s="218">
        <f t="shared" si="18"/>
        <v>91777.380116513625</v>
      </c>
    </row>
    <row r="148" spans="1:17">
      <c r="A148" s="222">
        <v>19</v>
      </c>
      <c r="B148" s="191" t="s">
        <v>127</v>
      </c>
      <c r="C148" s="191">
        <v>2022</v>
      </c>
      <c r="D148" s="208">
        <f>Population!G20</f>
        <v>5818259.2815511441</v>
      </c>
      <c r="E148" s="209" t="str">
        <f t="shared" si="19"/>
        <v>Large</v>
      </c>
      <c r="F148" s="208"/>
      <c r="G148" s="210">
        <f>Variables!$C$3*POWER(SUM(1,Variables!$C$2/100),C148-2017)</f>
        <v>9190.6330384177963</v>
      </c>
      <c r="H148" s="210">
        <f t="shared" si="14"/>
        <v>286.24333671364138</v>
      </c>
      <c r="I148" s="211">
        <f>VLOOKUP(B148,'Waste per capita'!$B$2:$F$48,4,FALSE)*(H148/Variables!$C$6)</f>
        <v>320.38893249842016</v>
      </c>
      <c r="J148" s="210">
        <f t="shared" si="15"/>
        <v>1864105.8802151962</v>
      </c>
      <c r="K148" s="212">
        <f>Variables!$C$13</f>
        <v>1</v>
      </c>
      <c r="L148" s="213">
        <f t="shared" si="16"/>
        <v>1864105.8802151962</v>
      </c>
      <c r="N148" s="215">
        <f>IF(D148&gt;1500000,Budgeting!$B$13,(IF(D148&gt;500000,Budgeting!$C$13,Budgeting!$D$13)))</f>
        <v>25.956254000485576</v>
      </c>
      <c r="O148" s="216">
        <f t="shared" si="17"/>
        <v>48385205.710664369</v>
      </c>
      <c r="P148" s="217">
        <f>IF(D148&gt;1500000,Budgeting!$B$15,(IF(D148&gt;500000,Budgeting!$C$15,Budgeting!$D$15)))</f>
        <v>3.7080362857836535</v>
      </c>
      <c r="Q148" s="218">
        <f t="shared" si="18"/>
        <v>6912172.244380624</v>
      </c>
    </row>
    <row r="149" spans="1:17">
      <c r="A149" s="222">
        <v>20</v>
      </c>
      <c r="B149" s="191" t="s">
        <v>128</v>
      </c>
      <c r="C149" s="191">
        <v>2022</v>
      </c>
      <c r="D149" s="208">
        <f>Population!G21</f>
        <v>3645043.9619316179</v>
      </c>
      <c r="E149" s="209" t="str">
        <f t="shared" si="19"/>
        <v>Large</v>
      </c>
      <c r="F149" s="208"/>
      <c r="G149" s="210">
        <f>Variables!$C$3*POWER(SUM(1,Variables!$C$2/100),C149-2017)</f>
        <v>9190.6330384177963</v>
      </c>
      <c r="H149" s="210">
        <f t="shared" si="14"/>
        <v>286.24333671364138</v>
      </c>
      <c r="I149" s="211">
        <f>VLOOKUP(B149,'Waste per capita'!$B$2:$F$48,4,FALSE)*(H149/Variables!$C$6)</f>
        <v>121.47677047900822</v>
      </c>
      <c r="J149" s="210">
        <f t="shared" si="15"/>
        <v>442788.16874946194</v>
      </c>
      <c r="K149" s="212">
        <f>Variables!$C$13</f>
        <v>1</v>
      </c>
      <c r="L149" s="213">
        <f t="shared" si="16"/>
        <v>442788.16874946194</v>
      </c>
      <c r="N149" s="215">
        <f>IF(D149&gt;1500000,Budgeting!$B$13,(IF(D149&gt;500000,Budgeting!$C$13,Budgeting!$D$13)))</f>
        <v>25.956254000485576</v>
      </c>
      <c r="O149" s="216">
        <f t="shared" si="17"/>
        <v>11493122.176470904</v>
      </c>
      <c r="P149" s="217">
        <f>IF(D149&gt;1500000,Budgeting!$B$15,(IF(D149&gt;500000,Budgeting!$C$15,Budgeting!$D$15)))</f>
        <v>3.7080362857836535</v>
      </c>
      <c r="Q149" s="218">
        <f t="shared" si="18"/>
        <v>1641874.5966387005</v>
      </c>
    </row>
    <row r="150" spans="1:17">
      <c r="A150" s="222">
        <v>21</v>
      </c>
      <c r="B150" s="222" t="s">
        <v>129</v>
      </c>
      <c r="C150" s="191">
        <v>2022</v>
      </c>
      <c r="D150" s="208">
        <f>Population!G22</f>
        <v>16099150.218309574</v>
      </c>
      <c r="E150" s="209" t="str">
        <f t="shared" si="19"/>
        <v>Large</v>
      </c>
      <c r="F150" s="208"/>
      <c r="G150" s="210">
        <f>Variables!$C$3*POWER(SUM(1,Variables!$C$2/100),C150-2017)</f>
        <v>9190.6330384177963</v>
      </c>
      <c r="H150" s="210">
        <f t="shared" si="14"/>
        <v>286.24333671364138</v>
      </c>
      <c r="I150" s="211">
        <f>VLOOKUP(B150,'Waste per capita'!$B$2:$F$48,4,FALSE)*(H150/Variables!$C$6)</f>
        <v>248.76119532354676</v>
      </c>
      <c r="J150" s="210">
        <f t="shared" si="15"/>
        <v>4004843.8520000284</v>
      </c>
      <c r="K150" s="212">
        <f>Variables!$C$13</f>
        <v>1</v>
      </c>
      <c r="L150" s="213">
        <f t="shared" si="16"/>
        <v>4004843.8520000284</v>
      </c>
      <c r="N150" s="215">
        <f>IF(D150&gt;1500000,Budgeting!$B$13,(IF(D150&gt;500000,Budgeting!$C$13,Budgeting!$D$13)))</f>
        <v>25.956254000485576</v>
      </c>
      <c r="O150" s="216">
        <f t="shared" si="17"/>
        <v>103950744.2547958</v>
      </c>
      <c r="P150" s="217">
        <f>IF(D150&gt;1500000,Budgeting!$B$15,(IF(D150&gt;500000,Budgeting!$C$15,Budgeting!$D$15)))</f>
        <v>3.7080362857836535</v>
      </c>
      <c r="Q150" s="218">
        <f t="shared" si="18"/>
        <v>14850106.322113685</v>
      </c>
    </row>
    <row r="151" spans="1:17">
      <c r="A151" s="222">
        <v>22</v>
      </c>
      <c r="B151" s="191" t="s">
        <v>130</v>
      </c>
      <c r="C151" s="191">
        <v>2022</v>
      </c>
      <c r="D151" s="208">
        <f>Population!G23</f>
        <v>14277578.604756424</v>
      </c>
      <c r="E151" s="209" t="str">
        <f t="shared" si="19"/>
        <v>Large</v>
      </c>
      <c r="F151" s="208"/>
      <c r="G151" s="210">
        <f>Variables!$C$3*POWER(SUM(1,Variables!$C$2/100),C151-2017)</f>
        <v>9190.6330384177963</v>
      </c>
      <c r="H151" s="210">
        <f t="shared" si="14"/>
        <v>286.24333671364138</v>
      </c>
      <c r="I151" s="211">
        <f>VLOOKUP(B151,'Waste per capita'!$B$2:$F$48,4,FALSE)*(H151/Variables!$C$6)</f>
        <v>314.58127813288985</v>
      </c>
      <c r="J151" s="210">
        <f t="shared" si="15"/>
        <v>4491458.926127078</v>
      </c>
      <c r="K151" s="212">
        <f>Variables!$C$13</f>
        <v>1</v>
      </c>
      <c r="L151" s="213">
        <f t="shared" si="16"/>
        <v>4491458.926127078</v>
      </c>
      <c r="N151" s="215">
        <f>IF(D151&gt;1500000,Budgeting!$B$13,(IF(D151&gt;500000,Budgeting!$C$13,Budgeting!$D$13)))</f>
        <v>25.956254000485576</v>
      </c>
      <c r="O151" s="216">
        <f t="shared" si="17"/>
        <v>116581448.71930261</v>
      </c>
      <c r="P151" s="217">
        <f>IF(D151&gt;1500000,Budgeting!$B$15,(IF(D151&gt;500000,Budgeting!$C$15,Budgeting!$D$15)))</f>
        <v>3.7080362857836535</v>
      </c>
      <c r="Q151" s="218">
        <f t="shared" si="18"/>
        <v>16654492.674186088</v>
      </c>
    </row>
    <row r="152" spans="1:17">
      <c r="A152" s="222">
        <v>23</v>
      </c>
      <c r="B152" s="191" t="s">
        <v>131</v>
      </c>
      <c r="C152" s="191">
        <v>2022</v>
      </c>
      <c r="D152" s="208">
        <f>Population!G24</f>
        <v>51777.879853472827</v>
      </c>
      <c r="E152" s="209" t="str">
        <f t="shared" si="19"/>
        <v>Small</v>
      </c>
      <c r="F152" s="208"/>
      <c r="G152" s="210">
        <f>Variables!$C$3*POWER(SUM(1,Variables!$C$2/100),C152-2017)</f>
        <v>9190.6330384177963</v>
      </c>
      <c r="H152" s="210">
        <f t="shared" si="14"/>
        <v>286.24333671364138</v>
      </c>
      <c r="I152" s="211">
        <f>VLOOKUP(B152,'Waste per capita'!$B$2:$F$48,4,FALSE)*(H152/Variables!$C$6)</f>
        <v>298.12625743055406</v>
      </c>
      <c r="J152" s="210">
        <f t="shared" si="15"/>
        <v>15436.345538404739</v>
      </c>
      <c r="K152" s="212">
        <f>Variables!$C$13</f>
        <v>1</v>
      </c>
      <c r="L152" s="213">
        <f t="shared" si="16"/>
        <v>15436.345538404739</v>
      </c>
      <c r="N152" s="215">
        <f>IF(D152&gt;1500000,Budgeting!$B$13,(IF(D152&gt;500000,Budgeting!$C$13,Budgeting!$D$13)))</f>
        <v>26.27408568212417</v>
      </c>
      <c r="O152" s="216">
        <f t="shared" si="17"/>
        <v>405575.86529492127</v>
      </c>
      <c r="P152" s="217">
        <f>IF(D152&gt;1500000,Budgeting!$B$15,(IF(D152&gt;500000,Budgeting!$C$15,Budgeting!$D$15)))</f>
        <v>7.6279603593263765</v>
      </c>
      <c r="Q152" s="218">
        <f t="shared" si="18"/>
        <v>117747.83185981592</v>
      </c>
    </row>
    <row r="153" spans="1:17">
      <c r="A153" s="222">
        <v>24</v>
      </c>
      <c r="B153" s="191" t="s">
        <v>132</v>
      </c>
      <c r="C153" s="191">
        <v>2022</v>
      </c>
      <c r="D153" s="208">
        <f>Population!G25</f>
        <v>2179209.9448378365</v>
      </c>
      <c r="E153" s="209" t="str">
        <f t="shared" si="19"/>
        <v>Large</v>
      </c>
      <c r="F153" s="208"/>
      <c r="G153" s="210">
        <f>Variables!$C$3*POWER(SUM(1,Variables!$C$2/100),C153-2017)</f>
        <v>9190.6330384177963</v>
      </c>
      <c r="H153" s="210">
        <f t="shared" si="14"/>
        <v>286.24333671364138</v>
      </c>
      <c r="I153" s="211">
        <f>VLOOKUP(B153,'Waste per capita'!$B$2:$F$48,4,FALSE)*(H153/Variables!$C$6)</f>
        <v>204.23584518781465</v>
      </c>
      <c r="J153" s="210">
        <f t="shared" si="15"/>
        <v>445072.7849256465</v>
      </c>
      <c r="K153" s="212">
        <f>Variables!$C$13</f>
        <v>1</v>
      </c>
      <c r="L153" s="213">
        <f t="shared" si="16"/>
        <v>445072.7849256465</v>
      </c>
      <c r="N153" s="215">
        <f>IF(D153&gt;1500000,Budgeting!$B$13,(IF(D153&gt;500000,Budgeting!$C$13,Budgeting!$D$13)))</f>
        <v>25.956254000485576</v>
      </c>
      <c r="O153" s="216">
        <f t="shared" si="17"/>
        <v>11552422.254233569</v>
      </c>
      <c r="P153" s="217">
        <f>IF(D153&gt;1500000,Budgeting!$B$15,(IF(D153&gt;500000,Budgeting!$C$15,Budgeting!$D$15)))</f>
        <v>3.7080362857836535</v>
      </c>
      <c r="Q153" s="218">
        <f t="shared" si="18"/>
        <v>1650346.0363190812</v>
      </c>
    </row>
    <row r="154" spans="1:17">
      <c r="A154" s="222">
        <v>25</v>
      </c>
      <c r="B154" s="191" t="s">
        <v>133</v>
      </c>
      <c r="C154" s="191">
        <v>2022</v>
      </c>
      <c r="D154" s="208">
        <f>Population!G26</f>
        <v>312829.38115834986</v>
      </c>
      <c r="E154" s="209" t="str">
        <f t="shared" si="19"/>
        <v>Medium</v>
      </c>
      <c r="F154" s="208"/>
      <c r="G154" s="210">
        <f>Variables!$C$3*POWER(SUM(1,Variables!$C$2/100),C154-2017)</f>
        <v>9190.6330384177963</v>
      </c>
      <c r="H154" s="210">
        <f t="shared" si="14"/>
        <v>286.24333671364138</v>
      </c>
      <c r="I154" s="211">
        <f>VLOOKUP(B154,'Waste per capita'!$B$2:$F$48,4,FALSE)*(H154/Variables!$C$6)</f>
        <v>325.7126156668229</v>
      </c>
      <c r="J154" s="210">
        <f t="shared" si="15"/>
        <v>101892.47599451966</v>
      </c>
      <c r="K154" s="212">
        <f>Variables!$C$13</f>
        <v>1</v>
      </c>
      <c r="L154" s="213">
        <f t="shared" si="16"/>
        <v>101892.47599451966</v>
      </c>
      <c r="N154" s="215">
        <f>IF(D154&gt;1500000,Budgeting!$B$13,(IF(D154&gt;500000,Budgeting!$C$13,Budgeting!$D$13)))</f>
        <v>26.27408568212417</v>
      </c>
      <c r="O154" s="216">
        <f t="shared" si="17"/>
        <v>2677131.6446437896</v>
      </c>
      <c r="P154" s="217">
        <f>IF(D154&gt;1500000,Budgeting!$B$15,(IF(D154&gt;500000,Budgeting!$C$15,Budgeting!$D$15)))</f>
        <v>7.6279603593263765</v>
      </c>
      <c r="Q154" s="218">
        <f t="shared" si="18"/>
        <v>777231.76779981039</v>
      </c>
    </row>
    <row r="155" spans="1:17">
      <c r="A155" s="222">
        <v>26</v>
      </c>
      <c r="B155" s="191" t="s">
        <v>134</v>
      </c>
      <c r="C155" s="191">
        <v>2022</v>
      </c>
      <c r="D155" s="208">
        <f>Population!G27</f>
        <v>129630.37386610762</v>
      </c>
      <c r="E155" s="209" t="str">
        <f t="shared" si="19"/>
        <v>Medium</v>
      </c>
      <c r="F155" s="208"/>
      <c r="G155" s="210">
        <f>Variables!$C$3*POWER(SUM(1,Variables!$C$2/100),C155-2017)</f>
        <v>9190.6330384177963</v>
      </c>
      <c r="H155" s="210">
        <f t="shared" si="14"/>
        <v>286.24333671364138</v>
      </c>
      <c r="I155" s="211">
        <f>VLOOKUP(B155,'Waste per capita'!$B$2:$F$48,4,FALSE)*(H155/Variables!$C$6)</f>
        <v>419.60302790956229</v>
      </c>
      <c r="J155" s="210">
        <f t="shared" si="15"/>
        <v>54393.297383267352</v>
      </c>
      <c r="K155" s="212">
        <f>Variables!$C$13</f>
        <v>1</v>
      </c>
      <c r="L155" s="213">
        <f t="shared" si="16"/>
        <v>54393.297383267352</v>
      </c>
      <c r="N155" s="215">
        <f>IF(D155&gt;1500000,Budgeting!$B$13,(IF(D155&gt;500000,Budgeting!$C$13,Budgeting!$D$13)))</f>
        <v>26.27408568212417</v>
      </c>
      <c r="O155" s="216">
        <f t="shared" si="17"/>
        <v>1429134.1559812268</v>
      </c>
      <c r="P155" s="217">
        <f>IF(D155&gt;1500000,Budgeting!$B$15,(IF(D155&gt;500000,Budgeting!$C$15,Budgeting!$D$15)))</f>
        <v>7.6279603593263765</v>
      </c>
      <c r="Q155" s="218">
        <f t="shared" si="18"/>
        <v>414909.91625261446</v>
      </c>
    </row>
    <row r="156" spans="1:17">
      <c r="A156" s="222">
        <v>27</v>
      </c>
      <c r="B156" s="191" t="s">
        <v>135</v>
      </c>
      <c r="C156" s="191">
        <v>2022</v>
      </c>
      <c r="D156" s="208">
        <f>Population!G28</f>
        <v>1307396.3184142767</v>
      </c>
      <c r="E156" s="209" t="str">
        <f t="shared" si="19"/>
        <v>Large</v>
      </c>
      <c r="F156" s="208"/>
      <c r="G156" s="210">
        <f>Variables!$C$3*POWER(SUM(1,Variables!$C$2/100),C156-2017)</f>
        <v>9190.6330384177963</v>
      </c>
      <c r="H156" s="210">
        <f t="shared" si="14"/>
        <v>286.24333671364138</v>
      </c>
      <c r="I156" s="211">
        <f>VLOOKUP(B156,'Waste per capita'!$B$2:$F$48,4,FALSE)*(H156/Variables!$C$6)</f>
        <v>165.51814941761282</v>
      </c>
      <c r="J156" s="210">
        <f t="shared" si="15"/>
        <v>216397.81917933116</v>
      </c>
      <c r="K156" s="212">
        <f>Variables!$C$13</f>
        <v>1</v>
      </c>
      <c r="L156" s="213">
        <f t="shared" si="16"/>
        <v>216397.81917933116</v>
      </c>
      <c r="N156" s="215">
        <f>IF(D156&gt;1500000,Budgeting!$B$13,(IF(D156&gt;500000,Budgeting!$C$13,Budgeting!$D$13)))</f>
        <v>26.132827156951464</v>
      </c>
      <c r="O156" s="216">
        <f t="shared" si="17"/>
        <v>5655086.8057546979</v>
      </c>
      <c r="P156" s="217">
        <f>IF(D156&gt;1500000,Budgeting!$B$15,(IF(D156&gt;500000,Budgeting!$C$15,Budgeting!$D$15)))</f>
        <v>2.1188778775906578</v>
      </c>
      <c r="Q156" s="218">
        <f t="shared" si="18"/>
        <v>458520.55181794817</v>
      </c>
    </row>
    <row r="157" spans="1:17">
      <c r="A157" s="222">
        <v>28</v>
      </c>
      <c r="B157" s="191" t="s">
        <v>136</v>
      </c>
      <c r="C157" s="191">
        <v>2022</v>
      </c>
      <c r="D157" s="208">
        <f>Population!G29</f>
        <v>1388904.0717063691</v>
      </c>
      <c r="E157" s="209" t="str">
        <f t="shared" si="19"/>
        <v>Large</v>
      </c>
      <c r="F157" s="208"/>
      <c r="G157" s="210">
        <f>Variables!$C$3*POWER(SUM(1,Variables!$C$2/100),C157-2017)</f>
        <v>9190.6330384177963</v>
      </c>
      <c r="H157" s="210">
        <f t="shared" si="14"/>
        <v>286.24333671364138</v>
      </c>
      <c r="I157" s="211">
        <f>VLOOKUP(B157,'Waste per capita'!$B$2:$F$48,4,FALSE)*(H157/Variables!$C$6)</f>
        <v>137.93179118134401</v>
      </c>
      <c r="J157" s="210">
        <f t="shared" si="15"/>
        <v>191574.02638952134</v>
      </c>
      <c r="K157" s="212">
        <f>Variables!$C$13</f>
        <v>1</v>
      </c>
      <c r="L157" s="213">
        <f t="shared" si="16"/>
        <v>191574.02638952134</v>
      </c>
      <c r="N157" s="215">
        <f>IF(D157&gt;1500000,Budgeting!$B$13,(IF(D157&gt;500000,Budgeting!$C$13,Budgeting!$D$13)))</f>
        <v>26.132827156951464</v>
      </c>
      <c r="O157" s="216">
        <f t="shared" si="17"/>
        <v>5006370.9193986198</v>
      </c>
      <c r="P157" s="217">
        <f>IF(D157&gt;1500000,Budgeting!$B$15,(IF(D157&gt;500000,Budgeting!$C$15,Budgeting!$D$15)))</f>
        <v>2.1188778775906578</v>
      </c>
      <c r="Q157" s="218">
        <f t="shared" si="18"/>
        <v>405921.96643772564</v>
      </c>
    </row>
    <row r="158" spans="1:17">
      <c r="A158" s="222">
        <v>29</v>
      </c>
      <c r="B158" s="191" t="s">
        <v>137</v>
      </c>
      <c r="C158" s="191">
        <v>2022</v>
      </c>
      <c r="D158" s="208">
        <f>Population!G30</f>
        <v>185323.58631414297</v>
      </c>
      <c r="E158" s="209" t="str">
        <f t="shared" si="19"/>
        <v>Medium</v>
      </c>
      <c r="F158" s="208"/>
      <c r="G158" s="210">
        <f>Variables!$C$3*POWER(SUM(1,Variables!$C$2/100),C158-2017)</f>
        <v>9190.6330384177963</v>
      </c>
      <c r="H158" s="210">
        <f t="shared" si="14"/>
        <v>286.24333671364138</v>
      </c>
      <c r="I158" s="211">
        <f>VLOOKUP(B158,'Waste per capita'!$B$2:$F$48,4,FALSE)*(H158/Variables!$C$6)</f>
        <v>187.78082448547886</v>
      </c>
      <c r="J158" s="210">
        <f t="shared" si="15"/>
        <v>34800.215834675575</v>
      </c>
      <c r="K158" s="212">
        <f>Variables!$C$13</f>
        <v>1</v>
      </c>
      <c r="L158" s="213">
        <f t="shared" si="16"/>
        <v>34800.215834675575</v>
      </c>
      <c r="N158" s="215">
        <f>IF(D158&gt;1500000,Budgeting!$B$13,(IF(D158&gt;500000,Budgeting!$C$13,Budgeting!$D$13)))</f>
        <v>26.27408568212417</v>
      </c>
      <c r="O158" s="216">
        <f t="shared" si="17"/>
        <v>914343.8525966804</v>
      </c>
      <c r="P158" s="217">
        <f>IF(D158&gt;1500000,Budgeting!$B$15,(IF(D158&gt;500000,Budgeting!$C$15,Budgeting!$D$15)))</f>
        <v>7.6279603593263765</v>
      </c>
      <c r="Q158" s="218">
        <f t="shared" si="18"/>
        <v>265454.66688290733</v>
      </c>
    </row>
    <row r="159" spans="1:17">
      <c r="A159" s="222">
        <v>30</v>
      </c>
      <c r="B159" s="191" t="s">
        <v>138</v>
      </c>
      <c r="C159" s="191">
        <v>2022</v>
      </c>
      <c r="D159" s="208">
        <f>Population!G31</f>
        <v>127144.79755607634</v>
      </c>
      <c r="E159" s="209" t="str">
        <f t="shared" si="19"/>
        <v>Medium</v>
      </c>
      <c r="F159" s="208"/>
      <c r="G159" s="210">
        <f>Variables!$C$3*POWER(SUM(1,Variables!$C$2/100),C159-2017)</f>
        <v>9190.6330384177963</v>
      </c>
      <c r="H159" s="210">
        <f t="shared" si="14"/>
        <v>286.24333671364138</v>
      </c>
      <c r="I159" s="211">
        <f>VLOOKUP(B159,'Waste per capita'!$B$2:$F$48,4,FALSE)*(H159/Variables!$C$6)</f>
        <v>176.64948695154584</v>
      </c>
      <c r="J159" s="210">
        <f t="shared" si="15"/>
        <v>22460.063256839043</v>
      </c>
      <c r="K159" s="212">
        <f>Variables!$C$13</f>
        <v>1</v>
      </c>
      <c r="L159" s="213">
        <f t="shared" si="16"/>
        <v>22460.063256839043</v>
      </c>
      <c r="N159" s="215">
        <f>IF(D159&gt;1500000,Budgeting!$B$13,(IF(D159&gt;500000,Budgeting!$C$13,Budgeting!$D$13)))</f>
        <v>26.27408568212417</v>
      </c>
      <c r="O159" s="216">
        <f t="shared" si="17"/>
        <v>590117.6264361178</v>
      </c>
      <c r="P159" s="217">
        <f>IF(D159&gt;1500000,Budgeting!$B$15,(IF(D159&gt;500000,Budgeting!$C$15,Budgeting!$D$15)))</f>
        <v>7.6279603593263765</v>
      </c>
      <c r="Q159" s="218">
        <f t="shared" si="18"/>
        <v>171324.47219113109</v>
      </c>
    </row>
    <row r="160" spans="1:17">
      <c r="A160" s="222">
        <v>31</v>
      </c>
      <c r="B160" s="191" t="s">
        <v>139</v>
      </c>
      <c r="C160" s="191">
        <v>2022</v>
      </c>
      <c r="D160" s="208">
        <f>Population!G32</f>
        <v>219416.48074049066</v>
      </c>
      <c r="E160" s="209" t="str">
        <f t="shared" si="19"/>
        <v>Medium</v>
      </c>
      <c r="F160" s="208"/>
      <c r="G160" s="210">
        <f>Variables!$C$3*POWER(SUM(1,Variables!$C$2/100),C160-2017)</f>
        <v>9190.6330384177963</v>
      </c>
      <c r="H160" s="210">
        <f t="shared" si="14"/>
        <v>286.24333671364138</v>
      </c>
      <c r="I160" s="211">
        <f>VLOOKUP(B160,'Waste per capita'!$B$2:$F$48,4,FALSE)*(H160/Variables!$C$6)</f>
        <v>196.42777654082394</v>
      </c>
      <c r="J160" s="210">
        <f t="shared" si="15"/>
        <v>43099.491448267101</v>
      </c>
      <c r="K160" s="212">
        <f>Variables!$C$13</f>
        <v>1</v>
      </c>
      <c r="L160" s="213">
        <f t="shared" si="16"/>
        <v>43099.491448267101</v>
      </c>
      <c r="N160" s="215">
        <f>IF(D160&gt;1500000,Budgeting!$B$13,(IF(D160&gt;500000,Budgeting!$C$13,Budgeting!$D$13)))</f>
        <v>26.27408568212417</v>
      </c>
      <c r="O160" s="216">
        <f t="shared" si="17"/>
        <v>1132399.7311677476</v>
      </c>
      <c r="P160" s="217">
        <f>IF(D160&gt;1500000,Budgeting!$B$15,(IF(D160&gt;500000,Budgeting!$C$15,Budgeting!$D$15)))</f>
        <v>7.6279603593263765</v>
      </c>
      <c r="Q160" s="218">
        <f t="shared" si="18"/>
        <v>328761.21227450762</v>
      </c>
    </row>
    <row r="161" spans="1:17">
      <c r="A161" s="222">
        <v>32</v>
      </c>
      <c r="B161" s="191" t="s">
        <v>140</v>
      </c>
      <c r="C161" s="191">
        <v>2022</v>
      </c>
      <c r="D161" s="208">
        <f>Population!G33</f>
        <v>1527536.0876281185</v>
      </c>
      <c r="E161" s="209" t="str">
        <f t="shared" si="19"/>
        <v>Large</v>
      </c>
      <c r="F161" s="208"/>
      <c r="G161" s="210">
        <f>Variables!$C$3*POWER(SUM(1,Variables!$C$2/100),C161-2017)</f>
        <v>9190.6330384177963</v>
      </c>
      <c r="H161" s="210">
        <f t="shared" si="14"/>
        <v>286.24333671364138</v>
      </c>
      <c r="I161" s="211">
        <f>VLOOKUP(B161,'Waste per capita'!$B$2:$F$48,4,FALSE)*(H161/Variables!$C$6)</f>
        <v>265.21621602588255</v>
      </c>
      <c r="J161" s="210">
        <f t="shared" si="15"/>
        <v>405127.34100371052</v>
      </c>
      <c r="K161" s="212">
        <f>Variables!$C$13</f>
        <v>1</v>
      </c>
      <c r="L161" s="213">
        <f t="shared" si="16"/>
        <v>405127.34100371052</v>
      </c>
      <c r="N161" s="215">
        <f>IF(D161&gt;1500000,Budgeting!$B$13,(IF(D161&gt;500000,Budgeting!$C$13,Budgeting!$D$13)))</f>
        <v>25.956254000485576</v>
      </c>
      <c r="O161" s="216">
        <f t="shared" si="17"/>
        <v>10515588.165633645</v>
      </c>
      <c r="P161" s="217">
        <f>IF(D161&gt;1500000,Budgeting!$B$15,(IF(D161&gt;500000,Budgeting!$C$15,Budgeting!$D$15)))</f>
        <v>3.7080362857836535</v>
      </c>
      <c r="Q161" s="218">
        <f t="shared" si="18"/>
        <v>1502226.8808048065</v>
      </c>
    </row>
    <row r="162" spans="1:17">
      <c r="A162" s="222">
        <v>33</v>
      </c>
      <c r="B162" s="191" t="s">
        <v>141</v>
      </c>
      <c r="C162" s="191">
        <v>2022</v>
      </c>
      <c r="D162" s="208">
        <f>Population!G34</f>
        <v>962259.62081388058</v>
      </c>
      <c r="E162" s="209" t="str">
        <f t="shared" si="19"/>
        <v>Medium</v>
      </c>
      <c r="F162" s="208"/>
      <c r="G162" s="210">
        <f>Variables!$C$3*POWER(SUM(1,Variables!$C$2/100),C162-2017)</f>
        <v>9190.6330384177963</v>
      </c>
      <c r="H162" s="210">
        <f t="shared" si="14"/>
        <v>286.24333671364138</v>
      </c>
      <c r="I162" s="211">
        <f>VLOOKUP(B162,'Waste per capita'!$B$2:$F$48,4,FALSE)*(H162/Variables!$C$6)</f>
        <v>126.80045364741099</v>
      </c>
      <c r="J162" s="210">
        <f t="shared" si="15"/>
        <v>122014.95644578575</v>
      </c>
      <c r="K162" s="212">
        <f>Variables!$C$13</f>
        <v>1</v>
      </c>
      <c r="L162" s="213">
        <f t="shared" si="16"/>
        <v>122014.95644578575</v>
      </c>
      <c r="N162" s="215">
        <f>IF(D162&gt;1500000,Budgeting!$B$13,(IF(D162&gt;500000,Budgeting!$C$13,Budgeting!$D$13)))</f>
        <v>26.132827156951464</v>
      </c>
      <c r="O162" s="216">
        <f t="shared" si="17"/>
        <v>3188595.7673606798</v>
      </c>
      <c r="P162" s="217">
        <f>IF(D162&gt;1500000,Budgeting!$B$15,(IF(D162&gt;500000,Budgeting!$C$15,Budgeting!$D$15)))</f>
        <v>2.1188778775906578</v>
      </c>
      <c r="Q162" s="218">
        <f t="shared" si="18"/>
        <v>258534.79194816307</v>
      </c>
    </row>
    <row r="163" spans="1:17">
      <c r="A163" s="222">
        <v>34</v>
      </c>
      <c r="B163" s="191" t="s">
        <v>142</v>
      </c>
      <c r="C163" s="191">
        <v>2022</v>
      </c>
      <c r="D163" s="208">
        <f>Population!G35</f>
        <v>556652.64270889771</v>
      </c>
      <c r="E163" s="209" t="str">
        <f t="shared" si="19"/>
        <v>Medium</v>
      </c>
      <c r="F163" s="208"/>
      <c r="G163" s="210">
        <f>Variables!$C$3*POWER(SUM(1,Variables!$C$2/100),C163-2017)</f>
        <v>9190.6330384177963</v>
      </c>
      <c r="H163" s="210">
        <f t="shared" si="14"/>
        <v>286.24333671364138</v>
      </c>
      <c r="I163" s="211">
        <f>VLOOKUP(B163,'Waste per capita'!$B$2:$F$48,4,FALSE)*(H163/Variables!$C$6)</f>
        <v>227.46646264993572</v>
      </c>
      <c r="J163" s="210">
        <f t="shared" si="15"/>
        <v>126619.80756173149</v>
      </c>
      <c r="K163" s="212">
        <f>Variables!$C$13</f>
        <v>1</v>
      </c>
      <c r="L163" s="213">
        <f t="shared" si="16"/>
        <v>126619.80756173149</v>
      </c>
      <c r="N163" s="215">
        <f>IF(D163&gt;1500000,Budgeting!$B$13,(IF(D163&gt;500000,Budgeting!$C$13,Budgeting!$D$13)))</f>
        <v>26.132827156951464</v>
      </c>
      <c r="O163" s="216">
        <f t="shared" si="17"/>
        <v>3308933.5456571849</v>
      </c>
      <c r="P163" s="217">
        <f>IF(D163&gt;1500000,Budgeting!$B$15,(IF(D163&gt;500000,Budgeting!$C$15,Budgeting!$D$15)))</f>
        <v>2.1188778775906578</v>
      </c>
      <c r="Q163" s="218">
        <f t="shared" si="18"/>
        <v>268291.90910733916</v>
      </c>
    </row>
    <row r="164" spans="1:17">
      <c r="A164" s="222">
        <v>35</v>
      </c>
      <c r="B164" s="191" t="s">
        <v>143</v>
      </c>
      <c r="C164" s="191">
        <v>2022</v>
      </c>
      <c r="D164" s="208">
        <f>Population!G36</f>
        <v>237148.04646285845</v>
      </c>
      <c r="E164" s="209" t="str">
        <f t="shared" si="19"/>
        <v>Medium</v>
      </c>
      <c r="F164" s="208"/>
      <c r="G164" s="210">
        <f>Variables!$C$3*POWER(SUM(1,Variables!$C$2/100),C164-2017)</f>
        <v>9190.6330384177963</v>
      </c>
      <c r="H164" s="210">
        <f t="shared" si="14"/>
        <v>286.24333671364138</v>
      </c>
      <c r="I164" s="211">
        <f>VLOOKUP(B164,'Waste per capita'!$B$2:$F$48,4,FALSE)*(H164/Variables!$C$6)</f>
        <v>194.55642124526418</v>
      </c>
      <c r="J164" s="210">
        <f t="shared" si="15"/>
        <v>46138.675225119368</v>
      </c>
      <c r="K164" s="212">
        <f>Variables!$C$13</f>
        <v>1</v>
      </c>
      <c r="L164" s="213">
        <f t="shared" si="16"/>
        <v>46138.675225119368</v>
      </c>
      <c r="N164" s="215">
        <f>IF(D164&gt;1500000,Budgeting!$B$13,(IF(D164&gt;500000,Budgeting!$C$13,Budgeting!$D$13)))</f>
        <v>26.27408568212417</v>
      </c>
      <c r="O164" s="216">
        <f t="shared" si="17"/>
        <v>1212251.506124486</v>
      </c>
      <c r="P164" s="217">
        <f>IF(D164&gt;1500000,Budgeting!$B$15,(IF(D164&gt;500000,Budgeting!$C$15,Budgeting!$D$15)))</f>
        <v>7.6279603593263765</v>
      </c>
      <c r="Q164" s="218">
        <f t="shared" si="18"/>
        <v>351943.98564904451</v>
      </c>
    </row>
    <row r="165" spans="1:17">
      <c r="A165" s="222">
        <v>36</v>
      </c>
      <c r="B165" s="191" t="s">
        <v>144</v>
      </c>
      <c r="C165" s="191">
        <v>2022</v>
      </c>
      <c r="D165" s="208">
        <f>Population!G37</f>
        <v>1520479.1728988574</v>
      </c>
      <c r="E165" s="209" t="str">
        <f t="shared" si="19"/>
        <v>Large</v>
      </c>
      <c r="F165" s="208"/>
      <c r="G165" s="210">
        <f>Variables!$C$3*POWER(SUM(1,Variables!$C$2/100),C165-2017)</f>
        <v>9190.6330384177963</v>
      </c>
      <c r="H165" s="210">
        <f t="shared" si="14"/>
        <v>286.24333671364138</v>
      </c>
      <c r="I165" s="211">
        <f>VLOOKUP(B165,'Waste per capita'!$B$2:$F$48,4,FALSE)*(H165/Variables!$C$6)</f>
        <v>275.86358236268802</v>
      </c>
      <c r="J165" s="210">
        <f t="shared" si="15"/>
        <v>419444.83154373569</v>
      </c>
      <c r="K165" s="212">
        <f>Variables!$C$13</f>
        <v>1</v>
      </c>
      <c r="L165" s="213">
        <f t="shared" si="16"/>
        <v>419444.83154373569</v>
      </c>
      <c r="N165" s="215">
        <f>IF(D165&gt;1500000,Budgeting!$B$13,(IF(D165&gt;500000,Budgeting!$C$13,Budgeting!$D$13)))</f>
        <v>25.956254000485576</v>
      </c>
      <c r="O165" s="216">
        <f t="shared" si="17"/>
        <v>10887216.586740088</v>
      </c>
      <c r="P165" s="217">
        <f>IF(D165&gt;1500000,Budgeting!$B$15,(IF(D165&gt;500000,Budgeting!$C$15,Budgeting!$D$15)))</f>
        <v>3.7080362857836535</v>
      </c>
      <c r="Q165" s="218">
        <f t="shared" si="18"/>
        <v>1555316.655248584</v>
      </c>
    </row>
    <row r="166" spans="1:17">
      <c r="A166" s="222">
        <v>37</v>
      </c>
      <c r="B166" s="191" t="s">
        <v>145</v>
      </c>
      <c r="C166" s="191">
        <v>2022</v>
      </c>
      <c r="D166" s="208">
        <f>Population!G38</f>
        <v>253677.58178854792</v>
      </c>
      <c r="E166" s="209" t="str">
        <f t="shared" si="19"/>
        <v>Medium</v>
      </c>
      <c r="F166" s="208"/>
      <c r="G166" s="210">
        <f>Variables!$C$3*POWER(SUM(1,Variables!$C$2/100),C166-2017)</f>
        <v>9190.6330384177963</v>
      </c>
      <c r="H166" s="210">
        <f t="shared" si="14"/>
        <v>286.24333671364138</v>
      </c>
      <c r="I166" s="211">
        <f>VLOOKUP(B166,'Waste per capita'!$B$2:$F$48,4,FALSE)*(H166/Variables!$C$6)</f>
        <v>194.55642124526418</v>
      </c>
      <c r="J166" s="210">
        <f t="shared" si="15"/>
        <v>49354.602462932686</v>
      </c>
      <c r="K166" s="212">
        <f>Variables!$C$13</f>
        <v>1</v>
      </c>
      <c r="L166" s="213">
        <f t="shared" si="16"/>
        <v>49354.602462932686</v>
      </c>
      <c r="N166" s="215">
        <f>IF(D166&gt;1500000,Budgeting!$B$13,(IF(D166&gt;500000,Budgeting!$C$13,Budgeting!$D$13)))</f>
        <v>26.27408568212417</v>
      </c>
      <c r="O166" s="216">
        <f t="shared" si="17"/>
        <v>1296747.0539182699</v>
      </c>
      <c r="P166" s="217">
        <f>IF(D166&gt;1500000,Budgeting!$B$15,(IF(D166&gt;500000,Budgeting!$C$15,Budgeting!$D$15)))</f>
        <v>7.6279603593263765</v>
      </c>
      <c r="Q166" s="218">
        <f t="shared" si="18"/>
        <v>376474.95113756246</v>
      </c>
    </row>
    <row r="167" spans="1:17">
      <c r="A167" s="222">
        <v>38</v>
      </c>
      <c r="B167" s="191" t="s">
        <v>146</v>
      </c>
      <c r="C167" s="191">
        <v>2022</v>
      </c>
      <c r="D167" s="208">
        <f>Population!G39</f>
        <v>1115592.8954730453</v>
      </c>
      <c r="E167" s="209" t="str">
        <f t="shared" si="19"/>
        <v>Large</v>
      </c>
      <c r="F167" s="208"/>
      <c r="G167" s="210">
        <f>Variables!$C$3*POWER(SUM(1,Variables!$C$2/100),C167-2017)</f>
        <v>9190.6330384177963</v>
      </c>
      <c r="H167" s="210">
        <f t="shared" si="14"/>
        <v>286.24333671364138</v>
      </c>
      <c r="I167" s="211">
        <f>VLOOKUP(B167,'Waste per capita'!$B$2:$F$48,4,FALSE)*(H167/Variables!$C$6)</f>
        <v>272.21722402816556</v>
      </c>
      <c r="J167" s="210">
        <f t="shared" si="15"/>
        <v>303683.60115121584</v>
      </c>
      <c r="K167" s="212">
        <f>Variables!$C$13</f>
        <v>1</v>
      </c>
      <c r="L167" s="213">
        <f t="shared" si="16"/>
        <v>303683.60115121584</v>
      </c>
      <c r="N167" s="215">
        <f>IF(D167&gt;1500000,Budgeting!$B$13,(IF(D167&gt;500000,Budgeting!$C$13,Budgeting!$D$13)))</f>
        <v>26.132827156951464</v>
      </c>
      <c r="O167" s="216">
        <f t="shared" si="17"/>
        <v>7936111.0592853101</v>
      </c>
      <c r="P167" s="217">
        <f>IF(D167&gt;1500000,Budgeting!$B$15,(IF(D167&gt;500000,Budgeting!$C$15,Budgeting!$D$15)))</f>
        <v>2.1188778775906578</v>
      </c>
      <c r="Q167" s="218">
        <f t="shared" si="18"/>
        <v>643468.4642663761</v>
      </c>
    </row>
    <row r="168" spans="1:17">
      <c r="A168" s="222">
        <v>39</v>
      </c>
      <c r="B168" s="191" t="s">
        <v>147</v>
      </c>
      <c r="C168" s="191">
        <v>2022</v>
      </c>
      <c r="D168" s="208">
        <f>Population!G40</f>
        <v>91840.815453419826</v>
      </c>
      <c r="E168" s="209" t="str">
        <f t="shared" si="19"/>
        <v>Small</v>
      </c>
      <c r="F168" s="208"/>
      <c r="G168" s="210">
        <f>Variables!$C$3*POWER(SUM(1,Variables!$C$2/100),C168-2017)</f>
        <v>9190.6330384177963</v>
      </c>
      <c r="H168" s="210">
        <f t="shared" si="14"/>
        <v>286.24333671364138</v>
      </c>
      <c r="I168" s="211">
        <f>VLOOKUP(B168,'Waste per capita'!$B$2:$F$48,4,FALSE)*(H168/Variables!$C$6)</f>
        <v>220.8682115000567</v>
      </c>
      <c r="J168" s="210">
        <f t="shared" si="15"/>
        <v>20284.716651903607</v>
      </c>
      <c r="K168" s="212">
        <f>Variables!$C$13</f>
        <v>1</v>
      </c>
      <c r="L168" s="213">
        <f t="shared" si="16"/>
        <v>20284.716651903607</v>
      </c>
      <c r="N168" s="215">
        <f>IF(D168&gt;1500000,Budgeting!$B$13,(IF(D168&gt;500000,Budgeting!$C$13,Budgeting!$D$13)))</f>
        <v>26.27408568212417</v>
      </c>
      <c r="O168" s="216">
        <f t="shared" si="17"/>
        <v>532962.38334972633</v>
      </c>
      <c r="P168" s="217">
        <f>IF(D168&gt;1500000,Budgeting!$B$15,(IF(D168&gt;500000,Budgeting!$C$15,Budgeting!$D$15)))</f>
        <v>7.6279603593263765</v>
      </c>
      <c r="Q168" s="218">
        <f t="shared" si="18"/>
        <v>154731.01452088836</v>
      </c>
    </row>
    <row r="169" spans="1:17">
      <c r="A169" s="222">
        <v>40</v>
      </c>
      <c r="B169" s="191" t="s">
        <v>148</v>
      </c>
      <c r="C169" s="191">
        <v>2022</v>
      </c>
      <c r="D169" s="208">
        <f>Population!G41</f>
        <v>163983.34160756008</v>
      </c>
      <c r="E169" s="209" t="str">
        <f t="shared" si="19"/>
        <v>Medium</v>
      </c>
      <c r="F169" s="208"/>
      <c r="G169" s="210">
        <f>Variables!$C$3*POWER(SUM(1,Variables!$C$2/100),C169-2017)</f>
        <v>9190.6330384177963</v>
      </c>
      <c r="H169" s="210">
        <f t="shared" si="14"/>
        <v>286.24333671364138</v>
      </c>
      <c r="I169" s="211">
        <f>VLOOKUP(B169,'Waste per capita'!$B$2:$F$48,4,FALSE)*(H169/Variables!$C$6)</f>
        <v>196.42777654082394</v>
      </c>
      <c r="J169" s="210">
        <f t="shared" si="15"/>
        <v>32210.88318170741</v>
      </c>
      <c r="K169" s="212">
        <f>Variables!$C$13</f>
        <v>1</v>
      </c>
      <c r="L169" s="213">
        <f t="shared" si="16"/>
        <v>32210.88318170741</v>
      </c>
      <c r="N169" s="215">
        <f>IF(D169&gt;1500000,Budgeting!$B$13,(IF(D169&gt;500000,Budgeting!$C$13,Budgeting!$D$13)))</f>
        <v>26.27408568212417</v>
      </c>
      <c r="O169" s="216">
        <f t="shared" si="17"/>
        <v>846311.50461307284</v>
      </c>
      <c r="P169" s="217">
        <f>IF(D169&gt;1500000,Budgeting!$B$15,(IF(D169&gt;500000,Budgeting!$C$15,Budgeting!$D$15)))</f>
        <v>7.6279603593263765</v>
      </c>
      <c r="Q169" s="218">
        <f t="shared" si="18"/>
        <v>245703.3400489568</v>
      </c>
    </row>
    <row r="170" spans="1:17">
      <c r="A170" s="222">
        <v>41</v>
      </c>
      <c r="B170" s="191" t="s">
        <v>149</v>
      </c>
      <c r="C170" s="191">
        <v>2022</v>
      </c>
      <c r="D170" s="208">
        <f>Population!G42</f>
        <v>78927.722494485904</v>
      </c>
      <c r="E170" s="209" t="str">
        <f t="shared" si="19"/>
        <v>Small</v>
      </c>
      <c r="F170" s="208"/>
      <c r="G170" s="210">
        <f>Variables!$C$3*POWER(SUM(1,Variables!$C$2/100),C170-2017)</f>
        <v>9190.6330384177963</v>
      </c>
      <c r="H170" s="210">
        <f t="shared" si="14"/>
        <v>286.24333671364138</v>
      </c>
      <c r="I170" s="211">
        <f>VLOOKUP(B170,'Waste per capita'!$B$2:$F$48,4,FALSE)*(H170/Variables!$C$6)</f>
        <v>220.8682115000567</v>
      </c>
      <c r="J170" s="210">
        <f t="shared" si="15"/>
        <v>17432.624905129895</v>
      </c>
      <c r="K170" s="212">
        <f>Variables!$C$13</f>
        <v>1</v>
      </c>
      <c r="L170" s="213">
        <f t="shared" si="16"/>
        <v>17432.624905129895</v>
      </c>
      <c r="N170" s="215">
        <f>IF(D170&gt;1500000,Budgeting!$B$13,(IF(D170&gt;500000,Budgeting!$C$13,Budgeting!$D$13)))</f>
        <v>26.27408568212417</v>
      </c>
      <c r="O170" s="216">
        <f t="shared" si="17"/>
        <v>458026.28042171459</v>
      </c>
      <c r="P170" s="217">
        <f>IF(D170&gt;1500000,Budgeting!$B$15,(IF(D170&gt;500000,Budgeting!$C$15,Budgeting!$D$15)))</f>
        <v>7.6279603593263765</v>
      </c>
      <c r="Q170" s="218">
        <f t="shared" si="18"/>
        <v>132975.37173533658</v>
      </c>
    </row>
    <row r="171" spans="1:17">
      <c r="A171" s="222">
        <v>42</v>
      </c>
      <c r="B171" s="191" t="s">
        <v>150</v>
      </c>
      <c r="C171" s="191">
        <v>2022</v>
      </c>
      <c r="D171" s="208">
        <f>Population!G43</f>
        <v>97740.986184155161</v>
      </c>
      <c r="E171" s="209" t="str">
        <f t="shared" si="19"/>
        <v>Small</v>
      </c>
      <c r="F171" s="208"/>
      <c r="G171" s="210">
        <f>Variables!$C$3*POWER(SUM(1,Variables!$C$2/100),C171-2017)</f>
        <v>9190.6330384177963</v>
      </c>
      <c r="H171" s="210">
        <f t="shared" si="14"/>
        <v>286.24333671364138</v>
      </c>
      <c r="I171" s="211">
        <f>VLOOKUP(B171,'Waste per capita'!$B$2:$F$48,4,FALSE)*(H171/Variables!$C$6)</f>
        <v>220.8682115000567</v>
      </c>
      <c r="J171" s="210">
        <f t="shared" si="15"/>
        <v>21587.876808746103</v>
      </c>
      <c r="K171" s="212">
        <f>Variables!$C$13</f>
        <v>1</v>
      </c>
      <c r="L171" s="213">
        <f t="shared" si="16"/>
        <v>21587.876808746103</v>
      </c>
      <c r="N171" s="215">
        <f>IF(D171&gt;1500000,Budgeting!$B$13,(IF(D171&gt;500000,Budgeting!$C$13,Budgeting!$D$13)))</f>
        <v>26.27408568212417</v>
      </c>
      <c r="O171" s="216">
        <f t="shared" si="17"/>
        <v>567201.7249681364</v>
      </c>
      <c r="P171" s="217">
        <f>IF(D171&gt;1500000,Budgeting!$B$15,(IF(D171&gt;500000,Budgeting!$C$15,Budgeting!$D$15)))</f>
        <v>7.6279603593263765</v>
      </c>
      <c r="Q171" s="218">
        <f t="shared" si="18"/>
        <v>164671.46853913646</v>
      </c>
    </row>
    <row r="172" spans="1:17">
      <c r="A172" s="222">
        <v>1</v>
      </c>
      <c r="B172" s="191" t="s">
        <v>109</v>
      </c>
      <c r="C172" s="191">
        <v>2023</v>
      </c>
      <c r="D172" s="208">
        <f>Population!H2</f>
        <v>529830.27869311743</v>
      </c>
      <c r="E172" s="209" t="str">
        <f t="shared" si="19"/>
        <v>Medium</v>
      </c>
      <c r="F172" s="208"/>
      <c r="G172" s="210">
        <f>Variables!$C$3*POWER(SUM(1,Variables!$C$2/100),C172-2017)</f>
        <v>9845.0061107531437</v>
      </c>
      <c r="H172" s="210">
        <f t="shared" si="14"/>
        <v>294.59640356597811</v>
      </c>
      <c r="I172" s="211">
        <f>VLOOKUP(B172,'Waste per capita'!$B$2:$F$48,4,FALSE)*(H172/Variables!$C$6)</f>
        <v>227.13100027946092</v>
      </c>
      <c r="J172" s="210">
        <f t="shared" si="15"/>
        <v>120340.88117791331</v>
      </c>
      <c r="K172" s="212">
        <f>Variables!$C$13</f>
        <v>1</v>
      </c>
      <c r="L172" s="213">
        <f t="shared" si="16"/>
        <v>120340.88117791331</v>
      </c>
      <c r="N172" s="215">
        <f>IF(D172&gt;1500000,Budgeting!$B$13,(IF(D172&gt;500000,Budgeting!$C$13,Budgeting!$D$13)))</f>
        <v>26.132827156951464</v>
      </c>
      <c r="O172" s="216">
        <f t="shared" si="17"/>
        <v>3144847.4477376421</v>
      </c>
      <c r="P172" s="217">
        <f>IF(D172&gt;1500000,Budgeting!$B$15,(IF(D172&gt;500000,Budgeting!$C$15,Budgeting!$D$15)))</f>
        <v>2.1188778775906578</v>
      </c>
      <c r="Q172" s="218">
        <f t="shared" si="18"/>
        <v>254987.63089764651</v>
      </c>
    </row>
    <row r="173" spans="1:17">
      <c r="A173" s="222">
        <v>2</v>
      </c>
      <c r="B173" s="191" t="s">
        <v>110</v>
      </c>
      <c r="C173" s="191">
        <v>2023</v>
      </c>
      <c r="D173" s="208">
        <f>Population!H3</f>
        <v>388647.81615438784</v>
      </c>
      <c r="E173" s="209" t="str">
        <f t="shared" si="19"/>
        <v>Medium</v>
      </c>
      <c r="F173" s="208"/>
      <c r="G173" s="210">
        <f>Variables!$C$3*POWER(SUM(1,Variables!$C$2/100),C173-2017)</f>
        <v>9845.0061107531437</v>
      </c>
      <c r="H173" s="210">
        <f t="shared" si="14"/>
        <v>294.59640356597811</v>
      </c>
      <c r="I173" s="211">
        <f>VLOOKUP(B173,'Waste per capita'!$B$2:$F$48,4,FALSE)*(H173/Variables!$C$6)</f>
        <v>141.95687517466305</v>
      </c>
      <c r="J173" s="210">
        <f t="shared" si="15"/>
        <v>55171.229524733826</v>
      </c>
      <c r="K173" s="212">
        <f>Variables!$C$13</f>
        <v>1</v>
      </c>
      <c r="L173" s="213">
        <f t="shared" si="16"/>
        <v>55171.229524733826</v>
      </c>
      <c r="N173" s="215">
        <f>IF(D173&gt;1500000,Budgeting!$B$13,(IF(D173&gt;500000,Budgeting!$C$13,Budgeting!$D$13)))</f>
        <v>26.27408568212417</v>
      </c>
      <c r="O173" s="216">
        <f t="shared" si="17"/>
        <v>1449573.6117209953</v>
      </c>
      <c r="P173" s="217">
        <f>IF(D173&gt;1500000,Budgeting!$B$15,(IF(D173&gt;500000,Budgeting!$C$15,Budgeting!$D$15)))</f>
        <v>7.6279603593263765</v>
      </c>
      <c r="Q173" s="218">
        <f t="shared" si="18"/>
        <v>420843.95178996661</v>
      </c>
    </row>
    <row r="174" spans="1:17">
      <c r="A174" s="222">
        <v>3</v>
      </c>
      <c r="B174" s="191" t="s">
        <v>111</v>
      </c>
      <c r="C174" s="191">
        <v>2023</v>
      </c>
      <c r="D174" s="208">
        <f>Population!H4</f>
        <v>11184174.854361728</v>
      </c>
      <c r="E174" s="209" t="str">
        <f t="shared" si="19"/>
        <v>Large</v>
      </c>
      <c r="F174" s="208"/>
      <c r="G174" s="210">
        <f>Variables!$C$3*POWER(SUM(1,Variables!$C$2/100),C174-2017)</f>
        <v>9845.0061107531437</v>
      </c>
      <c r="H174" s="210">
        <f t="shared" si="14"/>
        <v>294.59640356597811</v>
      </c>
      <c r="I174" s="211">
        <f>VLOOKUP(B174,'Waste per capita'!$B$2:$F$48,4,FALSE)*(H174/Variables!$C$6)</f>
        <v>367.08867504911672</v>
      </c>
      <c r="J174" s="210">
        <f t="shared" si="15"/>
        <v>4105583.9288052944</v>
      </c>
      <c r="K174" s="212">
        <f>Variables!$C$13</f>
        <v>1</v>
      </c>
      <c r="L174" s="213">
        <f t="shared" si="16"/>
        <v>4105583.9288052944</v>
      </c>
      <c r="N174" s="215">
        <f>IF(D174&gt;1500000,Budgeting!$B$13,(IF(D174&gt;500000,Budgeting!$C$13,Budgeting!$D$13)))</f>
        <v>25.956254000485576</v>
      </c>
      <c r="O174" s="216">
        <f t="shared" si="17"/>
        <v>106565579.27638172</v>
      </c>
      <c r="P174" s="217">
        <f>IF(D174&gt;1500000,Budgeting!$B$15,(IF(D174&gt;500000,Budgeting!$C$15,Budgeting!$D$15)))</f>
        <v>3.7080362857836535</v>
      </c>
      <c r="Q174" s="218">
        <f t="shared" si="18"/>
        <v>15223654.182340244</v>
      </c>
    </row>
    <row r="175" spans="1:17">
      <c r="A175" s="222">
        <v>4</v>
      </c>
      <c r="B175" s="191" t="s">
        <v>112</v>
      </c>
      <c r="C175" s="191">
        <v>2023</v>
      </c>
      <c r="D175" s="208">
        <f>Population!H5</f>
        <v>2381852.0417070338</v>
      </c>
      <c r="E175" s="209" t="str">
        <f t="shared" si="19"/>
        <v>Large</v>
      </c>
      <c r="F175" s="208"/>
      <c r="G175" s="210">
        <f>Variables!$C$3*POWER(SUM(1,Variables!$C$2/100),C175-2017)</f>
        <v>9845.0061107531437</v>
      </c>
      <c r="H175" s="210">
        <f t="shared" si="14"/>
        <v>294.59640356597811</v>
      </c>
      <c r="I175" s="211">
        <f>VLOOKUP(B175,'Waste per capita'!$B$2:$F$48,4,FALSE)*(H175/Variables!$C$6)</f>
        <v>227.13100027946092</v>
      </c>
      <c r="J175" s="210">
        <f t="shared" si="15"/>
        <v>540992.43675059488</v>
      </c>
      <c r="K175" s="212">
        <f>Variables!$C$13</f>
        <v>1</v>
      </c>
      <c r="L175" s="213">
        <f t="shared" si="16"/>
        <v>540992.43675059488</v>
      </c>
      <c r="N175" s="215">
        <f>IF(D175&gt;1500000,Budgeting!$B$13,(IF(D175&gt;500000,Budgeting!$C$13,Budgeting!$D$13)))</f>
        <v>25.956254000485576</v>
      </c>
      <c r="O175" s="216">
        <f t="shared" si="17"/>
        <v>14042137.100640068</v>
      </c>
      <c r="P175" s="217">
        <f>IF(D175&gt;1500000,Budgeting!$B$15,(IF(D175&gt;500000,Budgeting!$C$15,Budgeting!$D$15)))</f>
        <v>3.7080362857836535</v>
      </c>
      <c r="Q175" s="218">
        <f t="shared" si="18"/>
        <v>2006019.5858057239</v>
      </c>
    </row>
    <row r="176" spans="1:17">
      <c r="A176" s="222">
        <v>5</v>
      </c>
      <c r="B176" s="191" t="s">
        <v>113</v>
      </c>
      <c r="C176" s="191">
        <v>2023</v>
      </c>
      <c r="D176" s="208">
        <f>Population!H6</f>
        <v>1117138.6203896278</v>
      </c>
      <c r="E176" s="209" t="str">
        <f t="shared" si="19"/>
        <v>Large</v>
      </c>
      <c r="F176" s="208"/>
      <c r="G176" s="210">
        <f>Variables!$C$3*POWER(SUM(1,Variables!$C$2/100),C176-2017)</f>
        <v>9845.0061107531437</v>
      </c>
      <c r="H176" s="210">
        <f t="shared" ref="H176:H239" si="20">1647.41-417.73*LN(G176)+29.43*(LN(G176))^2</f>
        <v>294.59640356597811</v>
      </c>
      <c r="I176" s="211">
        <f>VLOOKUP(B176,'Waste per capita'!$B$2:$F$48,4,FALSE)*(H176/Variables!$C$6)</f>
        <v>227.13100027946092</v>
      </c>
      <c r="J176" s="210">
        <f t="shared" si="15"/>
        <v>253736.81229991314</v>
      </c>
      <c r="K176" s="212">
        <f>Variables!$C$13</f>
        <v>1</v>
      </c>
      <c r="L176" s="213">
        <f t="shared" si="16"/>
        <v>253736.81229991314</v>
      </c>
      <c r="N176" s="215">
        <f>IF(D176&gt;1500000,Budgeting!$B$13,(IF(D176&gt;500000,Budgeting!$C$13,Budgeting!$D$13)))</f>
        <v>26.132827156951464</v>
      </c>
      <c r="O176" s="216">
        <f t="shared" si="17"/>
        <v>6630860.2591894669</v>
      </c>
      <c r="P176" s="217">
        <f>IF(D176&gt;1500000,Budgeting!$B$15,(IF(D176&gt;500000,Budgeting!$C$15,Budgeting!$D$15)))</f>
        <v>2.1188778775906578</v>
      </c>
      <c r="Q176" s="218">
        <f t="shared" si="18"/>
        <v>537637.31831265904</v>
      </c>
    </row>
    <row r="177" spans="1:17">
      <c r="A177" s="222">
        <v>6</v>
      </c>
      <c r="B177" s="191" t="s">
        <v>114</v>
      </c>
      <c r="C177" s="191">
        <v>2023</v>
      </c>
      <c r="D177" s="208">
        <f>Population!H7</f>
        <v>1273682.0336738601</v>
      </c>
      <c r="E177" s="209" t="str">
        <f t="shared" si="19"/>
        <v>Large</v>
      </c>
      <c r="F177" s="208"/>
      <c r="G177" s="210">
        <f>Variables!$C$3*POWER(SUM(1,Variables!$C$2/100),C177-2017)</f>
        <v>9845.0061107531437</v>
      </c>
      <c r="H177" s="210">
        <f t="shared" si="20"/>
        <v>294.59640356597811</v>
      </c>
      <c r="I177" s="211">
        <f>VLOOKUP(B177,'Waste per capita'!$B$2:$F$48,4,FALSE)*(H177/Variables!$C$6)</f>
        <v>227.13100027946092</v>
      </c>
      <c r="J177" s="210">
        <f t="shared" si="15"/>
        <v>289292.6743463219</v>
      </c>
      <c r="K177" s="212">
        <f>Variables!$C$13</f>
        <v>1</v>
      </c>
      <c r="L177" s="213">
        <f t="shared" si="16"/>
        <v>289292.6743463219</v>
      </c>
      <c r="N177" s="215">
        <f>IF(D177&gt;1500000,Budgeting!$B$13,(IF(D177&gt;500000,Budgeting!$C$13,Budgeting!$D$13)))</f>
        <v>26.132827156951464</v>
      </c>
      <c r="O177" s="216">
        <f t="shared" si="17"/>
        <v>7560035.4564646771</v>
      </c>
      <c r="P177" s="217">
        <f>IF(D177&gt;1500000,Budgeting!$B$15,(IF(D177&gt;500000,Budgeting!$C$15,Budgeting!$D$15)))</f>
        <v>2.1188778775906578</v>
      </c>
      <c r="Q177" s="218">
        <f t="shared" si="18"/>
        <v>612975.84782145987</v>
      </c>
    </row>
    <row r="178" spans="1:17">
      <c r="A178" s="222">
        <v>7</v>
      </c>
      <c r="B178" s="191" t="s">
        <v>115</v>
      </c>
      <c r="C178" s="191">
        <v>2023</v>
      </c>
      <c r="D178" s="208">
        <f>Population!H8</f>
        <v>6154886.7275632918</v>
      </c>
      <c r="E178" s="209" t="str">
        <f t="shared" si="19"/>
        <v>Large</v>
      </c>
      <c r="F178" s="208"/>
      <c r="G178" s="210">
        <f>Variables!$C$3*POWER(SUM(1,Variables!$C$2/100),C178-2017)</f>
        <v>9845.0061107531437</v>
      </c>
      <c r="H178" s="210">
        <f t="shared" si="20"/>
        <v>294.59640356597811</v>
      </c>
      <c r="I178" s="211">
        <f>VLOOKUP(B178,'Waste per capita'!$B$2:$F$48,4,FALSE)*(H178/Variables!$C$6)</f>
        <v>352.65076359179454</v>
      </c>
      <c r="J178" s="210">
        <f t="shared" si="15"/>
        <v>2170525.5042961966</v>
      </c>
      <c r="K178" s="212">
        <f>Variables!$C$13</f>
        <v>1</v>
      </c>
      <c r="L178" s="213">
        <f t="shared" si="16"/>
        <v>2170525.5042961966</v>
      </c>
      <c r="N178" s="215">
        <f>IF(D178&gt;1500000,Budgeting!$B$13,(IF(D178&gt;500000,Budgeting!$C$13,Budgeting!$D$13)))</f>
        <v>25.956254000485576</v>
      </c>
      <c r="O178" s="216">
        <f t="shared" si="17"/>
        <v>56338711.304044127</v>
      </c>
      <c r="P178" s="217">
        <f>IF(D178&gt;1500000,Budgeting!$B$15,(IF(D178&gt;500000,Budgeting!$C$15,Budgeting!$D$15)))</f>
        <v>3.7080362857836535</v>
      </c>
      <c r="Q178" s="218">
        <f t="shared" si="18"/>
        <v>8048387.3291491605</v>
      </c>
    </row>
    <row r="179" spans="1:17">
      <c r="A179" s="222">
        <v>8</v>
      </c>
      <c r="B179" s="191" t="s">
        <v>116</v>
      </c>
      <c r="C179" s="191">
        <v>2023</v>
      </c>
      <c r="D179" s="208">
        <f>Population!H9</f>
        <v>58654.274459976965</v>
      </c>
      <c r="E179" s="209" t="str">
        <f t="shared" si="19"/>
        <v>Small</v>
      </c>
      <c r="F179" s="208"/>
      <c r="G179" s="210">
        <f>Variables!$C$3*POWER(SUM(1,Variables!$C$2/100),C179-2017)</f>
        <v>9845.0061107531437</v>
      </c>
      <c r="H179" s="210">
        <f t="shared" si="20"/>
        <v>294.59640356597811</v>
      </c>
      <c r="I179" s="211">
        <f>VLOOKUP(B179,'Waste per capita'!$B$2:$F$48,4,FALSE)*(H179/Variables!$C$6)</f>
        <v>238.58716915320562</v>
      </c>
      <c r="J179" s="210">
        <f t="shared" si="15"/>
        <v>13994.157302141071</v>
      </c>
      <c r="K179" s="212">
        <f>Variables!$C$13</f>
        <v>1</v>
      </c>
      <c r="L179" s="213">
        <f t="shared" si="16"/>
        <v>13994.157302141071</v>
      </c>
      <c r="N179" s="215">
        <f>IF(D179&gt;1500000,Budgeting!$B$13,(IF(D179&gt;500000,Budgeting!$C$13,Budgeting!$D$13)))</f>
        <v>26.27408568212417</v>
      </c>
      <c r="O179" s="216">
        <f t="shared" si="17"/>
        <v>367683.68800557812</v>
      </c>
      <c r="P179" s="217">
        <f>IF(D179&gt;1500000,Budgeting!$B$15,(IF(D179&gt;500000,Budgeting!$C$15,Budgeting!$D$15)))</f>
        <v>7.6279603593263765</v>
      </c>
      <c r="Q179" s="218">
        <f t="shared" si="18"/>
        <v>106746.87716290985</v>
      </c>
    </row>
    <row r="180" spans="1:17">
      <c r="A180" s="222">
        <v>9</v>
      </c>
      <c r="B180" s="191" t="s">
        <v>117</v>
      </c>
      <c r="C180" s="191">
        <v>2023</v>
      </c>
      <c r="D180" s="208">
        <f>Population!H10</f>
        <v>754441.63177735335</v>
      </c>
      <c r="E180" s="209" t="str">
        <f t="shared" si="19"/>
        <v>Medium</v>
      </c>
      <c r="F180" s="208"/>
      <c r="G180" s="210">
        <f>Variables!$C$3*POWER(SUM(1,Variables!$C$2/100),C180-2017)</f>
        <v>9845.0061107531437</v>
      </c>
      <c r="H180" s="210">
        <f t="shared" si="20"/>
        <v>294.59640356597811</v>
      </c>
      <c r="I180" s="211">
        <f>VLOOKUP(B180,'Waste per capita'!$B$2:$F$48,4,FALSE)*(H180/Variables!$C$6)</f>
        <v>176.32538179589727</v>
      </c>
      <c r="J180" s="210">
        <f t="shared" si="15"/>
        <v>133027.20876586158</v>
      </c>
      <c r="K180" s="212">
        <f>Variables!$C$13</f>
        <v>1</v>
      </c>
      <c r="L180" s="213">
        <f t="shared" si="16"/>
        <v>133027.20876586158</v>
      </c>
      <c r="N180" s="215">
        <f>IF(D180&gt;1500000,Budgeting!$B$13,(IF(D180&gt;500000,Budgeting!$C$13,Budgeting!$D$13)))</f>
        <v>26.132827156951464</v>
      </c>
      <c r="O180" s="216">
        <f t="shared" si="17"/>
        <v>3476377.0538499593</v>
      </c>
      <c r="P180" s="217">
        <f>IF(D180&gt;1500000,Budgeting!$B$15,(IF(D180&gt;500000,Budgeting!$C$15,Budgeting!$D$15)))</f>
        <v>2.1188778775906578</v>
      </c>
      <c r="Q180" s="218">
        <f t="shared" si="18"/>
        <v>281868.40977161814</v>
      </c>
    </row>
    <row r="181" spans="1:17">
      <c r="A181" s="222">
        <v>10</v>
      </c>
      <c r="B181" s="191" t="s">
        <v>118</v>
      </c>
      <c r="C181" s="191">
        <v>2023</v>
      </c>
      <c r="D181" s="208">
        <f>Population!H11</f>
        <v>700114.70284514711</v>
      </c>
      <c r="E181" s="209" t="str">
        <f t="shared" si="19"/>
        <v>Medium</v>
      </c>
      <c r="F181" s="208"/>
      <c r="G181" s="210">
        <f>Variables!$C$3*POWER(SUM(1,Variables!$C$2/100),C181-2017)</f>
        <v>9845.0061107531437</v>
      </c>
      <c r="H181" s="210">
        <f t="shared" si="20"/>
        <v>294.59640356597811</v>
      </c>
      <c r="I181" s="211">
        <f>VLOOKUP(B181,'Waste per capita'!$B$2:$F$48,4,FALSE)*(H181/Variables!$C$6)</f>
        <v>202.15987276335645</v>
      </c>
      <c r="J181" s="210">
        <f t="shared" si="15"/>
        <v>141535.09924693004</v>
      </c>
      <c r="K181" s="212">
        <f>Variables!$C$13</f>
        <v>1</v>
      </c>
      <c r="L181" s="213">
        <f t="shared" si="16"/>
        <v>141535.09924693004</v>
      </c>
      <c r="N181" s="215">
        <f>IF(D181&gt;1500000,Budgeting!$B$13,(IF(D181&gt;500000,Budgeting!$C$13,Budgeting!$D$13)))</f>
        <v>26.132827156951464</v>
      </c>
      <c r="O181" s="216">
        <f t="shared" si="17"/>
        <v>3698712.2852619942</v>
      </c>
      <c r="P181" s="217">
        <f>IF(D181&gt;1500000,Budgeting!$B$15,(IF(D181&gt;500000,Budgeting!$C$15,Budgeting!$D$15)))</f>
        <v>2.1188778775906578</v>
      </c>
      <c r="Q181" s="218">
        <f t="shared" si="18"/>
        <v>299895.59069691825</v>
      </c>
    </row>
    <row r="182" spans="1:17">
      <c r="A182" s="222">
        <v>11</v>
      </c>
      <c r="B182" s="191" t="s">
        <v>119</v>
      </c>
      <c r="C182" s="191">
        <v>2023</v>
      </c>
      <c r="D182" s="208">
        <f>Population!H12</f>
        <v>273081.06685764127</v>
      </c>
      <c r="E182" s="209" t="str">
        <f t="shared" si="19"/>
        <v>Medium</v>
      </c>
      <c r="F182" s="208"/>
      <c r="G182" s="210">
        <f>Variables!$C$3*POWER(SUM(1,Variables!$C$2/100),C182-2017)</f>
        <v>9845.0061107531437</v>
      </c>
      <c r="H182" s="210">
        <f t="shared" si="20"/>
        <v>294.59640356597811</v>
      </c>
      <c r="I182" s="211">
        <f>VLOOKUP(B182,'Waste per capita'!$B$2:$F$48,4,FALSE)*(H182/Variables!$C$6)</f>
        <v>125.02166901347519</v>
      </c>
      <c r="J182" s="210">
        <f t="shared" si="15"/>
        <v>34141.050754522716</v>
      </c>
      <c r="K182" s="212">
        <f>Variables!$C$13</f>
        <v>1</v>
      </c>
      <c r="L182" s="213">
        <f t="shared" si="16"/>
        <v>34141.050754522716</v>
      </c>
      <c r="N182" s="215">
        <f>IF(D182&gt;1500000,Budgeting!$B$13,(IF(D182&gt;500000,Budgeting!$C$13,Budgeting!$D$13)))</f>
        <v>26.27408568212417</v>
      </c>
      <c r="O182" s="216">
        <f t="shared" si="17"/>
        <v>897024.89280207991</v>
      </c>
      <c r="P182" s="217">
        <f>IF(D182&gt;1500000,Budgeting!$B$15,(IF(D182&gt;500000,Budgeting!$C$15,Budgeting!$D$15)))</f>
        <v>7.6279603593263765</v>
      </c>
      <c r="Q182" s="218">
        <f t="shared" si="18"/>
        <v>260426.58178124914</v>
      </c>
    </row>
    <row r="183" spans="1:17">
      <c r="A183" s="222">
        <v>12</v>
      </c>
      <c r="B183" s="191" t="s">
        <v>120</v>
      </c>
      <c r="C183" s="191">
        <v>2023</v>
      </c>
      <c r="D183" s="208">
        <f>Population!H13</f>
        <v>132835.06997184522</v>
      </c>
      <c r="E183" s="209" t="str">
        <f t="shared" si="19"/>
        <v>Medium</v>
      </c>
      <c r="F183" s="208"/>
      <c r="G183" s="210">
        <f>Variables!$C$3*POWER(SUM(1,Variables!$C$2/100),C183-2017)</f>
        <v>9845.0061107531437</v>
      </c>
      <c r="H183" s="210">
        <f t="shared" si="20"/>
        <v>294.59640356597811</v>
      </c>
      <c r="I183" s="211">
        <f>VLOOKUP(B183,'Waste per capita'!$B$2:$F$48,4,FALSE)*(H183/Variables!$C$6)</f>
        <v>250.04333802695038</v>
      </c>
      <c r="J183" s="210">
        <f t="shared" si="15"/>
        <v>33214.5243028037</v>
      </c>
      <c r="K183" s="212">
        <f>Variables!$C$13</f>
        <v>1</v>
      </c>
      <c r="L183" s="213">
        <f t="shared" si="16"/>
        <v>33214.5243028037</v>
      </c>
      <c r="N183" s="215">
        <f>IF(D183&gt;1500000,Budgeting!$B$13,(IF(D183&gt;500000,Budgeting!$C$13,Budgeting!$D$13)))</f>
        <v>26.27408568212417</v>
      </c>
      <c r="O183" s="216">
        <f t="shared" si="17"/>
        <v>872681.25742286001</v>
      </c>
      <c r="P183" s="217">
        <f>IF(D183&gt;1500000,Budgeting!$B$15,(IF(D183&gt;500000,Budgeting!$C$15,Budgeting!$D$15)))</f>
        <v>7.6279603593263765</v>
      </c>
      <c r="Q183" s="218">
        <f t="shared" si="18"/>
        <v>253359.07473566919</v>
      </c>
    </row>
    <row r="184" spans="1:17">
      <c r="A184" s="222">
        <v>13</v>
      </c>
      <c r="B184" s="191" t="s">
        <v>121</v>
      </c>
      <c r="C184" s="191">
        <v>2023</v>
      </c>
      <c r="D184" s="208">
        <f>Population!H14</f>
        <v>8916676.262746226</v>
      </c>
      <c r="E184" s="209" t="str">
        <f t="shared" si="19"/>
        <v>Large</v>
      </c>
      <c r="F184" s="208"/>
      <c r="G184" s="210">
        <f>Variables!$C$3*POWER(SUM(1,Variables!$C$2/100),C184-2017)</f>
        <v>9845.0061107531437</v>
      </c>
      <c r="H184" s="210">
        <f t="shared" si="20"/>
        <v>294.59640356597811</v>
      </c>
      <c r="I184" s="211">
        <f>VLOOKUP(B184,'Waste per capita'!$B$2:$F$48,4,FALSE)*(H184/Variables!$C$6)</f>
        <v>323.76129425800349</v>
      </c>
      <c r="J184" s="210">
        <f t="shared" si="15"/>
        <v>2886874.6473063361</v>
      </c>
      <c r="K184" s="212">
        <f>Variables!$C$13</f>
        <v>1</v>
      </c>
      <c r="L184" s="213">
        <f t="shared" si="16"/>
        <v>2886874.6473063361</v>
      </c>
      <c r="N184" s="215">
        <f>IF(D184&gt;1500000,Budgeting!$B$13,(IF(D184&gt;500000,Budgeting!$C$13,Budgeting!$D$13)))</f>
        <v>25.956254000485576</v>
      </c>
      <c r="O184" s="216">
        <f t="shared" si="17"/>
        <v>74932451.613045469</v>
      </c>
      <c r="P184" s="217">
        <f>IF(D184&gt;1500000,Budgeting!$B$15,(IF(D184&gt;500000,Budgeting!$C$15,Budgeting!$D$15)))</f>
        <v>3.7080362857836535</v>
      </c>
      <c r="Q184" s="218">
        <f t="shared" si="18"/>
        <v>10704635.94472078</v>
      </c>
    </row>
    <row r="185" spans="1:17">
      <c r="A185" s="222">
        <v>14</v>
      </c>
      <c r="B185" s="191" t="s">
        <v>122</v>
      </c>
      <c r="C185" s="191">
        <v>2023</v>
      </c>
      <c r="D185" s="208">
        <f>Population!H15</f>
        <v>355304.60557263903</v>
      </c>
      <c r="E185" s="209" t="str">
        <f t="shared" si="19"/>
        <v>Medium</v>
      </c>
      <c r="F185" s="208"/>
      <c r="G185" s="210">
        <f>Variables!$C$3*POWER(SUM(1,Variables!$C$2/100),C185-2017)</f>
        <v>9845.0061107531437</v>
      </c>
      <c r="H185" s="210">
        <f t="shared" si="20"/>
        <v>294.59640356597811</v>
      </c>
      <c r="I185" s="211">
        <f>VLOOKUP(B185,'Waste per capita'!$B$2:$F$48,4,FALSE)*(H185/Variables!$C$6)</f>
        <v>108.08646285228731</v>
      </c>
      <c r="J185" s="210">
        <f t="shared" si="15"/>
        <v>38403.618051473648</v>
      </c>
      <c r="K185" s="212">
        <f>Variables!$C$13</f>
        <v>1</v>
      </c>
      <c r="L185" s="213">
        <f t="shared" si="16"/>
        <v>38403.618051473648</v>
      </c>
      <c r="N185" s="215">
        <f>IF(D185&gt;1500000,Budgeting!$B$13,(IF(D185&gt;500000,Budgeting!$C$13,Budgeting!$D$13)))</f>
        <v>26.27408568212417</v>
      </c>
      <c r="O185" s="216">
        <f t="shared" si="17"/>
        <v>1009019.9511879891</v>
      </c>
      <c r="P185" s="217">
        <f>IF(D185&gt;1500000,Budgeting!$B$15,(IF(D185&gt;500000,Budgeting!$C$15,Budgeting!$D$15)))</f>
        <v>7.6279603593263765</v>
      </c>
      <c r="Q185" s="218">
        <f t="shared" si="18"/>
        <v>292941.27615135186</v>
      </c>
    </row>
    <row r="186" spans="1:17">
      <c r="A186" s="222">
        <v>15</v>
      </c>
      <c r="B186" s="191" t="s">
        <v>123</v>
      </c>
      <c r="C186" s="191">
        <v>2023</v>
      </c>
      <c r="D186" s="208">
        <f>Population!H16</f>
        <v>78798.220216431728</v>
      </c>
      <c r="E186" s="209" t="str">
        <f t="shared" si="19"/>
        <v>Small</v>
      </c>
      <c r="F186" s="208"/>
      <c r="G186" s="210">
        <f>Variables!$C$3*POWER(SUM(1,Variables!$C$2/100),C186-2017)</f>
        <v>9845.0061107531437</v>
      </c>
      <c r="H186" s="210">
        <f t="shared" si="20"/>
        <v>294.59640356597811</v>
      </c>
      <c r="I186" s="211">
        <f>VLOOKUP(B186,'Waste per capita'!$B$2:$F$48,4,FALSE)*(H186/Variables!$C$6)</f>
        <v>193.26058795708516</v>
      </c>
      <c r="J186" s="210">
        <f t="shared" si="15"/>
        <v>15228.59036899947</v>
      </c>
      <c r="K186" s="212">
        <f>Variables!$C$13</f>
        <v>1</v>
      </c>
      <c r="L186" s="213">
        <f t="shared" si="16"/>
        <v>15228.59036899947</v>
      </c>
      <c r="N186" s="215">
        <f>IF(D186&gt;1500000,Budgeting!$B$13,(IF(D186&gt;500000,Budgeting!$C$13,Budgeting!$D$13)))</f>
        <v>26.27408568212417</v>
      </c>
      <c r="O186" s="216">
        <f t="shared" si="17"/>
        <v>400117.28817306302</v>
      </c>
      <c r="P186" s="217">
        <f>IF(D186&gt;1500000,Budgeting!$B$15,(IF(D186&gt;500000,Budgeting!$C$15,Budgeting!$D$15)))</f>
        <v>7.6279603593263765</v>
      </c>
      <c r="Q186" s="218">
        <f t="shared" si="18"/>
        <v>116163.08366314739</v>
      </c>
    </row>
    <row r="187" spans="1:17">
      <c r="A187" s="222">
        <v>16</v>
      </c>
      <c r="B187" s="191" t="s">
        <v>124</v>
      </c>
      <c r="C187" s="191">
        <v>2023</v>
      </c>
      <c r="D187" s="208">
        <f>Population!H17</f>
        <v>4034833.1297553591</v>
      </c>
      <c r="E187" s="209" t="str">
        <f t="shared" si="19"/>
        <v>Large</v>
      </c>
      <c r="F187" s="208"/>
      <c r="G187" s="210">
        <f>Variables!$C$3*POWER(SUM(1,Variables!$C$2/100),C187-2017)</f>
        <v>9845.0061107531437</v>
      </c>
      <c r="H187" s="210">
        <f t="shared" si="20"/>
        <v>294.59640356597811</v>
      </c>
      <c r="I187" s="211">
        <f>VLOOKUP(B187,'Waste per capita'!$B$2:$F$48,4,FALSE)*(H187/Variables!$C$6)</f>
        <v>221.65196299201779</v>
      </c>
      <c r="J187" s="210">
        <f t="shared" si="15"/>
        <v>894328.68355550221</v>
      </c>
      <c r="K187" s="212">
        <f>Variables!$C$13</f>
        <v>1</v>
      </c>
      <c r="L187" s="213">
        <f t="shared" si="16"/>
        <v>894328.68355550221</v>
      </c>
      <c r="N187" s="215">
        <f>IF(D187&gt;1500000,Budgeting!$B$13,(IF(D187&gt;500000,Budgeting!$C$13,Budgeting!$D$13)))</f>
        <v>25.956254000485576</v>
      </c>
      <c r="O187" s="216">
        <f t="shared" si="17"/>
        <v>23213422.470286503</v>
      </c>
      <c r="P187" s="217">
        <f>IF(D187&gt;1500000,Budgeting!$B$15,(IF(D187&gt;500000,Budgeting!$C$15,Budgeting!$D$15)))</f>
        <v>3.7080362857836535</v>
      </c>
      <c r="Q187" s="218">
        <f t="shared" si="18"/>
        <v>3316203.2100409288</v>
      </c>
    </row>
    <row r="188" spans="1:17">
      <c r="A188" s="222">
        <v>17</v>
      </c>
      <c r="B188" s="191" t="s">
        <v>125</v>
      </c>
      <c r="C188" s="191">
        <v>2023</v>
      </c>
      <c r="D188" s="208">
        <f>Population!H18</f>
        <v>14848.345076923848</v>
      </c>
      <c r="E188" s="209" t="str">
        <f t="shared" si="19"/>
        <v>Small</v>
      </c>
      <c r="F188" s="208"/>
      <c r="G188" s="210">
        <f>Variables!$C$3*POWER(SUM(1,Variables!$C$2/100),C188-2017)</f>
        <v>9845.0061107531437</v>
      </c>
      <c r="H188" s="210">
        <f t="shared" si="20"/>
        <v>294.59640356597811</v>
      </c>
      <c r="I188" s="211">
        <f>VLOOKUP(B188,'Waste per capita'!$B$2:$F$48,4,FALSE)*(H188/Variables!$C$6)</f>
        <v>170.58023933509142</v>
      </c>
      <c r="J188" s="210">
        <f t="shared" si="15"/>
        <v>2532.8342569516963</v>
      </c>
      <c r="K188" s="212">
        <f>Variables!$C$13</f>
        <v>1</v>
      </c>
      <c r="L188" s="213">
        <f t="shared" si="16"/>
        <v>2532.8342569516963</v>
      </c>
      <c r="N188" s="215">
        <f>IF(D188&gt;1500000,Budgeting!$B$13,(IF(D188&gt;500000,Budgeting!$C$13,Budgeting!$D$13)))</f>
        <v>26.27408568212417</v>
      </c>
      <c r="O188" s="216">
        <f t="shared" si="17"/>
        <v>66547.904285768178</v>
      </c>
      <c r="P188" s="217">
        <f>IF(D188&gt;1500000,Budgeting!$B$15,(IF(D188&gt;500000,Budgeting!$C$15,Budgeting!$D$15)))</f>
        <v>7.6279603593263765</v>
      </c>
      <c r="Q188" s="218">
        <f t="shared" si="18"/>
        <v>19320.359308771418</v>
      </c>
    </row>
    <row r="189" spans="1:17">
      <c r="A189" s="222">
        <v>18</v>
      </c>
      <c r="B189" s="191" t="s">
        <v>126</v>
      </c>
      <c r="C189" s="191">
        <v>2023</v>
      </c>
      <c r="D189" s="208">
        <f>Population!H19</f>
        <v>131183.3405953132</v>
      </c>
      <c r="E189" s="209" t="str">
        <f t="shared" si="19"/>
        <v>Medium</v>
      </c>
      <c r="F189" s="208"/>
      <c r="G189" s="210">
        <f>Variables!$C$3*POWER(SUM(1,Variables!$C$2/100),C189-2017)</f>
        <v>9845.0061107531437</v>
      </c>
      <c r="H189" s="210">
        <f t="shared" si="20"/>
        <v>294.59640356597811</v>
      </c>
      <c r="I189" s="211">
        <f>VLOOKUP(B189,'Waste per capita'!$B$2:$F$48,4,FALSE)*(H189/Variables!$C$6)</f>
        <v>96.630293978542582</v>
      </c>
      <c r="J189" s="210">
        <f t="shared" si="15"/>
        <v>12676.284766812394</v>
      </c>
      <c r="K189" s="212">
        <f>Variables!$C$13</f>
        <v>1</v>
      </c>
      <c r="L189" s="213">
        <f t="shared" si="16"/>
        <v>12676.284766812394</v>
      </c>
      <c r="N189" s="215">
        <f>IF(D189&gt;1500000,Budgeting!$B$13,(IF(D189&gt;500000,Budgeting!$C$13,Budgeting!$D$13)))</f>
        <v>26.27408568212417</v>
      </c>
      <c r="O189" s="216">
        <f t="shared" si="17"/>
        <v>333057.79209423426</v>
      </c>
      <c r="P189" s="217">
        <f>IF(D189&gt;1500000,Budgeting!$B$15,(IF(D189&gt;500000,Budgeting!$C$15,Budgeting!$D$15)))</f>
        <v>7.6279603593263765</v>
      </c>
      <c r="Q189" s="218">
        <f t="shared" si="18"/>
        <v>96694.197704777747</v>
      </c>
    </row>
    <row r="190" spans="1:17">
      <c r="A190" s="222">
        <v>19</v>
      </c>
      <c r="B190" s="191" t="s">
        <v>127</v>
      </c>
      <c r="C190" s="191">
        <v>2023</v>
      </c>
      <c r="D190" s="208">
        <f>Population!H20</f>
        <v>5956152.0265239077</v>
      </c>
      <c r="E190" s="209" t="str">
        <f t="shared" si="19"/>
        <v>Large</v>
      </c>
      <c r="F190" s="208"/>
      <c r="G190" s="210">
        <f>Variables!$C$3*POWER(SUM(1,Variables!$C$2/100),C190-2017)</f>
        <v>9845.0061107531437</v>
      </c>
      <c r="H190" s="210">
        <f t="shared" si="20"/>
        <v>294.59640356597811</v>
      </c>
      <c r="I190" s="211">
        <f>VLOOKUP(B190,'Waste per capita'!$B$2:$F$48,4,FALSE)*(H190/Variables!$C$6)</f>
        <v>329.73842584430514</v>
      </c>
      <c r="J190" s="210">
        <f t="shared" si="15"/>
        <v>1963972.1933153612</v>
      </c>
      <c r="K190" s="212">
        <f>Variables!$C$13</f>
        <v>1</v>
      </c>
      <c r="L190" s="213">
        <f t="shared" si="16"/>
        <v>1963972.1933153612</v>
      </c>
      <c r="N190" s="215">
        <f>IF(D190&gt;1500000,Budgeting!$B$13,(IF(D190&gt;500000,Budgeting!$C$13,Budgeting!$D$13)))</f>
        <v>25.956254000485576</v>
      </c>
      <c r="O190" s="216">
        <f t="shared" si="17"/>
        <v>50977361.099584274</v>
      </c>
      <c r="P190" s="217">
        <f>IF(D190&gt;1500000,Budgeting!$B$15,(IF(D190&gt;500000,Budgeting!$C$15,Budgeting!$D$15)))</f>
        <v>3.7080362857836535</v>
      </c>
      <c r="Q190" s="218">
        <f t="shared" si="18"/>
        <v>7282480.1570834676</v>
      </c>
    </row>
    <row r="191" spans="1:17">
      <c r="A191" s="222">
        <v>20</v>
      </c>
      <c r="B191" s="191" t="s">
        <v>128</v>
      </c>
      <c r="C191" s="191">
        <v>2023</v>
      </c>
      <c r="D191" s="208">
        <f>Population!H21</f>
        <v>3731431.5038293982</v>
      </c>
      <c r="E191" s="209" t="str">
        <f t="shared" si="19"/>
        <v>Large</v>
      </c>
      <c r="F191" s="208"/>
      <c r="G191" s="210">
        <f>Variables!$C$3*POWER(SUM(1,Variables!$C$2/100),C191-2017)</f>
        <v>9845.0061107531437</v>
      </c>
      <c r="H191" s="210">
        <f t="shared" si="20"/>
        <v>294.59640356597811</v>
      </c>
      <c r="I191" s="211">
        <f>VLOOKUP(B191,'Waste per capita'!$B$2:$F$48,4,FALSE)*(H191/Variables!$C$6)</f>
        <v>125.02166901347519</v>
      </c>
      <c r="J191" s="210">
        <f t="shared" si="15"/>
        <v>466509.79441821302</v>
      </c>
      <c r="K191" s="212">
        <f>Variables!$C$13</f>
        <v>1</v>
      </c>
      <c r="L191" s="213">
        <f t="shared" si="16"/>
        <v>466509.79441821302</v>
      </c>
      <c r="N191" s="215">
        <f>IF(D191&gt;1500000,Budgeting!$B$13,(IF(D191&gt;500000,Budgeting!$C$13,Budgeting!$D$13)))</f>
        <v>25.956254000485576</v>
      </c>
      <c r="O191" s="216">
        <f t="shared" si="17"/>
        <v>12108846.717633445</v>
      </c>
      <c r="P191" s="217">
        <f>IF(D191&gt;1500000,Budgeting!$B$15,(IF(D191&gt;500000,Budgeting!$C$15,Budgeting!$D$15)))</f>
        <v>3.7080362857836535</v>
      </c>
      <c r="Q191" s="218">
        <f t="shared" si="18"/>
        <v>1729835.2453762065</v>
      </c>
    </row>
    <row r="192" spans="1:17">
      <c r="A192" s="222">
        <v>21</v>
      </c>
      <c r="B192" s="222" t="s">
        <v>129</v>
      </c>
      <c r="C192" s="191">
        <v>2023</v>
      </c>
      <c r="D192" s="208">
        <f>Population!H22</f>
        <v>16480700.078483514</v>
      </c>
      <c r="E192" s="209" t="str">
        <f t="shared" si="19"/>
        <v>Large</v>
      </c>
      <c r="F192" s="208"/>
      <c r="G192" s="210">
        <f>Variables!$C$3*POWER(SUM(1,Variables!$C$2/100),C192-2017)</f>
        <v>9845.0061107531437</v>
      </c>
      <c r="H192" s="210">
        <f t="shared" si="20"/>
        <v>294.59640356597811</v>
      </c>
      <c r="I192" s="211">
        <f>VLOOKUP(B192,'Waste per capita'!$B$2:$F$48,4,FALSE)*(H192/Variables!$C$6)</f>
        <v>256.02046961325203</v>
      </c>
      <c r="J192" s="210">
        <f t="shared" si="15"/>
        <v>4219396.5736485086</v>
      </c>
      <c r="K192" s="212">
        <f>Variables!$C$13</f>
        <v>1</v>
      </c>
      <c r="L192" s="213">
        <f t="shared" si="16"/>
        <v>4219396.5736485086</v>
      </c>
      <c r="N192" s="215">
        <f>IF(D192&gt;1500000,Budgeting!$B$13,(IF(D192&gt;500000,Budgeting!$C$13,Budgeting!$D$13)))</f>
        <v>25.956254000485576</v>
      </c>
      <c r="O192" s="216">
        <f t="shared" si="17"/>
        <v>109519729.19439924</v>
      </c>
      <c r="P192" s="217">
        <f>IF(D192&gt;1500000,Budgeting!$B$15,(IF(D192&gt;500000,Budgeting!$C$15,Budgeting!$D$15)))</f>
        <v>3.7080362857836535</v>
      </c>
      <c r="Q192" s="218">
        <f t="shared" si="18"/>
        <v>15645675.599199889</v>
      </c>
    </row>
    <row r="193" spans="1:17">
      <c r="A193" s="222">
        <v>22</v>
      </c>
      <c r="B193" s="191" t="s">
        <v>130</v>
      </c>
      <c r="C193" s="191">
        <v>2023</v>
      </c>
      <c r="D193" s="208">
        <f>Population!H23</f>
        <v>14615957.217689155</v>
      </c>
      <c r="E193" s="209" t="str">
        <f t="shared" si="19"/>
        <v>Large</v>
      </c>
      <c r="F193" s="208"/>
      <c r="G193" s="210">
        <f>Variables!$C$3*POWER(SUM(1,Variables!$C$2/100),C193-2017)</f>
        <v>9845.0061107531437</v>
      </c>
      <c r="H193" s="210">
        <f t="shared" si="20"/>
        <v>294.59640356597811</v>
      </c>
      <c r="I193" s="211">
        <f>VLOOKUP(B193,'Waste per capita'!$B$2:$F$48,4,FALSE)*(H193/Variables!$C$6)</f>
        <v>323.76129425800349</v>
      </c>
      <c r="J193" s="210">
        <f t="shared" si="15"/>
        <v>4732081.2256186483</v>
      </c>
      <c r="K193" s="212">
        <f>Variables!$C$13</f>
        <v>1</v>
      </c>
      <c r="L193" s="213">
        <f t="shared" si="16"/>
        <v>4732081.2256186483</v>
      </c>
      <c r="N193" s="215">
        <f>IF(D193&gt;1500000,Budgeting!$B$13,(IF(D193&gt;500000,Budgeting!$C$13,Budgeting!$D$13)))</f>
        <v>25.956254000485576</v>
      </c>
      <c r="O193" s="216">
        <f t="shared" si="17"/>
        <v>122827102.24308673</v>
      </c>
      <c r="P193" s="217">
        <f>IF(D193&gt;1500000,Budgeting!$B$15,(IF(D193&gt;500000,Budgeting!$C$15,Budgeting!$D$15)))</f>
        <v>3.7080362857836535</v>
      </c>
      <c r="Q193" s="218">
        <f t="shared" si="18"/>
        <v>17546728.89186953</v>
      </c>
    </row>
    <row r="194" spans="1:17">
      <c r="A194" s="222">
        <v>23</v>
      </c>
      <c r="B194" s="191" t="s">
        <v>131</v>
      </c>
      <c r="C194" s="191">
        <v>2023</v>
      </c>
      <c r="D194" s="208">
        <f>Population!H24</f>
        <v>53005.015606000139</v>
      </c>
      <c r="E194" s="209" t="str">
        <f t="shared" si="19"/>
        <v>Small</v>
      </c>
      <c r="F194" s="208"/>
      <c r="G194" s="210">
        <f>Variables!$C$3*POWER(SUM(1,Variables!$C$2/100),C194-2017)</f>
        <v>9845.0061107531437</v>
      </c>
      <c r="H194" s="210">
        <f t="shared" si="20"/>
        <v>294.59640356597811</v>
      </c>
      <c r="I194" s="211">
        <f>VLOOKUP(B194,'Waste per capita'!$B$2:$F$48,4,FALSE)*(H194/Variables!$C$6)</f>
        <v>306.82608809681562</v>
      </c>
      <c r="J194" s="210">
        <f t="shared" si="15"/>
        <v>16263.321587899685</v>
      </c>
      <c r="K194" s="212">
        <f>Variables!$C$13</f>
        <v>1</v>
      </c>
      <c r="L194" s="213">
        <f t="shared" si="16"/>
        <v>16263.321587899685</v>
      </c>
      <c r="N194" s="215">
        <f>IF(D194&gt;1500000,Budgeting!$B$13,(IF(D194&gt;500000,Budgeting!$C$13,Budgeting!$D$13)))</f>
        <v>26.27408568212417</v>
      </c>
      <c r="O194" s="216">
        <f t="shared" si="17"/>
        <v>427303.90487641603</v>
      </c>
      <c r="P194" s="217">
        <f>IF(D194&gt;1500000,Budgeting!$B$15,(IF(D194&gt;500000,Budgeting!$C$15,Budgeting!$D$15)))</f>
        <v>7.6279603593263765</v>
      </c>
      <c r="Q194" s="218">
        <f t="shared" si="18"/>
        <v>124055.9723834757</v>
      </c>
    </row>
    <row r="195" spans="1:17">
      <c r="A195" s="222">
        <v>24</v>
      </c>
      <c r="B195" s="191" t="s">
        <v>132</v>
      </c>
      <c r="C195" s="191">
        <v>2023</v>
      </c>
      <c r="D195" s="208">
        <f>Population!H25</f>
        <v>2230857.2205304937</v>
      </c>
      <c r="E195" s="209" t="str">
        <f t="shared" si="19"/>
        <v>Large</v>
      </c>
      <c r="F195" s="208"/>
      <c r="G195" s="210">
        <f>Variables!$C$3*POWER(SUM(1,Variables!$C$2/100),C195-2017)</f>
        <v>9845.0061107531437</v>
      </c>
      <c r="H195" s="210">
        <f t="shared" si="20"/>
        <v>294.59640356597811</v>
      </c>
      <c r="I195" s="211">
        <f>VLOOKUP(B195,'Waste per capita'!$B$2:$F$48,4,FALSE)*(H195/Variables!$C$6)</f>
        <v>210.19579411827306</v>
      </c>
      <c r="J195" s="210">
        <f t="shared" si="15"/>
        <v>468916.80503389053</v>
      </c>
      <c r="K195" s="212">
        <f>Variables!$C$13</f>
        <v>1</v>
      </c>
      <c r="L195" s="213">
        <f t="shared" si="16"/>
        <v>468916.80503389053</v>
      </c>
      <c r="N195" s="215">
        <f>IF(D195&gt;1500000,Budgeting!$B$13,(IF(D195&gt;500000,Budgeting!$C$13,Budgeting!$D$13)))</f>
        <v>25.956254000485576</v>
      </c>
      <c r="O195" s="216">
        <f t="shared" si="17"/>
        <v>12171323.696555836</v>
      </c>
      <c r="P195" s="217">
        <f>IF(D195&gt;1500000,Budgeting!$B$15,(IF(D195&gt;500000,Budgeting!$C$15,Budgeting!$D$15)))</f>
        <v>3.7080362857836535</v>
      </c>
      <c r="Q195" s="218">
        <f t="shared" si="18"/>
        <v>1738760.528079405</v>
      </c>
    </row>
    <row r="196" spans="1:17">
      <c r="A196" s="222">
        <v>25</v>
      </c>
      <c r="B196" s="191" t="s">
        <v>133</v>
      </c>
      <c r="C196" s="191">
        <v>2023</v>
      </c>
      <c r="D196" s="208">
        <f>Population!H26</f>
        <v>320243.43749180279</v>
      </c>
      <c r="E196" s="209" t="str">
        <f t="shared" si="19"/>
        <v>Medium</v>
      </c>
      <c r="F196" s="208"/>
      <c r="G196" s="210">
        <f>Variables!$C$3*POWER(SUM(1,Variables!$C$2/100),C196-2017)</f>
        <v>9845.0061107531437</v>
      </c>
      <c r="H196" s="210">
        <f t="shared" si="20"/>
        <v>294.59640356597811</v>
      </c>
      <c r="I196" s="211">
        <f>VLOOKUP(B196,'Waste per capita'!$B$2:$F$48,4,FALSE)*(H196/Variables!$C$6)</f>
        <v>335.21746313174827</v>
      </c>
      <c r="J196" s="210">
        <f t="shared" ref="J196:J243" si="21">I196*D196/1000</f>
        <v>107351.19270059274</v>
      </c>
      <c r="K196" s="212">
        <f>Variables!$C$13</f>
        <v>1</v>
      </c>
      <c r="L196" s="213">
        <f t="shared" ref="L196:L243" si="22">J196*K196</f>
        <v>107351.19270059274</v>
      </c>
      <c r="N196" s="215">
        <f>IF(D196&gt;1500000,Budgeting!$B$13,(IF(D196&gt;500000,Budgeting!$C$13,Budgeting!$D$13)))</f>
        <v>26.27408568212417</v>
      </c>
      <c r="O196" s="216">
        <f t="shared" ref="O196:O243" si="23">N196*L196</f>
        <v>2820554.4350935966</v>
      </c>
      <c r="P196" s="217">
        <f>IF(D196&gt;1500000,Budgeting!$B$15,(IF(D196&gt;500000,Budgeting!$C$15,Budgeting!$D$15)))</f>
        <v>7.6279603593263765</v>
      </c>
      <c r="Q196" s="218">
        <f t="shared" ref="Q196:Q243" si="24">P196*J196</f>
        <v>818870.64244652854</v>
      </c>
    </row>
    <row r="197" spans="1:17">
      <c r="A197" s="222">
        <v>26</v>
      </c>
      <c r="B197" s="191" t="s">
        <v>134</v>
      </c>
      <c r="C197" s="191">
        <v>2023</v>
      </c>
      <c r="D197" s="208">
        <f>Population!H27</f>
        <v>132702.61372673439</v>
      </c>
      <c r="E197" s="209" t="str">
        <f t="shared" ref="E197:E260" si="25">IF(D197&lt;100000,"Small",IF(D197&lt;1000000,"Medium","Large"))</f>
        <v>Medium</v>
      </c>
      <c r="F197" s="208"/>
      <c r="G197" s="210">
        <f>Variables!$C$3*POWER(SUM(1,Variables!$C$2/100),C197-2017)</f>
        <v>9845.0061107531437</v>
      </c>
      <c r="H197" s="210">
        <f t="shared" si="20"/>
        <v>294.59640356597811</v>
      </c>
      <c r="I197" s="211">
        <f>VLOOKUP(B197,'Waste per capita'!$B$2:$F$48,4,FALSE)*(H197/Variables!$C$6)</f>
        <v>431.84775711029079</v>
      </c>
      <c r="J197" s="210">
        <f t="shared" si="21"/>
        <v>57307.326100563536</v>
      </c>
      <c r="K197" s="212">
        <f>Variables!$C$13</f>
        <v>1</v>
      </c>
      <c r="L197" s="213">
        <f t="shared" si="22"/>
        <v>57307.326100563536</v>
      </c>
      <c r="N197" s="215">
        <f>IF(D197&gt;1500000,Budgeting!$B$13,(IF(D197&gt;500000,Budgeting!$C$13,Budgeting!$D$13)))</f>
        <v>26.27408568212417</v>
      </c>
      <c r="O197" s="216">
        <f t="shared" si="23"/>
        <v>1505697.5961796371</v>
      </c>
      <c r="P197" s="217">
        <f>IF(D197&gt;1500000,Budgeting!$B$15,(IF(D197&gt;500000,Budgeting!$C$15,Budgeting!$D$15)))</f>
        <v>7.6279603593263765</v>
      </c>
      <c r="Q197" s="218">
        <f t="shared" si="24"/>
        <v>437138.01179408847</v>
      </c>
    </row>
    <row r="198" spans="1:17">
      <c r="A198" s="222">
        <v>27</v>
      </c>
      <c r="B198" s="191" t="s">
        <v>135</v>
      </c>
      <c r="C198" s="191">
        <v>2023</v>
      </c>
      <c r="D198" s="208">
        <f>Population!H28</f>
        <v>1338381.6111606953</v>
      </c>
      <c r="E198" s="209" t="str">
        <f t="shared" si="25"/>
        <v>Large</v>
      </c>
      <c r="F198" s="208"/>
      <c r="G198" s="210">
        <f>Variables!$C$3*POWER(SUM(1,Variables!$C$2/100),C198-2017)</f>
        <v>9845.0061107531437</v>
      </c>
      <c r="H198" s="210">
        <f t="shared" si="20"/>
        <v>294.59640356597811</v>
      </c>
      <c r="I198" s="211">
        <f>VLOOKUP(B198,'Waste per capita'!$B$2:$F$48,4,FALSE)*(H198/Variables!$C$6)</f>
        <v>170.3482502095957</v>
      </c>
      <c r="J198" s="210">
        <f t="shared" si="21"/>
        <v>227990.96557392395</v>
      </c>
      <c r="K198" s="212">
        <f>Variables!$C$13</f>
        <v>1</v>
      </c>
      <c r="L198" s="213">
        <f t="shared" si="22"/>
        <v>227990.96557392395</v>
      </c>
      <c r="N198" s="215">
        <f>IF(D198&gt;1500000,Budgeting!$B$13,(IF(D198&gt;500000,Budgeting!$C$13,Budgeting!$D$13)))</f>
        <v>26.132827156951464</v>
      </c>
      <c r="O198" s="216">
        <f t="shared" si="23"/>
        <v>5958048.4966898263</v>
      </c>
      <c r="P198" s="217">
        <f>IF(D198&gt;1500000,Budgeting!$B$15,(IF(D198&gt;500000,Budgeting!$C$15,Budgeting!$D$15)))</f>
        <v>2.1188778775906578</v>
      </c>
      <c r="Q198" s="218">
        <f t="shared" si="24"/>
        <v>483085.0132451207</v>
      </c>
    </row>
    <row r="199" spans="1:17">
      <c r="A199" s="222">
        <v>28</v>
      </c>
      <c r="B199" s="191" t="s">
        <v>136</v>
      </c>
      <c r="C199" s="191">
        <v>2023</v>
      </c>
      <c r="D199" s="208">
        <f>Population!H29</f>
        <v>1421821.0982058104</v>
      </c>
      <c r="E199" s="209" t="str">
        <f t="shared" si="25"/>
        <v>Large</v>
      </c>
      <c r="F199" s="208"/>
      <c r="G199" s="210">
        <f>Variables!$C$3*POWER(SUM(1,Variables!$C$2/100),C199-2017)</f>
        <v>9845.0061107531437</v>
      </c>
      <c r="H199" s="210">
        <f t="shared" si="20"/>
        <v>294.59640356597811</v>
      </c>
      <c r="I199" s="211">
        <f>VLOOKUP(B199,'Waste per capita'!$B$2:$F$48,4,FALSE)*(H199/Variables!$C$6)</f>
        <v>141.95687517466305</v>
      </c>
      <c r="J199" s="210">
        <f t="shared" si="21"/>
        <v>201837.28015870458</v>
      </c>
      <c r="K199" s="212">
        <f>Variables!$C$13</f>
        <v>1</v>
      </c>
      <c r="L199" s="213">
        <f t="shared" si="22"/>
        <v>201837.28015870458</v>
      </c>
      <c r="N199" s="215">
        <f>IF(D199&gt;1500000,Budgeting!$B$13,(IF(D199&gt;500000,Budgeting!$C$13,Budgeting!$D$13)))</f>
        <v>26.132827156951464</v>
      </c>
      <c r="O199" s="216">
        <f t="shared" si="23"/>
        <v>5274578.7562166164</v>
      </c>
      <c r="P199" s="217">
        <f>IF(D199&gt;1500000,Budgeting!$B$15,(IF(D199&gt;500000,Budgeting!$C$15,Budgeting!$D$15)))</f>
        <v>2.1188778775906578</v>
      </c>
      <c r="Q199" s="218">
        <f t="shared" si="24"/>
        <v>427668.54780134698</v>
      </c>
    </row>
    <row r="200" spans="1:17">
      <c r="A200" s="222">
        <v>29</v>
      </c>
      <c r="B200" s="191" t="s">
        <v>137</v>
      </c>
      <c r="C200" s="191">
        <v>2023</v>
      </c>
      <c r="D200" s="208">
        <f>Population!H30</f>
        <v>189715.75530978819</v>
      </c>
      <c r="E200" s="209" t="str">
        <f t="shared" si="25"/>
        <v>Medium</v>
      </c>
      <c r="F200" s="208"/>
      <c r="G200" s="210">
        <f>Variables!$C$3*POWER(SUM(1,Variables!$C$2/100),C200-2017)</f>
        <v>9845.0061107531437</v>
      </c>
      <c r="H200" s="210">
        <f t="shared" si="20"/>
        <v>294.59640356597811</v>
      </c>
      <c r="I200" s="211">
        <f>VLOOKUP(B200,'Waste per capita'!$B$2:$F$48,4,FALSE)*(H200/Variables!$C$6)</f>
        <v>193.26058795708516</v>
      </c>
      <c r="J200" s="210">
        <f t="shared" si="21"/>
        <v>36664.578415892167</v>
      </c>
      <c r="K200" s="212">
        <f>Variables!$C$13</f>
        <v>1</v>
      </c>
      <c r="L200" s="213">
        <f t="shared" si="22"/>
        <v>36664.578415892167</v>
      </c>
      <c r="N200" s="215">
        <f>IF(D200&gt;1500000,Budgeting!$B$13,(IF(D200&gt;500000,Budgeting!$C$13,Budgeting!$D$13)))</f>
        <v>26.27408568212417</v>
      </c>
      <c r="O200" s="216">
        <f t="shared" si="23"/>
        <v>963328.27479811129</v>
      </c>
      <c r="P200" s="217">
        <f>IF(D200&gt;1500000,Budgeting!$B$15,(IF(D200&gt;500000,Budgeting!$C$15,Budgeting!$D$15)))</f>
        <v>7.6279603593263765</v>
      </c>
      <c r="Q200" s="218">
        <f t="shared" si="24"/>
        <v>279675.95074783894</v>
      </c>
    </row>
    <row r="201" spans="1:17">
      <c r="A201" s="222">
        <v>30</v>
      </c>
      <c r="B201" s="191" t="s">
        <v>138</v>
      </c>
      <c r="C201" s="191">
        <v>2023</v>
      </c>
      <c r="D201" s="208">
        <f>Population!H31</f>
        <v>130158.12925815539</v>
      </c>
      <c r="E201" s="209" t="str">
        <f t="shared" si="25"/>
        <v>Medium</v>
      </c>
      <c r="F201" s="208"/>
      <c r="G201" s="210">
        <f>Variables!$C$3*POWER(SUM(1,Variables!$C$2/100),C201-2017)</f>
        <v>9845.0061107531437</v>
      </c>
      <c r="H201" s="210">
        <f t="shared" si="20"/>
        <v>294.59640356597811</v>
      </c>
      <c r="I201" s="211">
        <f>VLOOKUP(B201,'Waste per capita'!$B$2:$F$48,4,FALSE)*(H201/Variables!$C$6)</f>
        <v>181.80441908334043</v>
      </c>
      <c r="J201" s="210">
        <f t="shared" si="21"/>
        <v>23663.323078753278</v>
      </c>
      <c r="K201" s="212">
        <f>Variables!$C$13</f>
        <v>1</v>
      </c>
      <c r="L201" s="213">
        <f t="shared" si="22"/>
        <v>23663.323078753278</v>
      </c>
      <c r="N201" s="215">
        <f>IF(D201&gt;1500000,Budgeting!$B$13,(IF(D201&gt;500000,Budgeting!$C$13,Budgeting!$D$13)))</f>
        <v>26.27408568212417</v>
      </c>
      <c r="O201" s="216">
        <f t="shared" si="23"/>
        <v>621732.17809494992</v>
      </c>
      <c r="P201" s="217">
        <f>IF(D201&gt;1500000,Budgeting!$B$15,(IF(D201&gt;500000,Budgeting!$C$15,Budgeting!$D$15)))</f>
        <v>7.6279603593263765</v>
      </c>
      <c r="Q201" s="218">
        <f t="shared" si="24"/>
        <v>180502.89041466298</v>
      </c>
    </row>
    <row r="202" spans="1:17">
      <c r="A202" s="247">
        <v>31</v>
      </c>
      <c r="B202" s="230" t="s">
        <v>139</v>
      </c>
      <c r="C202" s="230">
        <v>2023</v>
      </c>
      <c r="D202" s="208">
        <f>Population!H32</f>
        <v>224616.65133404033</v>
      </c>
      <c r="E202" s="209" t="str">
        <f t="shared" si="25"/>
        <v>Medium</v>
      </c>
      <c r="F202" s="208"/>
      <c r="G202" s="210">
        <f>Variables!$C$3*POWER(SUM(1,Variables!$C$2/100),C202-2017)</f>
        <v>9845.0061107531437</v>
      </c>
      <c r="H202" s="210">
        <f t="shared" si="20"/>
        <v>294.59640356597811</v>
      </c>
      <c r="I202" s="211">
        <f>VLOOKUP(B202,'Waste per capita'!$B$2:$F$48,4,FALSE)*(H202/Variables!$C$6)</f>
        <v>202.15987276335645</v>
      </c>
      <c r="J202" s="210">
        <f t="shared" si="21"/>
        <v>45408.47365422079</v>
      </c>
      <c r="K202" s="212">
        <f>Variables!$C$13</f>
        <v>1</v>
      </c>
      <c r="L202" s="213">
        <f t="shared" si="22"/>
        <v>45408.47365422079</v>
      </c>
      <c r="N202" s="215">
        <f>IF(D202&gt;1500000,Budgeting!$B$13,(IF(D202&gt;500000,Budgeting!$C$13,Budgeting!$D$13)))</f>
        <v>26.27408568212417</v>
      </c>
      <c r="O202" s="216">
        <f t="shared" si="23"/>
        <v>1193066.127485475</v>
      </c>
      <c r="P202" s="217">
        <f>IF(D202&gt;1500000,Budgeting!$B$15,(IF(D202&gt;500000,Budgeting!$C$15,Budgeting!$D$15)))</f>
        <v>7.6279603593263765</v>
      </c>
      <c r="Q202" s="218">
        <f t="shared" si="24"/>
        <v>346374.03701191233</v>
      </c>
    </row>
    <row r="203" spans="1:17">
      <c r="A203" s="222">
        <v>32</v>
      </c>
      <c r="B203" s="191" t="s">
        <v>140</v>
      </c>
      <c r="C203" s="191">
        <v>2023</v>
      </c>
      <c r="D203" s="208">
        <f>Population!H33</f>
        <v>1563738.6929049052</v>
      </c>
      <c r="E203" s="209" t="str">
        <f t="shared" si="25"/>
        <v>Large</v>
      </c>
      <c r="F203" s="208"/>
      <c r="G203" s="210">
        <f>Variables!$C$3*POWER(SUM(1,Variables!$C$2/100),C203-2017)</f>
        <v>9845.0061107531437</v>
      </c>
      <c r="H203" s="210">
        <f t="shared" si="20"/>
        <v>294.59640356597811</v>
      </c>
      <c r="I203" s="211">
        <f>VLOOKUP(B203,'Waste per capita'!$B$2:$F$48,4,FALSE)*(H203/Variables!$C$6)</f>
        <v>272.9556757744399</v>
      </c>
      <c r="J203" s="210">
        <f t="shared" si="21"/>
        <v>426831.35165649769</v>
      </c>
      <c r="K203" s="212">
        <f>Variables!$C$13</f>
        <v>1</v>
      </c>
      <c r="L203" s="213">
        <f t="shared" si="22"/>
        <v>426831.35165649769</v>
      </c>
      <c r="N203" s="215">
        <f>IF(D203&gt;1500000,Budgeting!$B$13,(IF(D203&gt;500000,Budgeting!$C$13,Budgeting!$D$13)))</f>
        <v>25.956254000485576</v>
      </c>
      <c r="O203" s="216">
        <f t="shared" si="23"/>
        <v>11078942.978966633</v>
      </c>
      <c r="P203" s="217">
        <f>IF(D203&gt;1500000,Budgeting!$B$15,(IF(D203&gt;500000,Budgeting!$C$15,Budgeting!$D$15)))</f>
        <v>3.7080362857836535</v>
      </c>
      <c r="Q203" s="218">
        <f t="shared" si="24"/>
        <v>1582706.1398523762</v>
      </c>
    </row>
    <row r="204" spans="1:17">
      <c r="A204" s="222">
        <v>33</v>
      </c>
      <c r="B204" s="191" t="s">
        <v>141</v>
      </c>
      <c r="C204" s="191">
        <v>2023</v>
      </c>
      <c r="D204" s="208">
        <f>Population!H34</f>
        <v>985065.1738271697</v>
      </c>
      <c r="E204" s="209" t="str">
        <f t="shared" si="25"/>
        <v>Medium</v>
      </c>
      <c r="F204" s="208"/>
      <c r="G204" s="210">
        <f>Variables!$C$3*POWER(SUM(1,Variables!$C$2/100),C204-2017)</f>
        <v>9845.0061107531437</v>
      </c>
      <c r="H204" s="210">
        <f t="shared" si="20"/>
        <v>294.59640356597811</v>
      </c>
      <c r="I204" s="211">
        <f>VLOOKUP(B204,'Waste per capita'!$B$2:$F$48,4,FALSE)*(H204/Variables!$C$6)</f>
        <v>130.50070630091835</v>
      </c>
      <c r="J204" s="210">
        <f t="shared" si="21"/>
        <v>128551.70093688255</v>
      </c>
      <c r="K204" s="212">
        <f>Variables!$C$13</f>
        <v>1</v>
      </c>
      <c r="L204" s="213">
        <f t="shared" si="22"/>
        <v>128551.70093688255</v>
      </c>
      <c r="N204" s="215">
        <f>IF(D204&gt;1500000,Budgeting!$B$13,(IF(D204&gt;500000,Budgeting!$C$13,Budgeting!$D$13)))</f>
        <v>26.132827156951464</v>
      </c>
      <c r="O204" s="216">
        <f t="shared" si="23"/>
        <v>3359419.3813156672</v>
      </c>
      <c r="P204" s="217">
        <f>IF(D204&gt;1500000,Budgeting!$B$15,(IF(D204&gt;500000,Budgeting!$C$15,Budgeting!$D$15)))</f>
        <v>2.1188778775906578</v>
      </c>
      <c r="Q204" s="218">
        <f t="shared" si="24"/>
        <v>272385.35524181067</v>
      </c>
    </row>
    <row r="205" spans="1:17">
      <c r="A205" s="222">
        <v>34</v>
      </c>
      <c r="B205" s="191" t="s">
        <v>142</v>
      </c>
      <c r="C205" s="191">
        <v>2023</v>
      </c>
      <c r="D205" s="208">
        <f>Population!H35</f>
        <v>569845.3103410987</v>
      </c>
      <c r="E205" s="209" t="str">
        <f t="shared" si="25"/>
        <v>Medium</v>
      </c>
      <c r="F205" s="208"/>
      <c r="G205" s="210">
        <f>Variables!$C$3*POWER(SUM(1,Variables!$C$2/100),C205-2017)</f>
        <v>9845.0061107531437</v>
      </c>
      <c r="H205" s="210">
        <f t="shared" si="20"/>
        <v>294.59640356597811</v>
      </c>
      <c r="I205" s="211">
        <f>VLOOKUP(B205,'Waste per capita'!$B$2:$F$48,4,FALSE)*(H205/Variables!$C$6)</f>
        <v>234.10432046347944</v>
      </c>
      <c r="J205" s="210">
        <f t="shared" si="21"/>
        <v>133403.24914670346</v>
      </c>
      <c r="K205" s="212">
        <f>Variables!$C$13</f>
        <v>1</v>
      </c>
      <c r="L205" s="213">
        <f t="shared" si="22"/>
        <v>133403.24914670346</v>
      </c>
      <c r="N205" s="215">
        <f>IF(D205&gt;1500000,Budgeting!$B$13,(IF(D205&gt;500000,Budgeting!$C$13,Budgeting!$D$13)))</f>
        <v>26.132827156951464</v>
      </c>
      <c r="O205" s="216">
        <f t="shared" si="23"/>
        <v>3486204.0521265343</v>
      </c>
      <c r="P205" s="217">
        <f>IF(D205&gt;1500000,Budgeting!$B$15,(IF(D205&gt;500000,Budgeting!$C$15,Budgeting!$D$15)))</f>
        <v>2.1188778775906578</v>
      </c>
      <c r="Q205" s="218">
        <f t="shared" si="24"/>
        <v>282665.19341566478</v>
      </c>
    </row>
    <row r="206" spans="1:17">
      <c r="A206" s="222">
        <v>35</v>
      </c>
      <c r="B206" s="191" t="s">
        <v>143</v>
      </c>
      <c r="C206" s="191">
        <v>2023</v>
      </c>
      <c r="D206" s="208">
        <f>Population!H36</f>
        <v>242768.45516402824</v>
      </c>
      <c r="E206" s="209" t="str">
        <f t="shared" si="25"/>
        <v>Medium</v>
      </c>
      <c r="F206" s="208"/>
      <c r="G206" s="210">
        <f>Variables!$C$3*POWER(SUM(1,Variables!$C$2/100),C206-2017)</f>
        <v>9845.0061107531437</v>
      </c>
      <c r="H206" s="210">
        <f t="shared" si="20"/>
        <v>294.59640356597811</v>
      </c>
      <c r="I206" s="211">
        <f>VLOOKUP(B206,'Waste per capita'!$B$2:$F$48,4,FALSE)*(H206/Variables!$C$6)</f>
        <v>200.23390814110371</v>
      </c>
      <c r="J206" s="210">
        <f t="shared" si="21"/>
        <v>48610.476550871688</v>
      </c>
      <c r="K206" s="212">
        <f>Variables!$C$13</f>
        <v>1</v>
      </c>
      <c r="L206" s="213">
        <f t="shared" si="22"/>
        <v>48610.476550871688</v>
      </c>
      <c r="N206" s="215">
        <f>IF(D206&gt;1500000,Budgeting!$B$13,(IF(D206&gt;500000,Budgeting!$C$13,Budgeting!$D$13)))</f>
        <v>26.27408568212417</v>
      </c>
      <c r="O206" s="216">
        <f t="shared" si="23"/>
        <v>1277195.8259464905</v>
      </c>
      <c r="P206" s="217">
        <f>IF(D206&gt;1500000,Budgeting!$B$15,(IF(D206&gt;500000,Budgeting!$C$15,Budgeting!$D$15)))</f>
        <v>7.6279603593263765</v>
      </c>
      <c r="Q206" s="218">
        <f t="shared" si="24"/>
        <v>370798.78817801358</v>
      </c>
    </row>
    <row r="207" spans="1:17">
      <c r="A207" s="222">
        <v>36</v>
      </c>
      <c r="B207" s="191" t="s">
        <v>144</v>
      </c>
      <c r="C207" s="191">
        <v>2023</v>
      </c>
      <c r="D207" s="208">
        <f>Population!H37</f>
        <v>1556514.5292965604</v>
      </c>
      <c r="E207" s="209" t="str">
        <f t="shared" si="25"/>
        <v>Large</v>
      </c>
      <c r="F207" s="208"/>
      <c r="G207" s="210">
        <f>Variables!$C$3*POWER(SUM(1,Variables!$C$2/100),C207-2017)</f>
        <v>9845.0061107531437</v>
      </c>
      <c r="H207" s="210">
        <f t="shared" si="20"/>
        <v>294.59640356597811</v>
      </c>
      <c r="I207" s="211">
        <f>VLOOKUP(B207,'Waste per capita'!$B$2:$F$48,4,FALSE)*(H207/Variables!$C$6)</f>
        <v>283.91375034932611</v>
      </c>
      <c r="J207" s="210">
        <f t="shared" si="21"/>
        <v>441915.87748580246</v>
      </c>
      <c r="K207" s="212">
        <f>Variables!$C$13</f>
        <v>1</v>
      </c>
      <c r="L207" s="213">
        <f t="shared" si="22"/>
        <v>441915.87748580246</v>
      </c>
      <c r="N207" s="215">
        <f>IF(D207&gt;1500000,Budgeting!$B$13,(IF(D207&gt;500000,Budgeting!$C$13,Budgeting!$D$13)))</f>
        <v>25.956254000485576</v>
      </c>
      <c r="O207" s="216">
        <f t="shared" si="23"/>
        <v>11470480.762868954</v>
      </c>
      <c r="P207" s="217">
        <f>IF(D207&gt;1500000,Budgeting!$B$15,(IF(D207&gt;500000,Budgeting!$C$15,Budgeting!$D$15)))</f>
        <v>3.7080362857836535</v>
      </c>
      <c r="Q207" s="218">
        <f t="shared" si="24"/>
        <v>1638640.108981279</v>
      </c>
    </row>
    <row r="208" spans="1:17">
      <c r="A208" s="222">
        <v>37</v>
      </c>
      <c r="B208" s="191" t="s">
        <v>145</v>
      </c>
      <c r="C208" s="191">
        <v>2023</v>
      </c>
      <c r="D208" s="208">
        <f>Population!H38</f>
        <v>259689.74047693654</v>
      </c>
      <c r="E208" s="209" t="str">
        <f t="shared" si="25"/>
        <v>Medium</v>
      </c>
      <c r="F208" s="208"/>
      <c r="G208" s="210">
        <f>Variables!$C$3*POWER(SUM(1,Variables!$C$2/100),C208-2017)</f>
        <v>9845.0061107531437</v>
      </c>
      <c r="H208" s="210">
        <f t="shared" si="20"/>
        <v>294.59640356597811</v>
      </c>
      <c r="I208" s="211">
        <f>VLOOKUP(B208,'Waste per capita'!$B$2:$F$48,4,FALSE)*(H208/Variables!$C$6)</f>
        <v>200.23390814110371</v>
      </c>
      <c r="J208" s="210">
        <f t="shared" si="21"/>
        <v>51998.691639845973</v>
      </c>
      <c r="K208" s="212">
        <f>Variables!$C$13</f>
        <v>1</v>
      </c>
      <c r="L208" s="213">
        <f t="shared" si="22"/>
        <v>51998.691639845973</v>
      </c>
      <c r="N208" s="215">
        <f>IF(D208&gt;1500000,Budgeting!$B$13,(IF(D208&gt;500000,Budgeting!$C$13,Budgeting!$D$13)))</f>
        <v>26.27408568212417</v>
      </c>
      <c r="O208" s="216">
        <f t="shared" si="23"/>
        <v>1366218.0795036668</v>
      </c>
      <c r="P208" s="217">
        <f>IF(D208&gt;1500000,Budgeting!$B$15,(IF(D208&gt;500000,Budgeting!$C$15,Budgeting!$D$15)))</f>
        <v>7.6279603593263765</v>
      </c>
      <c r="Q208" s="218">
        <f t="shared" si="24"/>
        <v>396643.95856558095</v>
      </c>
    </row>
    <row r="209" spans="1:17">
      <c r="A209" s="222">
        <v>38</v>
      </c>
      <c r="B209" s="191" t="s">
        <v>146</v>
      </c>
      <c r="C209" s="191">
        <v>2023</v>
      </c>
      <c r="D209" s="208">
        <f>Population!H39</f>
        <v>1142032.4470957567</v>
      </c>
      <c r="E209" s="209" t="str">
        <f t="shared" si="25"/>
        <v>Large</v>
      </c>
      <c r="F209" s="208"/>
      <c r="G209" s="210">
        <f>Variables!$C$3*POWER(SUM(1,Variables!$C$2/100),C209-2017)</f>
        <v>9845.0061107531437</v>
      </c>
      <c r="H209" s="210">
        <f t="shared" si="20"/>
        <v>294.59640356597811</v>
      </c>
      <c r="I209" s="211">
        <f>VLOOKUP(B209,'Waste per capita'!$B$2:$F$48,4,FALSE)*(H209/Variables!$C$6)</f>
        <v>280.16098508395413</v>
      </c>
      <c r="J209" s="210">
        <f t="shared" si="21"/>
        <v>319952.93537618587</v>
      </c>
      <c r="K209" s="212">
        <f>Variables!$C$13</f>
        <v>1</v>
      </c>
      <c r="L209" s="213">
        <f t="shared" si="22"/>
        <v>319952.93537618587</v>
      </c>
      <c r="N209" s="215">
        <f>IF(D209&gt;1500000,Budgeting!$B$13,(IF(D209&gt;500000,Budgeting!$C$13,Budgeting!$D$13)))</f>
        <v>26.132827156951464</v>
      </c>
      <c r="O209" s="216">
        <f t="shared" si="23"/>
        <v>8361274.7585451268</v>
      </c>
      <c r="P209" s="217">
        <f>IF(D209&gt;1500000,Budgeting!$B$15,(IF(D209&gt;500000,Budgeting!$C$15,Budgeting!$D$15)))</f>
        <v>2.1188778775906578</v>
      </c>
      <c r="Q209" s="218">
        <f t="shared" si="24"/>
        <v>677941.19663879357</v>
      </c>
    </row>
    <row r="210" spans="1:17">
      <c r="A210" s="222">
        <v>39</v>
      </c>
      <c r="B210" s="191" t="s">
        <v>147</v>
      </c>
      <c r="C210" s="191">
        <v>2023</v>
      </c>
      <c r="D210" s="208">
        <f>Population!H40</f>
        <v>94017.4427796659</v>
      </c>
      <c r="E210" s="209" t="str">
        <f t="shared" si="25"/>
        <v>Small</v>
      </c>
      <c r="F210" s="208"/>
      <c r="G210" s="210">
        <f>Variables!$C$3*POWER(SUM(1,Variables!$C$2/100),C210-2017)</f>
        <v>9845.0061107531437</v>
      </c>
      <c r="H210" s="210">
        <f t="shared" si="20"/>
        <v>294.59640356597811</v>
      </c>
      <c r="I210" s="211">
        <f>VLOOKUP(B210,'Waste per capita'!$B$2:$F$48,4,FALSE)*(H210/Variables!$C$6)</f>
        <v>227.31352113554945</v>
      </c>
      <c r="J210" s="210">
        <f t="shared" si="21"/>
        <v>21371.435966405894</v>
      </c>
      <c r="K210" s="212">
        <f>Variables!$C$13</f>
        <v>1</v>
      </c>
      <c r="L210" s="213">
        <f t="shared" si="22"/>
        <v>21371.435966405894</v>
      </c>
      <c r="N210" s="215">
        <f>IF(D210&gt;1500000,Budgeting!$B$13,(IF(D210&gt;500000,Budgeting!$C$13,Budgeting!$D$13)))</f>
        <v>26.27408568212417</v>
      </c>
      <c r="O210" s="216">
        <f t="shared" si="23"/>
        <v>561514.93973137857</v>
      </c>
      <c r="P210" s="217">
        <f>IF(D210&gt;1500000,Budgeting!$B$15,(IF(D210&gt;500000,Budgeting!$C$15,Budgeting!$D$15)))</f>
        <v>7.6279603593263765</v>
      </c>
      <c r="Q210" s="218">
        <f t="shared" si="24"/>
        <v>163020.46637362614</v>
      </c>
    </row>
    <row r="211" spans="1:17">
      <c r="A211" s="222">
        <v>40</v>
      </c>
      <c r="B211" s="191" t="s">
        <v>148</v>
      </c>
      <c r="C211" s="191">
        <v>2023</v>
      </c>
      <c r="D211" s="208">
        <f>Population!H41</f>
        <v>167869.74680365931</v>
      </c>
      <c r="E211" s="209" t="str">
        <f t="shared" si="25"/>
        <v>Medium</v>
      </c>
      <c r="F211" s="208"/>
      <c r="G211" s="210">
        <f>Variables!$C$3*POWER(SUM(1,Variables!$C$2/100),C211-2017)</f>
        <v>9845.0061107531437</v>
      </c>
      <c r="H211" s="210">
        <f t="shared" si="20"/>
        <v>294.59640356597811</v>
      </c>
      <c r="I211" s="211">
        <f>VLOOKUP(B211,'Waste per capita'!$B$2:$F$48,4,FALSE)*(H211/Variables!$C$6)</f>
        <v>202.15987276335645</v>
      </c>
      <c r="J211" s="210">
        <f t="shared" si="21"/>
        <v>33936.526654644629</v>
      </c>
      <c r="K211" s="212">
        <f>Variables!$C$13</f>
        <v>1</v>
      </c>
      <c r="L211" s="213">
        <f t="shared" si="22"/>
        <v>33936.526654644629</v>
      </c>
      <c r="N211" s="215">
        <f>IF(D211&gt;1500000,Budgeting!$B$13,(IF(D211&gt;500000,Budgeting!$C$13,Budgeting!$D$13)))</f>
        <v>26.27408568212417</v>
      </c>
      <c r="O211" s="216">
        <f t="shared" si="23"/>
        <v>891651.20907782367</v>
      </c>
      <c r="P211" s="217">
        <f>IF(D211&gt;1500000,Budgeting!$B$15,(IF(D211&gt;500000,Budgeting!$C$15,Budgeting!$D$15)))</f>
        <v>7.6279603593263765</v>
      </c>
      <c r="Q211" s="218">
        <f t="shared" si="24"/>
        <v>258866.4800548522</v>
      </c>
    </row>
    <row r="212" spans="1:17">
      <c r="A212" s="222">
        <v>41</v>
      </c>
      <c r="B212" s="191" t="s">
        <v>149</v>
      </c>
      <c r="C212" s="191">
        <v>2023</v>
      </c>
      <c r="D212" s="208">
        <f>Population!H42</f>
        <v>80798.30951760523</v>
      </c>
      <c r="E212" s="209" t="str">
        <f t="shared" si="25"/>
        <v>Small</v>
      </c>
      <c r="F212" s="208"/>
      <c r="G212" s="210">
        <f>Variables!$C$3*POWER(SUM(1,Variables!$C$2/100),C212-2017)</f>
        <v>9845.0061107531437</v>
      </c>
      <c r="H212" s="210">
        <f t="shared" si="20"/>
        <v>294.59640356597811</v>
      </c>
      <c r="I212" s="211">
        <f>VLOOKUP(B212,'Waste per capita'!$B$2:$F$48,4,FALSE)*(H212/Variables!$C$6)</f>
        <v>227.31352113554945</v>
      </c>
      <c r="J212" s="210">
        <f t="shared" si="21"/>
        <v>18366.548238246825</v>
      </c>
      <c r="K212" s="212">
        <f>Variables!$C$13</f>
        <v>1</v>
      </c>
      <c r="L212" s="213">
        <f t="shared" si="22"/>
        <v>18366.548238246825</v>
      </c>
      <c r="N212" s="215">
        <f>IF(D212&gt;1500000,Budgeting!$B$13,(IF(D212&gt;500000,Budgeting!$C$13,Budgeting!$D$13)))</f>
        <v>26.27408568212417</v>
      </c>
      <c r="O212" s="216">
        <f t="shared" si="23"/>
        <v>482564.26209656382</v>
      </c>
      <c r="P212" s="217">
        <f>IF(D212&gt;1500000,Budgeting!$B$15,(IF(D212&gt;500000,Budgeting!$C$15,Budgeting!$D$15)))</f>
        <v>7.6279603593263765</v>
      </c>
      <c r="Q212" s="218">
        <f t="shared" si="24"/>
        <v>140099.30189900249</v>
      </c>
    </row>
    <row r="213" spans="1:17">
      <c r="A213" s="222">
        <v>42</v>
      </c>
      <c r="B213" s="191" t="s">
        <v>150</v>
      </c>
      <c r="C213" s="191">
        <v>2023</v>
      </c>
      <c r="D213" s="208">
        <f>Population!H43</f>
        <v>100057.44755671966</v>
      </c>
      <c r="E213" s="209" t="str">
        <f t="shared" si="25"/>
        <v>Medium</v>
      </c>
      <c r="F213" s="208"/>
      <c r="G213" s="210">
        <f>Variables!$C$3*POWER(SUM(1,Variables!$C$2/100),C213-2017)</f>
        <v>9845.0061107531437</v>
      </c>
      <c r="H213" s="210">
        <f t="shared" si="20"/>
        <v>294.59640356597811</v>
      </c>
      <c r="I213" s="211">
        <f>VLOOKUP(B213,'Waste per capita'!$B$2:$F$48,4,FALSE)*(H213/Variables!$C$6)</f>
        <v>227.31352113554945</v>
      </c>
      <c r="J213" s="210">
        <f t="shared" si="21"/>
        <v>22744.410719953525</v>
      </c>
      <c r="K213" s="212">
        <f>Variables!$C$13</f>
        <v>1</v>
      </c>
      <c r="L213" s="213">
        <f t="shared" si="22"/>
        <v>22744.410719953525</v>
      </c>
      <c r="N213" s="215">
        <f>IF(D213&gt;1500000,Budgeting!$B$13,(IF(D213&gt;500000,Budgeting!$C$13,Budgeting!$D$13)))</f>
        <v>26.27408568212417</v>
      </c>
      <c r="O213" s="216">
        <f t="shared" si="23"/>
        <v>597588.59604548244</v>
      </c>
      <c r="P213" s="217">
        <f>IF(D213&gt;1500000,Budgeting!$B$15,(IF(D213&gt;500000,Budgeting!$C$15,Budgeting!$D$15)))</f>
        <v>7.6279603593263765</v>
      </c>
      <c r="Q213" s="218">
        <f t="shared" si="24"/>
        <v>173493.46336804339</v>
      </c>
    </row>
    <row r="214" spans="1:17">
      <c r="A214" s="222">
        <v>1</v>
      </c>
      <c r="B214" s="191" t="s">
        <v>109</v>
      </c>
      <c r="C214" s="191">
        <v>2024</v>
      </c>
      <c r="D214" s="208">
        <f>Population!I2</f>
        <v>542387.25629814435</v>
      </c>
      <c r="E214" s="209" t="str">
        <f t="shared" si="25"/>
        <v>Medium</v>
      </c>
      <c r="F214" s="208"/>
      <c r="G214" s="210">
        <f>Variables!$C$3*POWER(SUM(1,Variables!$C$2/100),C214-2017)</f>
        <v>10545.970545838765</v>
      </c>
      <c r="H214" s="210">
        <f t="shared" si="20"/>
        <v>303.22791481381046</v>
      </c>
      <c r="I214" s="211">
        <f>VLOOKUP(B214,'Waste per capita'!$B$2:$F$48,4,FALSE)*(H214/Variables!$C$6)</f>
        <v>233.78581262581906</v>
      </c>
      <c r="J214" s="210">
        <f t="shared" si="21"/>
        <v>126802.44547155008</v>
      </c>
      <c r="K214" s="212">
        <f>Variables!$C$13</f>
        <v>1</v>
      </c>
      <c r="L214" s="213">
        <f t="shared" si="22"/>
        <v>126802.44547155008</v>
      </c>
      <c r="N214" s="215">
        <f>IF(D214&gt;1500000,Budgeting!$B$13,(IF(D214&gt;500000,Budgeting!$C$13,Budgeting!$D$13)))</f>
        <v>26.132827156951464</v>
      </c>
      <c r="O214" s="216">
        <f t="shared" si="23"/>
        <v>3313706.3905867808</v>
      </c>
      <c r="P214" s="217">
        <f>IF(D214&gt;1500000,Budgeting!$B$15,(IF(D214&gt;500000,Budgeting!$C$15,Budgeting!$D$15)))</f>
        <v>2.1188778775906578</v>
      </c>
      <c r="Q214" s="218">
        <f t="shared" si="24"/>
        <v>268678.89653406315</v>
      </c>
    </row>
    <row r="215" spans="1:17">
      <c r="A215" s="222">
        <v>2</v>
      </c>
      <c r="B215" s="191" t="s">
        <v>110</v>
      </c>
      <c r="C215" s="191">
        <v>2024</v>
      </c>
      <c r="D215" s="208">
        <f>Population!I3</f>
        <v>397858.76939724683</v>
      </c>
      <c r="E215" s="209" t="str">
        <f t="shared" si="25"/>
        <v>Medium</v>
      </c>
      <c r="F215" s="208"/>
      <c r="G215" s="210">
        <f>Variables!$C$3*POWER(SUM(1,Variables!$C$2/100),C215-2017)</f>
        <v>10545.970545838765</v>
      </c>
      <c r="H215" s="210">
        <f t="shared" si="20"/>
        <v>303.22791481381046</v>
      </c>
      <c r="I215" s="211">
        <f>VLOOKUP(B215,'Waste per capita'!$B$2:$F$48,4,FALSE)*(H215/Variables!$C$6)</f>
        <v>146.11613289113691</v>
      </c>
      <c r="J215" s="210">
        <f t="shared" si="21"/>
        <v>58133.584821152312</v>
      </c>
      <c r="K215" s="212">
        <f>Variables!$C$13</f>
        <v>1</v>
      </c>
      <c r="L215" s="213">
        <f t="shared" si="22"/>
        <v>58133.584821152312</v>
      </c>
      <c r="N215" s="215">
        <f>IF(D215&gt;1500000,Budgeting!$B$13,(IF(D215&gt;500000,Budgeting!$C$13,Budgeting!$D$13)))</f>
        <v>26.27408568212417</v>
      </c>
      <c r="O215" s="216">
        <f t="shared" si="23"/>
        <v>1527406.7885999889</v>
      </c>
      <c r="P215" s="217">
        <f>IF(D215&gt;1500000,Budgeting!$B$15,(IF(D215&gt;500000,Budgeting!$C$15,Budgeting!$D$15)))</f>
        <v>7.6279603593263765</v>
      </c>
      <c r="Q215" s="218">
        <f t="shared" si="24"/>
        <v>443440.68056128739</v>
      </c>
    </row>
    <row r="216" spans="1:17">
      <c r="A216" s="222">
        <v>3</v>
      </c>
      <c r="B216" s="191" t="s">
        <v>111</v>
      </c>
      <c r="C216" s="191">
        <v>2024</v>
      </c>
      <c r="D216" s="208">
        <f>Population!I4</f>
        <v>11449239.798410101</v>
      </c>
      <c r="E216" s="209" t="str">
        <f t="shared" si="25"/>
        <v>Large</v>
      </c>
      <c r="F216" s="208"/>
      <c r="G216" s="210">
        <f>Variables!$C$3*POWER(SUM(1,Variables!$C$2/100),C216-2017)</f>
        <v>10545.970545838765</v>
      </c>
      <c r="H216" s="210">
        <f t="shared" si="20"/>
        <v>303.22791481381046</v>
      </c>
      <c r="I216" s="211">
        <f>VLOOKUP(B216,'Waste per capita'!$B$2:$F$48,4,FALSE)*(H216/Variables!$C$6)</f>
        <v>377.84416964879432</v>
      </c>
      <c r="J216" s="210">
        <f t="shared" si="21"/>
        <v>4326028.5047401935</v>
      </c>
      <c r="K216" s="212">
        <f>Variables!$C$13</f>
        <v>1</v>
      </c>
      <c r="L216" s="213">
        <f t="shared" si="22"/>
        <v>4326028.5047401935</v>
      </c>
      <c r="N216" s="215">
        <f>IF(D216&gt;1500000,Budgeting!$B$13,(IF(D216&gt;500000,Budgeting!$C$13,Budgeting!$D$13)))</f>
        <v>25.956254000485576</v>
      </c>
      <c r="O216" s="216">
        <f t="shared" si="23"/>
        <v>112287494.68237728</v>
      </c>
      <c r="P216" s="217">
        <f>IF(D216&gt;1500000,Budgeting!$B$15,(IF(D216&gt;500000,Budgeting!$C$15,Budgeting!$D$15)))</f>
        <v>3.7080362857836535</v>
      </c>
      <c r="Q216" s="218">
        <f t="shared" si="24"/>
        <v>16041070.66891104</v>
      </c>
    </row>
    <row r="217" spans="1:17">
      <c r="A217" s="222">
        <v>4</v>
      </c>
      <c r="B217" s="191" t="s">
        <v>112</v>
      </c>
      <c r="C217" s="191">
        <v>2024</v>
      </c>
      <c r="D217" s="208">
        <f>Population!I5</f>
        <v>2438301.9350954904</v>
      </c>
      <c r="E217" s="209" t="str">
        <f t="shared" si="25"/>
        <v>Large</v>
      </c>
      <c r="F217" s="208"/>
      <c r="G217" s="210">
        <f>Variables!$C$3*POWER(SUM(1,Variables!$C$2/100),C217-2017)</f>
        <v>10545.970545838765</v>
      </c>
      <c r="H217" s="210">
        <f t="shared" si="20"/>
        <v>303.22791481381046</v>
      </c>
      <c r="I217" s="211">
        <f>VLOOKUP(B217,'Waste per capita'!$B$2:$F$48,4,FALSE)*(H217/Variables!$C$6)</f>
        <v>233.78581262581906</v>
      </c>
      <c r="J217" s="210">
        <f t="shared" si="21"/>
        <v>570040.3993234064</v>
      </c>
      <c r="K217" s="212">
        <f>Variables!$C$13</f>
        <v>1</v>
      </c>
      <c r="L217" s="213">
        <f t="shared" si="22"/>
        <v>570040.3993234064</v>
      </c>
      <c r="N217" s="215">
        <f>IF(D217&gt;1500000,Budgeting!$B$13,(IF(D217&gt;500000,Budgeting!$C$13,Budgeting!$D$13)))</f>
        <v>25.956254000485576</v>
      </c>
      <c r="O217" s="216">
        <f t="shared" si="23"/>
        <v>14796113.395376563</v>
      </c>
      <c r="P217" s="217">
        <f>IF(D217&gt;1500000,Budgeting!$B$15,(IF(D217&gt;500000,Budgeting!$C$15,Budgeting!$D$15)))</f>
        <v>3.7080362857836535</v>
      </c>
      <c r="Q217" s="218">
        <f t="shared" si="24"/>
        <v>2113730.4850537945</v>
      </c>
    </row>
    <row r="218" spans="1:17">
      <c r="A218" s="222">
        <v>5</v>
      </c>
      <c r="B218" s="191" t="s">
        <v>113</v>
      </c>
      <c r="C218" s="191">
        <v>2024</v>
      </c>
      <c r="D218" s="208">
        <f>Population!I6</f>
        <v>1143614.8056928618</v>
      </c>
      <c r="E218" s="209" t="str">
        <f t="shared" si="25"/>
        <v>Large</v>
      </c>
      <c r="F218" s="208"/>
      <c r="G218" s="210">
        <f>Variables!$C$3*POWER(SUM(1,Variables!$C$2/100),C218-2017)</f>
        <v>10545.970545838765</v>
      </c>
      <c r="H218" s="210">
        <f t="shared" si="20"/>
        <v>303.22791481381046</v>
      </c>
      <c r="I218" s="211">
        <f>VLOOKUP(B218,'Waste per capita'!$B$2:$F$48,4,FALSE)*(H218/Variables!$C$6)</f>
        <v>233.78581262581906</v>
      </c>
      <c r="J218" s="210">
        <f t="shared" si="21"/>
        <v>267360.91667982389</v>
      </c>
      <c r="K218" s="212">
        <f>Variables!$C$13</f>
        <v>1</v>
      </c>
      <c r="L218" s="213">
        <f t="shared" si="22"/>
        <v>267360.91667982389</v>
      </c>
      <c r="N218" s="215">
        <f>IF(D218&gt;1500000,Budgeting!$B$13,(IF(D218&gt;500000,Budgeting!$C$13,Budgeting!$D$13)))</f>
        <v>26.132827156951464</v>
      </c>
      <c r="O218" s="216">
        <f t="shared" si="23"/>
        <v>6986896.6241179397</v>
      </c>
      <c r="P218" s="217">
        <f>IF(D218&gt;1500000,Budgeting!$B$15,(IF(D218&gt;500000,Budgeting!$C$15,Budgeting!$D$15)))</f>
        <v>2.1188778775906578</v>
      </c>
      <c r="Q218" s="218">
        <f t="shared" si="24"/>
        <v>566505.13168523798</v>
      </c>
    </row>
    <row r="219" spans="1:17">
      <c r="A219" s="222">
        <v>6</v>
      </c>
      <c r="B219" s="191" t="s">
        <v>114</v>
      </c>
      <c r="C219" s="191">
        <v>2024</v>
      </c>
      <c r="D219" s="208">
        <f>Population!I7</f>
        <v>1303868.2978719305</v>
      </c>
      <c r="E219" s="209" t="str">
        <f t="shared" si="25"/>
        <v>Large</v>
      </c>
      <c r="F219" s="208"/>
      <c r="G219" s="210">
        <f>Variables!$C$3*POWER(SUM(1,Variables!$C$2/100),C219-2017)</f>
        <v>10545.970545838765</v>
      </c>
      <c r="H219" s="210">
        <f t="shared" si="20"/>
        <v>303.22791481381046</v>
      </c>
      <c r="I219" s="211">
        <f>VLOOKUP(B219,'Waste per capita'!$B$2:$F$48,4,FALSE)*(H219/Variables!$C$6)</f>
        <v>233.78581262581906</v>
      </c>
      <c r="J219" s="210">
        <f t="shared" si="21"/>
        <v>304825.90957503277</v>
      </c>
      <c r="K219" s="212">
        <f>Variables!$C$13</f>
        <v>1</v>
      </c>
      <c r="L219" s="213">
        <f t="shared" si="22"/>
        <v>304825.90957503277</v>
      </c>
      <c r="N219" s="215">
        <f>IF(D219&gt;1500000,Budgeting!$B$13,(IF(D219&gt;500000,Budgeting!$C$13,Budgeting!$D$13)))</f>
        <v>26.132827156951464</v>
      </c>
      <c r="O219" s="216">
        <f t="shared" si="23"/>
        <v>7965962.8078848477</v>
      </c>
      <c r="P219" s="217">
        <f>IF(D219&gt;1500000,Budgeting!$B$15,(IF(D219&gt;500000,Budgeting!$C$15,Budgeting!$D$15)))</f>
        <v>2.1188778775906578</v>
      </c>
      <c r="Q219" s="218">
        <f t="shared" si="24"/>
        <v>645888.8763149872</v>
      </c>
    </row>
    <row r="220" spans="1:17">
      <c r="A220" s="222">
        <v>7</v>
      </c>
      <c r="B220" s="191" t="s">
        <v>115</v>
      </c>
      <c r="C220" s="191">
        <v>2024</v>
      </c>
      <c r="D220" s="208">
        <f>Population!I8</f>
        <v>6300757.5430065421</v>
      </c>
      <c r="E220" s="209" t="str">
        <f t="shared" si="25"/>
        <v>Large</v>
      </c>
      <c r="F220" s="208"/>
      <c r="G220" s="210">
        <f>Variables!$C$3*POWER(SUM(1,Variables!$C$2/100),C220-2017)</f>
        <v>10545.970545838765</v>
      </c>
      <c r="H220" s="210">
        <f t="shared" si="20"/>
        <v>303.22791481381046</v>
      </c>
      <c r="I220" s="211">
        <f>VLOOKUP(B220,'Waste per capita'!$B$2:$F$48,4,FALSE)*(H220/Variables!$C$6)</f>
        <v>362.98323539271905</v>
      </c>
      <c r="J220" s="210">
        <f t="shared" si="21"/>
        <v>2287069.3583855941</v>
      </c>
      <c r="K220" s="212">
        <f>Variables!$C$13</f>
        <v>1</v>
      </c>
      <c r="L220" s="213">
        <f t="shared" si="22"/>
        <v>2287069.3583855941</v>
      </c>
      <c r="N220" s="215">
        <f>IF(D220&gt;1500000,Budgeting!$B$13,(IF(D220&gt;500000,Budgeting!$C$13,Budgeting!$D$13)))</f>
        <v>25.956254000485576</v>
      </c>
      <c r="O220" s="216">
        <f t="shared" si="23"/>
        <v>59363753.182984054</v>
      </c>
      <c r="P220" s="217">
        <f>IF(D220&gt;1500000,Budgeting!$B$15,(IF(D220&gt;500000,Budgeting!$C$15,Budgeting!$D$15)))</f>
        <v>3.7080362857836535</v>
      </c>
      <c r="Q220" s="218">
        <f t="shared" si="24"/>
        <v>8480536.1689977217</v>
      </c>
    </row>
    <row r="221" spans="1:17">
      <c r="A221" s="222">
        <v>8</v>
      </c>
      <c r="B221" s="191" t="s">
        <v>116</v>
      </c>
      <c r="C221" s="191">
        <v>2024</v>
      </c>
      <c r="D221" s="208">
        <f>Population!I9</f>
        <v>60044.380764678419</v>
      </c>
      <c r="E221" s="209" t="str">
        <f t="shared" si="25"/>
        <v>Small</v>
      </c>
      <c r="F221" s="208"/>
      <c r="G221" s="210">
        <f>Variables!$C$3*POWER(SUM(1,Variables!$C$2/100),C221-2017)</f>
        <v>10545.970545838765</v>
      </c>
      <c r="H221" s="210">
        <f t="shared" si="20"/>
        <v>303.22791481381046</v>
      </c>
      <c r="I221" s="211">
        <f>VLOOKUP(B221,'Waste per capita'!$B$2:$F$48,4,FALSE)*(H221/Variables!$C$6)</f>
        <v>245.57764089422656</v>
      </c>
      <c r="J221" s="210">
        <f t="shared" si="21"/>
        <v>14745.557377144401</v>
      </c>
      <c r="K221" s="212">
        <f>Variables!$C$13</f>
        <v>1</v>
      </c>
      <c r="L221" s="213">
        <f t="shared" si="22"/>
        <v>14745.557377144401</v>
      </c>
      <c r="N221" s="215">
        <f>IF(D221&gt;1500000,Budgeting!$B$13,(IF(D221&gt;500000,Budgeting!$C$13,Budgeting!$D$13)))</f>
        <v>26.27408568212417</v>
      </c>
      <c r="O221" s="216">
        <f t="shared" si="23"/>
        <v>387426.03795777017</v>
      </c>
      <c r="P221" s="217">
        <f>IF(D221&gt;1500000,Budgeting!$B$15,(IF(D221&gt;500000,Budgeting!$C$15,Budgeting!$D$15)))</f>
        <v>7.6279603593263765</v>
      </c>
      <c r="Q221" s="218">
        <f t="shared" si="24"/>
        <v>112478.52714903011</v>
      </c>
    </row>
    <row r="222" spans="1:17">
      <c r="A222" s="222">
        <v>9</v>
      </c>
      <c r="B222" s="191" t="s">
        <v>117</v>
      </c>
      <c r="C222" s="191">
        <v>2024</v>
      </c>
      <c r="D222" s="208">
        <f>Population!I10</f>
        <v>772321.89845047658</v>
      </c>
      <c r="E222" s="209" t="str">
        <f t="shared" si="25"/>
        <v>Medium</v>
      </c>
      <c r="F222" s="208"/>
      <c r="G222" s="210">
        <f>Variables!$C$3*POWER(SUM(1,Variables!$C$2/100),C222-2017)</f>
        <v>10545.970545838765</v>
      </c>
      <c r="H222" s="210">
        <f t="shared" si="20"/>
        <v>303.22791481381046</v>
      </c>
      <c r="I222" s="211">
        <f>VLOOKUP(B222,'Waste per capita'!$B$2:$F$48,4,FALSE)*(H222/Variables!$C$6)</f>
        <v>181.49161769635953</v>
      </c>
      <c r="J222" s="210">
        <f t="shared" si="21"/>
        <v>140169.95073210049</v>
      </c>
      <c r="K222" s="212">
        <f>Variables!$C$13</f>
        <v>1</v>
      </c>
      <c r="L222" s="213">
        <f t="shared" si="22"/>
        <v>140169.95073210049</v>
      </c>
      <c r="N222" s="215">
        <f>IF(D222&gt;1500000,Budgeting!$B$13,(IF(D222&gt;500000,Budgeting!$C$13,Budgeting!$D$13)))</f>
        <v>26.132827156951464</v>
      </c>
      <c r="O222" s="216">
        <f t="shared" si="23"/>
        <v>3663037.0950803845</v>
      </c>
      <c r="P222" s="217">
        <f>IF(D222&gt;1500000,Budgeting!$B$15,(IF(D222&gt;500000,Budgeting!$C$15,Budgeting!$D$15)))</f>
        <v>2.1188778775906578</v>
      </c>
      <c r="Q222" s="218">
        <f t="shared" si="24"/>
        <v>297003.00770922017</v>
      </c>
    </row>
    <row r="223" spans="1:17">
      <c r="A223" s="222">
        <v>10</v>
      </c>
      <c r="B223" s="191" t="s">
        <v>118</v>
      </c>
      <c r="C223" s="191">
        <v>2024</v>
      </c>
      <c r="D223" s="208">
        <f>Population!I11</f>
        <v>716707.42130257713</v>
      </c>
      <c r="E223" s="209" t="str">
        <f t="shared" si="25"/>
        <v>Medium</v>
      </c>
      <c r="F223" s="208"/>
      <c r="G223" s="210">
        <f>Variables!$C$3*POWER(SUM(1,Variables!$C$2/100),C223-2017)</f>
        <v>10545.970545838765</v>
      </c>
      <c r="H223" s="210">
        <f t="shared" si="20"/>
        <v>303.22791481381046</v>
      </c>
      <c r="I223" s="211">
        <f>VLOOKUP(B223,'Waste per capita'!$B$2:$F$48,4,FALSE)*(H223/Variables!$C$6)</f>
        <v>208.08304492192784</v>
      </c>
      <c r="J223" s="210">
        <f t="shared" si="21"/>
        <v>149134.66254278322</v>
      </c>
      <c r="K223" s="212">
        <f>Variables!$C$13</f>
        <v>1</v>
      </c>
      <c r="L223" s="213">
        <f t="shared" si="22"/>
        <v>149134.66254278322</v>
      </c>
      <c r="N223" s="215">
        <f>IF(D223&gt;1500000,Budgeting!$B$13,(IF(D223&gt;500000,Budgeting!$C$13,Budgeting!$D$13)))</f>
        <v>26.132827156951464</v>
      </c>
      <c r="O223" s="216">
        <f t="shared" si="23"/>
        <v>3897310.3593408377</v>
      </c>
      <c r="P223" s="217">
        <f>IF(D223&gt;1500000,Budgeting!$B$15,(IF(D223&gt;500000,Budgeting!$C$15,Budgeting!$D$15)))</f>
        <v>2.1188778775906578</v>
      </c>
      <c r="Q223" s="218">
        <f t="shared" si="24"/>
        <v>315998.1372438515</v>
      </c>
    </row>
    <row r="224" spans="1:17">
      <c r="A224" s="222">
        <v>11</v>
      </c>
      <c r="B224" s="191" t="s">
        <v>119</v>
      </c>
      <c r="C224" s="191">
        <v>2024</v>
      </c>
      <c r="D224" s="208">
        <f>Population!I12</f>
        <v>279553.08814216737</v>
      </c>
      <c r="E224" s="209" t="str">
        <f t="shared" si="25"/>
        <v>Medium</v>
      </c>
      <c r="F224" s="208"/>
      <c r="G224" s="210">
        <f>Variables!$C$3*POWER(SUM(1,Variables!$C$2/100),C224-2017)</f>
        <v>10545.970545838765</v>
      </c>
      <c r="H224" s="210">
        <f t="shared" si="20"/>
        <v>303.22791481381046</v>
      </c>
      <c r="I224" s="211">
        <f>VLOOKUP(B224,'Waste per capita'!$B$2:$F$48,4,FALSE)*(H224/Variables!$C$6)</f>
        <v>128.68473458131706</v>
      </c>
      <c r="J224" s="210">
        <f t="shared" si="21"/>
        <v>35974.214948962341</v>
      </c>
      <c r="K224" s="212">
        <f>Variables!$C$13</f>
        <v>1</v>
      </c>
      <c r="L224" s="213">
        <f t="shared" si="22"/>
        <v>35974.214948962341</v>
      </c>
      <c r="N224" s="215">
        <f>IF(D224&gt;1500000,Budgeting!$B$13,(IF(D224&gt;500000,Budgeting!$C$13,Budgeting!$D$13)))</f>
        <v>26.27408568212417</v>
      </c>
      <c r="O224" s="216">
        <f t="shared" si="23"/>
        <v>945189.60591618868</v>
      </c>
      <c r="P224" s="217">
        <f>IF(D224&gt;1500000,Budgeting!$B$15,(IF(D224&gt;500000,Budgeting!$C$15,Budgeting!$D$15)))</f>
        <v>7.6279603593263765</v>
      </c>
      <c r="Q224" s="218">
        <f t="shared" si="24"/>
        <v>274409.88558857108</v>
      </c>
    </row>
    <row r="225" spans="1:17">
      <c r="A225" s="222">
        <v>12</v>
      </c>
      <c r="B225" s="191" t="s">
        <v>120</v>
      </c>
      <c r="C225" s="191">
        <v>2024</v>
      </c>
      <c r="D225" s="208">
        <f>Population!I13</f>
        <v>135983.26113017794</v>
      </c>
      <c r="E225" s="209" t="str">
        <f t="shared" si="25"/>
        <v>Medium</v>
      </c>
      <c r="F225" s="208"/>
      <c r="G225" s="210">
        <f>Variables!$C$3*POWER(SUM(1,Variables!$C$2/100),C225-2017)</f>
        <v>10545.970545838765</v>
      </c>
      <c r="H225" s="210">
        <f t="shared" si="20"/>
        <v>303.22791481381046</v>
      </c>
      <c r="I225" s="211">
        <f>VLOOKUP(B225,'Waste per capita'!$B$2:$F$48,4,FALSE)*(H225/Variables!$C$6)</f>
        <v>257.36946916263412</v>
      </c>
      <c r="J225" s="210">
        <f t="shared" si="21"/>
        <v>34997.939732077757</v>
      </c>
      <c r="K225" s="212">
        <f>Variables!$C$13</f>
        <v>1</v>
      </c>
      <c r="L225" s="213">
        <f t="shared" si="22"/>
        <v>34997.939732077757</v>
      </c>
      <c r="N225" s="215">
        <f>IF(D225&gt;1500000,Budgeting!$B$13,(IF(D225&gt;500000,Budgeting!$C$13,Budgeting!$D$13)))</f>
        <v>26.27408568212417</v>
      </c>
      <c r="O225" s="216">
        <f t="shared" si="23"/>
        <v>919538.86721842876</v>
      </c>
      <c r="P225" s="217">
        <f>IF(D225&gt;1500000,Budgeting!$B$15,(IF(D225&gt;500000,Budgeting!$C$15,Budgeting!$D$15)))</f>
        <v>7.6279603593263765</v>
      </c>
      <c r="Q225" s="218">
        <f t="shared" si="24"/>
        <v>266962.89693438273</v>
      </c>
    </row>
    <row r="226" spans="1:17">
      <c r="A226" s="222">
        <v>13</v>
      </c>
      <c r="B226" s="191" t="s">
        <v>121</v>
      </c>
      <c r="C226" s="191">
        <v>2024</v>
      </c>
      <c r="D226" s="208">
        <f>Population!I14</f>
        <v>9128001.49017331</v>
      </c>
      <c r="E226" s="209" t="str">
        <f t="shared" si="25"/>
        <v>Large</v>
      </c>
      <c r="F226" s="208"/>
      <c r="G226" s="210">
        <f>Variables!$C$3*POWER(SUM(1,Variables!$C$2/100),C226-2017)</f>
        <v>10545.970545838765</v>
      </c>
      <c r="H226" s="210">
        <f t="shared" si="20"/>
        <v>303.22791481381046</v>
      </c>
      <c r="I226" s="211">
        <f>VLOOKUP(B226,'Waste per capita'!$B$2:$F$48,4,FALSE)*(H226/Variables!$C$6)</f>
        <v>333.24732062890877</v>
      </c>
      <c r="J226" s="210">
        <f t="shared" si="21"/>
        <v>3041882.0392969423</v>
      </c>
      <c r="K226" s="212">
        <f>Variables!$C$13</f>
        <v>1</v>
      </c>
      <c r="L226" s="213">
        <f t="shared" si="22"/>
        <v>3041882.0392969423</v>
      </c>
      <c r="N226" s="215">
        <f>IF(D226&gt;1500000,Budgeting!$B$13,(IF(D226&gt;500000,Budgeting!$C$13,Budgeting!$D$13)))</f>
        <v>25.956254000485576</v>
      </c>
      <c r="O226" s="216">
        <f t="shared" si="23"/>
        <v>78955862.851506487</v>
      </c>
      <c r="P226" s="217">
        <f>IF(D226&gt;1500000,Budgeting!$B$15,(IF(D226&gt;500000,Budgeting!$C$15,Budgeting!$D$15)))</f>
        <v>3.7080362857836535</v>
      </c>
      <c r="Q226" s="218">
        <f t="shared" si="24"/>
        <v>11279408.97878664</v>
      </c>
    </row>
    <row r="227" spans="1:17">
      <c r="A227" s="222">
        <v>14</v>
      </c>
      <c r="B227" s="191" t="s">
        <v>122</v>
      </c>
      <c r="C227" s="191">
        <v>2024</v>
      </c>
      <c r="D227" s="208">
        <f>Population!I15</f>
        <v>363725.32472471055</v>
      </c>
      <c r="E227" s="209" t="str">
        <f t="shared" si="25"/>
        <v>Medium</v>
      </c>
      <c r="F227" s="208"/>
      <c r="G227" s="210">
        <f>Variables!$C$3*POWER(SUM(1,Variables!$C$2/100),C227-2017)</f>
        <v>10545.970545838765</v>
      </c>
      <c r="H227" s="210">
        <f t="shared" si="20"/>
        <v>303.22791481381046</v>
      </c>
      <c r="I227" s="211">
        <f>VLOOKUP(B227,'Waste per capita'!$B$2:$F$48,4,FALSE)*(H227/Variables!$C$6)</f>
        <v>111.25333627149723</v>
      </c>
      <c r="J227" s="210">
        <f t="shared" si="21"/>
        <v>40465.655862057749</v>
      </c>
      <c r="K227" s="212">
        <f>Variables!$C$13</f>
        <v>1</v>
      </c>
      <c r="L227" s="213">
        <f t="shared" si="22"/>
        <v>40465.655862057749</v>
      </c>
      <c r="N227" s="215">
        <f>IF(D227&gt;1500000,Budgeting!$B$13,(IF(D227&gt;500000,Budgeting!$C$13,Budgeting!$D$13)))</f>
        <v>26.27408568212417</v>
      </c>
      <c r="O227" s="216">
        <f t="shared" si="23"/>
        <v>1063198.1093030556</v>
      </c>
      <c r="P227" s="217">
        <f>IF(D227&gt;1500000,Budgeting!$B$15,(IF(D227&gt;500000,Budgeting!$C$15,Budgeting!$D$15)))</f>
        <v>7.6279603593263765</v>
      </c>
      <c r="Q227" s="218">
        <f t="shared" si="24"/>
        <v>308670.41882991954</v>
      </c>
    </row>
    <row r="228" spans="1:17">
      <c r="A228" s="222">
        <v>15</v>
      </c>
      <c r="B228" s="191" t="s">
        <v>123</v>
      </c>
      <c r="C228" s="191">
        <v>2024</v>
      </c>
      <c r="D228" s="208">
        <f>Population!I16</f>
        <v>80665.738035561153</v>
      </c>
      <c r="E228" s="209" t="str">
        <f t="shared" si="25"/>
        <v>Small</v>
      </c>
      <c r="F228" s="208"/>
      <c r="G228" s="210">
        <f>Variables!$C$3*POWER(SUM(1,Variables!$C$2/100),C228-2017)</f>
        <v>10545.970545838765</v>
      </c>
      <c r="H228" s="210">
        <f t="shared" si="20"/>
        <v>303.22791481381046</v>
      </c>
      <c r="I228" s="211">
        <f>VLOOKUP(B228,'Waste per capita'!$B$2:$F$48,4,FALSE)*(H228/Variables!$C$6)</f>
        <v>198.92301600617938</v>
      </c>
      <c r="J228" s="210">
        <f t="shared" si="21"/>
        <v>16046.271898398203</v>
      </c>
      <c r="K228" s="212">
        <f>Variables!$C$13</f>
        <v>1</v>
      </c>
      <c r="L228" s="213">
        <f t="shared" si="22"/>
        <v>16046.271898398203</v>
      </c>
      <c r="N228" s="215">
        <f>IF(D228&gt;1500000,Budgeting!$B$13,(IF(D228&gt;500000,Budgeting!$C$13,Budgeting!$D$13)))</f>
        <v>26.27408568212417</v>
      </c>
      <c r="O228" s="216">
        <f t="shared" si="23"/>
        <v>421601.12273717567</v>
      </c>
      <c r="P228" s="217">
        <f>IF(D228&gt;1500000,Budgeting!$B$15,(IF(D228&gt;500000,Budgeting!$C$15,Budgeting!$D$15)))</f>
        <v>7.6279603593263765</v>
      </c>
      <c r="Q228" s="218">
        <f t="shared" si="24"/>
        <v>122400.32595595429</v>
      </c>
    </row>
    <row r="229" spans="1:17">
      <c r="A229" s="222">
        <v>16</v>
      </c>
      <c r="B229" s="191" t="s">
        <v>124</v>
      </c>
      <c r="C229" s="191">
        <v>2024</v>
      </c>
      <c r="D229" s="208">
        <f>Population!I17</f>
        <v>4130458.6749305613</v>
      </c>
      <c r="E229" s="209" t="str">
        <f t="shared" si="25"/>
        <v>Large</v>
      </c>
      <c r="F229" s="208"/>
      <c r="G229" s="210">
        <f>Variables!$C$3*POWER(SUM(1,Variables!$C$2/100),C229-2017)</f>
        <v>10545.970545838765</v>
      </c>
      <c r="H229" s="210">
        <f t="shared" si="20"/>
        <v>303.22791481381046</v>
      </c>
      <c r="I229" s="211">
        <f>VLOOKUP(B229,'Waste per capita'!$B$2:$F$48,4,FALSE)*(H229/Variables!$C$6)</f>
        <v>228.14624258440679</v>
      </c>
      <c r="J229" s="210">
        <f t="shared" si="21"/>
        <v>942348.62683557533</v>
      </c>
      <c r="K229" s="212">
        <f>Variables!$C$13</f>
        <v>1</v>
      </c>
      <c r="L229" s="213">
        <f t="shared" si="22"/>
        <v>942348.62683557533</v>
      </c>
      <c r="N229" s="215">
        <f>IF(D229&gt;1500000,Budgeting!$B$13,(IF(D229&gt;500000,Budgeting!$C$13,Budgeting!$D$13)))</f>
        <v>25.956254000485576</v>
      </c>
      <c r="O229" s="216">
        <f t="shared" si="23"/>
        <v>24459840.315152992</v>
      </c>
      <c r="P229" s="217">
        <f>IF(D229&gt;1500000,Budgeting!$B$15,(IF(D229&gt;500000,Budgeting!$C$15,Budgeting!$D$15)))</f>
        <v>3.7080362857836535</v>
      </c>
      <c r="Q229" s="218">
        <f t="shared" si="24"/>
        <v>3494262.902164713</v>
      </c>
    </row>
    <row r="230" spans="1:17">
      <c r="A230" s="222">
        <v>17</v>
      </c>
      <c r="B230" s="191" t="s">
        <v>125</v>
      </c>
      <c r="C230" s="191">
        <v>2024</v>
      </c>
      <c r="D230" s="208">
        <f>Population!I18</f>
        <v>15200.250855246943</v>
      </c>
      <c r="E230" s="209" t="str">
        <f t="shared" si="25"/>
        <v>Small</v>
      </c>
      <c r="F230" s="208"/>
      <c r="G230" s="210">
        <f>Variables!$C$3*POWER(SUM(1,Variables!$C$2/100),C230-2017)</f>
        <v>10545.970545838765</v>
      </c>
      <c r="H230" s="210">
        <f t="shared" si="20"/>
        <v>303.22791481381046</v>
      </c>
      <c r="I230" s="211">
        <f>VLOOKUP(B230,'Waste per capita'!$B$2:$F$48,4,FALSE)*(H230/Variables!$C$6)</f>
        <v>175.57814574758103</v>
      </c>
      <c r="J230" s="210">
        <f t="shared" si="21"/>
        <v>2668.8318600623406</v>
      </c>
      <c r="K230" s="212">
        <f>Variables!$C$13</f>
        <v>1</v>
      </c>
      <c r="L230" s="213">
        <f t="shared" si="22"/>
        <v>2668.8318600623406</v>
      </c>
      <c r="N230" s="215">
        <f>IF(D230&gt;1500000,Budgeting!$B$13,(IF(D230&gt;500000,Budgeting!$C$13,Budgeting!$D$13)))</f>
        <v>26.27408568212417</v>
      </c>
      <c r="O230" s="216">
        <f t="shared" si="23"/>
        <v>70121.116962460757</v>
      </c>
      <c r="P230" s="217">
        <f>IF(D230&gt;1500000,Budgeting!$B$15,(IF(D230&gt;500000,Budgeting!$C$15,Budgeting!$D$15)))</f>
        <v>7.6279603593263765</v>
      </c>
      <c r="Q230" s="218">
        <f t="shared" si="24"/>
        <v>20357.743634262813</v>
      </c>
    </row>
    <row r="231" spans="1:17">
      <c r="A231" s="222">
        <v>18</v>
      </c>
      <c r="B231" s="191" t="s">
        <v>126</v>
      </c>
      <c r="C231" s="191">
        <v>2024</v>
      </c>
      <c r="D231" s="208">
        <f>Population!I19</f>
        <v>134292.38576742212</v>
      </c>
      <c r="E231" s="209" t="str">
        <f t="shared" si="25"/>
        <v>Medium</v>
      </c>
      <c r="F231" s="208"/>
      <c r="G231" s="210">
        <f>Variables!$C$3*POWER(SUM(1,Variables!$C$2/100),C231-2017)</f>
        <v>10545.970545838765</v>
      </c>
      <c r="H231" s="210">
        <f t="shared" si="20"/>
        <v>303.22791481381046</v>
      </c>
      <c r="I231" s="211">
        <f>VLOOKUP(B231,'Waste per capita'!$B$2:$F$48,4,FALSE)*(H231/Variables!$C$6)</f>
        <v>99.461508003089691</v>
      </c>
      <c r="J231" s="210">
        <f t="shared" si="21"/>
        <v>13356.923201760463</v>
      </c>
      <c r="K231" s="212">
        <f>Variables!$C$13</f>
        <v>1</v>
      </c>
      <c r="L231" s="213">
        <f t="shared" si="22"/>
        <v>13356.923201760463</v>
      </c>
      <c r="N231" s="215">
        <f>IF(D231&gt;1500000,Budgeting!$B$13,(IF(D231&gt;500000,Budgeting!$C$13,Budgeting!$D$13)))</f>
        <v>26.27408568212417</v>
      </c>
      <c r="O231" s="216">
        <f t="shared" si="23"/>
        <v>350940.94465260667</v>
      </c>
      <c r="P231" s="217">
        <f>IF(D231&gt;1500000,Budgeting!$B$15,(IF(D231&gt;500000,Budgeting!$C$15,Budgeting!$D$15)))</f>
        <v>7.6279603593263765</v>
      </c>
      <c r="Q231" s="218">
        <f t="shared" si="24"/>
        <v>101886.08070559555</v>
      </c>
    </row>
    <row r="232" spans="1:17">
      <c r="A232" s="222">
        <v>19</v>
      </c>
      <c r="B232" s="191" t="s">
        <v>127</v>
      </c>
      <c r="C232" s="191">
        <v>2024</v>
      </c>
      <c r="D232" s="208">
        <f>Population!I20</f>
        <v>6097312.8295525238</v>
      </c>
      <c r="E232" s="209" t="str">
        <f t="shared" si="25"/>
        <v>Large</v>
      </c>
      <c r="F232" s="208"/>
      <c r="G232" s="210">
        <f>Variables!$C$3*POWER(SUM(1,Variables!$C$2/100),C232-2017)</f>
        <v>10545.970545838765</v>
      </c>
      <c r="H232" s="210">
        <f t="shared" si="20"/>
        <v>303.22791481381046</v>
      </c>
      <c r="I232" s="211">
        <f>VLOOKUP(B232,'Waste per capita'!$B$2:$F$48,4,FALSE)*(H232/Variables!$C$6)</f>
        <v>339.39957885590405</v>
      </c>
      <c r="J232" s="210">
        <f t="shared" si="21"/>
        <v>2069425.4065028271</v>
      </c>
      <c r="K232" s="212">
        <f>Variables!$C$13</f>
        <v>1</v>
      </c>
      <c r="L232" s="213">
        <f t="shared" si="22"/>
        <v>2069425.4065028271</v>
      </c>
      <c r="N232" s="215">
        <f>IF(D232&gt;1500000,Budgeting!$B$13,(IF(D232&gt;500000,Budgeting!$C$13,Budgeting!$D$13)))</f>
        <v>25.956254000485576</v>
      </c>
      <c r="O232" s="216">
        <f t="shared" si="23"/>
        <v>53714531.486245491</v>
      </c>
      <c r="P232" s="217">
        <f>IF(D232&gt;1500000,Budgeting!$B$15,(IF(D232&gt;500000,Budgeting!$C$15,Budgeting!$D$15)))</f>
        <v>3.7080362857836535</v>
      </c>
      <c r="Q232" s="218">
        <f t="shared" si="24"/>
        <v>7673504.4980350705</v>
      </c>
    </row>
    <row r="233" spans="1:17">
      <c r="A233" s="222">
        <v>20</v>
      </c>
      <c r="B233" s="191" t="s">
        <v>128</v>
      </c>
      <c r="C233" s="191">
        <v>2024</v>
      </c>
      <c r="D233" s="208">
        <f>Population!I21</f>
        <v>3819866.4304701551</v>
      </c>
      <c r="E233" s="209" t="str">
        <f t="shared" si="25"/>
        <v>Large</v>
      </c>
      <c r="F233" s="208"/>
      <c r="G233" s="210">
        <f>Variables!$C$3*POWER(SUM(1,Variables!$C$2/100),C233-2017)</f>
        <v>10545.970545838765</v>
      </c>
      <c r="H233" s="210">
        <f t="shared" si="20"/>
        <v>303.22791481381046</v>
      </c>
      <c r="I233" s="211">
        <f>VLOOKUP(B233,'Waste per capita'!$B$2:$F$48,4,FALSE)*(H233/Variables!$C$6)</f>
        <v>128.68473458131706</v>
      </c>
      <c r="J233" s="210">
        <f t="shared" si="21"/>
        <v>491558.49774113495</v>
      </c>
      <c r="K233" s="212">
        <f>Variables!$C$13</f>
        <v>1</v>
      </c>
      <c r="L233" s="213">
        <f t="shared" si="22"/>
        <v>491558.49774113495</v>
      </c>
      <c r="N233" s="215">
        <f>IF(D233&gt;1500000,Budgeting!$B$13,(IF(D233&gt;500000,Budgeting!$C$13,Budgeting!$D$13)))</f>
        <v>25.956254000485576</v>
      </c>
      <c r="O233" s="216">
        <f t="shared" si="23"/>
        <v>12759017.223466014</v>
      </c>
      <c r="P233" s="217">
        <f>IF(D233&gt;1500000,Budgeting!$B$15,(IF(D233&gt;500000,Budgeting!$C$15,Budgeting!$D$15)))</f>
        <v>3.7080362857836535</v>
      </c>
      <c r="Q233" s="218">
        <f t="shared" si="24"/>
        <v>1822716.7462094305</v>
      </c>
    </row>
    <row r="234" spans="1:17">
      <c r="A234" s="222">
        <v>21</v>
      </c>
      <c r="B234" s="222" t="s">
        <v>129</v>
      </c>
      <c r="C234" s="191">
        <v>2024</v>
      </c>
      <c r="D234" s="208">
        <f>Population!I22</f>
        <v>16871292.670343574</v>
      </c>
      <c r="E234" s="209" t="str">
        <f t="shared" si="25"/>
        <v>Large</v>
      </c>
      <c r="F234" s="208"/>
      <c r="G234" s="210">
        <f>Variables!$C$3*POWER(SUM(1,Variables!$C$2/100),C234-2017)</f>
        <v>10545.970545838765</v>
      </c>
      <c r="H234" s="210">
        <f t="shared" si="20"/>
        <v>303.22791481381046</v>
      </c>
      <c r="I234" s="211">
        <f>VLOOKUP(B234,'Waste per capita'!$B$2:$F$48,4,FALSE)*(H234/Variables!$C$6)</f>
        <v>263.5217273896294</v>
      </c>
      <c r="J234" s="210">
        <f t="shared" si="21"/>
        <v>4445952.1877849326</v>
      </c>
      <c r="K234" s="212">
        <f>Variables!$C$13</f>
        <v>1</v>
      </c>
      <c r="L234" s="213">
        <f t="shared" si="22"/>
        <v>4445952.1877849326</v>
      </c>
      <c r="N234" s="215">
        <f>IF(D234&gt;1500000,Budgeting!$B$13,(IF(D234&gt;500000,Budgeting!$C$13,Budgeting!$D$13)))</f>
        <v>25.956254000485576</v>
      </c>
      <c r="O234" s="216">
        <f t="shared" si="23"/>
        <v>115400264.26016025</v>
      </c>
      <c r="P234" s="217">
        <f>IF(D234&gt;1500000,Budgeting!$B$15,(IF(D234&gt;500000,Budgeting!$C$15,Budgeting!$D$15)))</f>
        <v>3.7080362857836535</v>
      </c>
      <c r="Q234" s="218">
        <f t="shared" si="24"/>
        <v>16485752.03716575</v>
      </c>
    </row>
    <row r="235" spans="1:17">
      <c r="A235" s="222">
        <v>22</v>
      </c>
      <c r="B235" s="191" t="s">
        <v>130</v>
      </c>
      <c r="C235" s="191">
        <v>2024</v>
      </c>
      <c r="D235" s="208">
        <f>Population!I23</f>
        <v>14962355.403748387</v>
      </c>
      <c r="E235" s="209" t="str">
        <f t="shared" si="25"/>
        <v>Large</v>
      </c>
      <c r="F235" s="208"/>
      <c r="G235" s="210">
        <f>Variables!$C$3*POWER(SUM(1,Variables!$C$2/100),C235-2017)</f>
        <v>10545.970545838765</v>
      </c>
      <c r="H235" s="210">
        <f t="shared" si="20"/>
        <v>303.22791481381046</v>
      </c>
      <c r="I235" s="211">
        <f>VLOOKUP(B235,'Waste per capita'!$B$2:$F$48,4,FALSE)*(H235/Variables!$C$6)</f>
        <v>333.24732062890877</v>
      </c>
      <c r="J235" s="210">
        <f t="shared" si="21"/>
        <v>4986164.8485966241</v>
      </c>
      <c r="K235" s="212">
        <f>Variables!$C$13</f>
        <v>1</v>
      </c>
      <c r="L235" s="213">
        <f t="shared" si="22"/>
        <v>4986164.8485966241</v>
      </c>
      <c r="N235" s="215">
        <f>IF(D235&gt;1500000,Budgeting!$B$13,(IF(D235&gt;500000,Budgeting!$C$13,Budgeting!$D$13)))</f>
        <v>25.956254000485576</v>
      </c>
      <c r="O235" s="216">
        <f t="shared" si="23"/>
        <v>129422161.29846668</v>
      </c>
      <c r="P235" s="217">
        <f>IF(D235&gt;1500000,Budgeting!$B$15,(IF(D235&gt;500000,Budgeting!$C$15,Budgeting!$D$15)))</f>
        <v>3.7080362857836535</v>
      </c>
      <c r="Q235" s="218">
        <f t="shared" si="24"/>
        <v>18488880.185495239</v>
      </c>
    </row>
    <row r="236" spans="1:17">
      <c r="A236" s="222">
        <v>23</v>
      </c>
      <c r="B236" s="191" t="s">
        <v>131</v>
      </c>
      <c r="C236" s="191">
        <v>2024</v>
      </c>
      <c r="D236" s="208">
        <f>Population!I24</f>
        <v>54261.234475862344</v>
      </c>
      <c r="E236" s="209" t="str">
        <f t="shared" si="25"/>
        <v>Small</v>
      </c>
      <c r="F236" s="208"/>
      <c r="G236" s="210">
        <f>Variables!$C$3*POWER(SUM(1,Variables!$C$2/100),C236-2017)</f>
        <v>10545.970545838765</v>
      </c>
      <c r="H236" s="210">
        <f t="shared" si="20"/>
        <v>303.22791481381046</v>
      </c>
      <c r="I236" s="211">
        <f>VLOOKUP(B236,'Waste per capita'!$B$2:$F$48,4,FALSE)*(H236/Variables!$C$6)</f>
        <v>315.81592231908888</v>
      </c>
      <c r="J236" s="210">
        <f t="shared" si="21"/>
        <v>17136.561812166809</v>
      </c>
      <c r="K236" s="212">
        <f>Variables!$C$13</f>
        <v>1</v>
      </c>
      <c r="L236" s="213">
        <f t="shared" si="22"/>
        <v>17136.561812166809</v>
      </c>
      <c r="N236" s="215">
        <f>IF(D236&gt;1500000,Budgeting!$B$13,(IF(D236&gt;500000,Budgeting!$C$13,Budgeting!$D$13)))</f>
        <v>26.27408568212417</v>
      </c>
      <c r="O236" s="216">
        <f t="shared" si="23"/>
        <v>450247.49334988778</v>
      </c>
      <c r="P236" s="217">
        <f>IF(D236&gt;1500000,Budgeting!$B$15,(IF(D236&gt;500000,Budgeting!$C$15,Budgeting!$D$15)))</f>
        <v>7.6279603593263765</v>
      </c>
      <c r="Q236" s="218">
        <f t="shared" si="24"/>
        <v>130717.01419835459</v>
      </c>
    </row>
    <row r="237" spans="1:17">
      <c r="A237" s="222">
        <v>24</v>
      </c>
      <c r="B237" s="191" t="s">
        <v>132</v>
      </c>
      <c r="C237" s="191">
        <v>2024</v>
      </c>
      <c r="D237" s="208">
        <f>Population!I25</f>
        <v>2283728.5366570666</v>
      </c>
      <c r="E237" s="209" t="str">
        <f t="shared" si="25"/>
        <v>Large</v>
      </c>
      <c r="F237" s="208"/>
      <c r="G237" s="210">
        <f>Variables!$C$3*POWER(SUM(1,Variables!$C$2/100),C237-2017)</f>
        <v>10545.970545838765</v>
      </c>
      <c r="H237" s="210">
        <f t="shared" si="20"/>
        <v>303.22791481381046</v>
      </c>
      <c r="I237" s="211">
        <f>VLOOKUP(B237,'Waste per capita'!$B$2:$F$48,4,FALSE)*(H237/Variables!$C$6)</f>
        <v>216.35441431599924</v>
      </c>
      <c r="J237" s="210">
        <f t="shared" si="21"/>
        <v>494094.75000517361</v>
      </c>
      <c r="K237" s="212">
        <f>Variables!$C$13</f>
        <v>1</v>
      </c>
      <c r="L237" s="213">
        <f t="shared" si="22"/>
        <v>494094.75000517361</v>
      </c>
      <c r="N237" s="215">
        <f>IF(D237&gt;1500000,Budgeting!$B$13,(IF(D237&gt;500000,Budgeting!$C$13,Budgeting!$D$13)))</f>
        <v>25.956254000485576</v>
      </c>
      <c r="O237" s="216">
        <f t="shared" si="23"/>
        <v>12824848.831440708</v>
      </c>
      <c r="P237" s="217">
        <f>IF(D237&gt;1500000,Budgeting!$B$15,(IF(D237&gt;500000,Budgeting!$C$15,Budgeting!$D$15)))</f>
        <v>3.7080362857836535</v>
      </c>
      <c r="Q237" s="218">
        <f t="shared" si="24"/>
        <v>1832121.2616343868</v>
      </c>
    </row>
    <row r="238" spans="1:17">
      <c r="A238" s="222">
        <v>25</v>
      </c>
      <c r="B238" s="191" t="s">
        <v>133</v>
      </c>
      <c r="C238" s="191">
        <v>2024</v>
      </c>
      <c r="D238" s="208">
        <f>Population!I26</f>
        <v>327833.20696035854</v>
      </c>
      <c r="E238" s="209" t="str">
        <f t="shared" si="25"/>
        <v>Medium</v>
      </c>
      <c r="F238" s="208"/>
      <c r="G238" s="210">
        <f>Variables!$C$3*POWER(SUM(1,Variables!$C$2/100),C238-2017)</f>
        <v>10545.970545838765</v>
      </c>
      <c r="H238" s="210">
        <f t="shared" si="20"/>
        <v>303.22791481381046</v>
      </c>
      <c r="I238" s="211">
        <f>VLOOKUP(B238,'Waste per capita'!$B$2:$F$48,4,FALSE)*(H238/Variables!$C$6)</f>
        <v>345.03914889731635</v>
      </c>
      <c r="J238" s="210">
        <f t="shared" si="21"/>
        <v>113115.29070987988</v>
      </c>
      <c r="K238" s="212">
        <f>Variables!$C$13</f>
        <v>1</v>
      </c>
      <c r="L238" s="213">
        <f t="shared" si="22"/>
        <v>113115.29070987988</v>
      </c>
      <c r="N238" s="215">
        <f>IF(D238&gt;1500000,Budgeting!$B$13,(IF(D238&gt;500000,Budgeting!$C$13,Budgeting!$D$13)))</f>
        <v>26.27408568212417</v>
      </c>
      <c r="O238" s="216">
        <f t="shared" si="23"/>
        <v>2972000.840069768</v>
      </c>
      <c r="P238" s="217">
        <f>IF(D238&gt;1500000,Budgeting!$B$15,(IF(D238&gt;500000,Budgeting!$C$15,Budgeting!$D$15)))</f>
        <v>7.6279603593263765</v>
      </c>
      <c r="Q238" s="218">
        <f t="shared" si="24"/>
        <v>862838.95356864284</v>
      </c>
    </row>
    <row r="239" spans="1:17">
      <c r="A239" s="222">
        <v>26</v>
      </c>
      <c r="B239" s="191" t="s">
        <v>134</v>
      </c>
      <c r="C239" s="191">
        <v>2024</v>
      </c>
      <c r="D239" s="208">
        <f>Population!I27</f>
        <v>135847.66567205801</v>
      </c>
      <c r="E239" s="209" t="str">
        <f t="shared" si="25"/>
        <v>Medium</v>
      </c>
      <c r="F239" s="208"/>
      <c r="G239" s="210">
        <f>Variables!$C$3*POWER(SUM(1,Variables!$C$2/100),C239-2017)</f>
        <v>10545.970545838765</v>
      </c>
      <c r="H239" s="210">
        <f t="shared" si="20"/>
        <v>303.22791481381046</v>
      </c>
      <c r="I239" s="211">
        <f>VLOOKUP(B239,'Waste per capita'!$B$2:$F$48,4,FALSE)*(H239/Variables!$C$6)</f>
        <v>444.500656900406</v>
      </c>
      <c r="J239" s="210">
        <f t="shared" si="21"/>
        <v>60384.376629616519</v>
      </c>
      <c r="K239" s="212">
        <f>Variables!$C$13</f>
        <v>1</v>
      </c>
      <c r="L239" s="213">
        <f t="shared" si="22"/>
        <v>60384.376629616519</v>
      </c>
      <c r="N239" s="215">
        <f>IF(D239&gt;1500000,Budgeting!$B$13,(IF(D239&gt;500000,Budgeting!$C$13,Budgeting!$D$13)))</f>
        <v>26.27408568212417</v>
      </c>
      <c r="O239" s="216">
        <f t="shared" si="23"/>
        <v>1586544.2854282008</v>
      </c>
      <c r="P239" s="217">
        <f>IF(D239&gt;1500000,Budgeting!$B$15,(IF(D239&gt;500000,Budgeting!$C$15,Budgeting!$D$15)))</f>
        <v>7.6279603593263765</v>
      </c>
      <c r="Q239" s="218">
        <f t="shared" si="24"/>
        <v>460609.6312533489</v>
      </c>
    </row>
    <row r="240" spans="1:17">
      <c r="A240" s="222">
        <v>27</v>
      </c>
      <c r="B240" s="191" t="s">
        <v>135</v>
      </c>
      <c r="C240" s="191">
        <v>2024</v>
      </c>
      <c r="D240" s="208">
        <f>Population!I28</f>
        <v>1370101.2553452037</v>
      </c>
      <c r="E240" s="209" t="str">
        <f t="shared" si="25"/>
        <v>Large</v>
      </c>
      <c r="F240" s="208"/>
      <c r="G240" s="210">
        <f>Variables!$C$3*POWER(SUM(1,Variables!$C$2/100),C240-2017)</f>
        <v>10545.970545838765</v>
      </c>
      <c r="H240" s="210">
        <f t="shared" ref="H240:H243" si="26">1647.41-417.73*LN(G240)+29.43*(LN(G240))^2</f>
        <v>303.22791481381046</v>
      </c>
      <c r="I240" s="211">
        <f>VLOOKUP(B240,'Waste per capita'!$B$2:$F$48,4,FALSE)*(H240/Variables!$C$6)</f>
        <v>175.3393594693643</v>
      </c>
      <c r="J240" s="210">
        <f t="shared" si="21"/>
        <v>240232.67652039995</v>
      </c>
      <c r="K240" s="212">
        <f>Variables!$C$13</f>
        <v>1</v>
      </c>
      <c r="L240" s="213">
        <f t="shared" si="22"/>
        <v>240232.67652039995</v>
      </c>
      <c r="N240" s="215">
        <f>IF(D240&gt;1500000,Budgeting!$B$13,(IF(D240&gt;500000,Budgeting!$C$13,Budgeting!$D$13)))</f>
        <v>26.132827156951464</v>
      </c>
      <c r="O240" s="216">
        <f t="shared" si="23"/>
        <v>6277959.012959444</v>
      </c>
      <c r="P240" s="217">
        <f>IF(D240&gt;1500000,Budgeting!$B$15,(IF(D240&gt;500000,Budgeting!$C$15,Budgeting!$D$15)))</f>
        <v>2.1188778775906578</v>
      </c>
      <c r="Q240" s="218">
        <f t="shared" si="24"/>
        <v>509023.70375346811</v>
      </c>
    </row>
    <row r="241" spans="1:17">
      <c r="A241" s="222">
        <v>28</v>
      </c>
      <c r="B241" s="191" t="s">
        <v>136</v>
      </c>
      <c r="C241" s="191">
        <v>2024</v>
      </c>
      <c r="D241" s="208">
        <f>Population!I29</f>
        <v>1455518.2582332881</v>
      </c>
      <c r="E241" s="209" t="str">
        <f t="shared" si="25"/>
        <v>Large</v>
      </c>
      <c r="F241" s="208"/>
      <c r="G241" s="210">
        <f>Variables!$C$3*POWER(SUM(1,Variables!$C$2/100),C241-2017)</f>
        <v>10545.970545838765</v>
      </c>
      <c r="H241" s="210">
        <f t="shared" si="26"/>
        <v>303.22791481381046</v>
      </c>
      <c r="I241" s="211">
        <f>VLOOKUP(B241,'Waste per capita'!$B$2:$F$48,4,FALSE)*(H241/Variables!$C$6)</f>
        <v>146.11613289113691</v>
      </c>
      <c r="J241" s="210">
        <f t="shared" si="21"/>
        <v>212674.69924549127</v>
      </c>
      <c r="K241" s="212">
        <f>Variables!$C$13</f>
        <v>1</v>
      </c>
      <c r="L241" s="213">
        <f t="shared" si="22"/>
        <v>212674.69924549127</v>
      </c>
      <c r="N241" s="215">
        <f>IF(D241&gt;1500000,Budgeting!$B$13,(IF(D241&gt;500000,Budgeting!$C$13,Budgeting!$D$13)))</f>
        <v>26.132827156951464</v>
      </c>
      <c r="O241" s="216">
        <f t="shared" si="23"/>
        <v>5557791.1560390592</v>
      </c>
      <c r="P241" s="217">
        <f>IF(D241&gt;1500000,Budgeting!$B$15,(IF(D241&gt;500000,Budgeting!$C$15,Budgeting!$D$15)))</f>
        <v>2.1188778775906578</v>
      </c>
      <c r="Q241" s="218">
        <f t="shared" si="24"/>
        <v>450631.71535451803</v>
      </c>
    </row>
    <row r="242" spans="1:17">
      <c r="A242" s="222">
        <v>29</v>
      </c>
      <c r="B242" s="191" t="s">
        <v>137</v>
      </c>
      <c r="C242" s="191">
        <v>2024</v>
      </c>
      <c r="D242" s="208">
        <f>Population!I30</f>
        <v>194212.01871063019</v>
      </c>
      <c r="E242" s="209" t="str">
        <f t="shared" si="25"/>
        <v>Medium</v>
      </c>
      <c r="F242" s="208"/>
      <c r="G242" s="210">
        <f>Variables!$C$3*POWER(SUM(1,Variables!$C$2/100),C242-2017)</f>
        <v>10545.970545838765</v>
      </c>
      <c r="H242" s="210">
        <f t="shared" si="26"/>
        <v>303.22791481381046</v>
      </c>
      <c r="I242" s="211">
        <f>VLOOKUP(B242,'Waste per capita'!$B$2:$F$48,4,FALSE)*(H242/Variables!$C$6)</f>
        <v>198.92301600617938</v>
      </c>
      <c r="J242" s="210">
        <f t="shared" si="21"/>
        <v>38633.240506567097</v>
      </c>
      <c r="K242" s="212">
        <f>Variables!$C$13</f>
        <v>1</v>
      </c>
      <c r="L242" s="213">
        <f t="shared" si="22"/>
        <v>38633.240506567097</v>
      </c>
      <c r="N242" s="215">
        <f>IF(D242&gt;1500000,Budgeting!$B$13,(IF(D242&gt;500000,Budgeting!$C$13,Budgeting!$D$13)))</f>
        <v>26.27408568212417</v>
      </c>
      <c r="O242" s="216">
        <f t="shared" si="23"/>
        <v>1015053.071247654</v>
      </c>
      <c r="P242" s="217">
        <f>IF(D242&gt;1500000,Budgeting!$B$15,(IF(D242&gt;500000,Budgeting!$C$15,Budgeting!$D$15)))</f>
        <v>7.6279603593263765</v>
      </c>
      <c r="Q242" s="218">
        <f t="shared" si="24"/>
        <v>294692.82713641587</v>
      </c>
    </row>
    <row r="243" spans="1:17">
      <c r="A243" s="222">
        <v>30</v>
      </c>
      <c r="B243" s="191" t="s">
        <v>138</v>
      </c>
      <c r="C243" s="191">
        <v>2024</v>
      </c>
      <c r="D243" s="208">
        <f>Population!I31</f>
        <v>133242.87692157365</v>
      </c>
      <c r="E243" s="209" t="str">
        <f t="shared" si="25"/>
        <v>Medium</v>
      </c>
      <c r="F243" s="208"/>
      <c r="G243" s="210">
        <f>Variables!$C$3*POWER(SUM(1,Variables!$C$2/100),C243-2017)</f>
        <v>10545.970545838765</v>
      </c>
      <c r="H243" s="210">
        <f t="shared" si="26"/>
        <v>303.22791481381046</v>
      </c>
      <c r="I243" s="211">
        <f>VLOOKUP(B243,'Waste per capita'!$B$2:$F$48,4,FALSE)*(H243/Variables!$C$6)</f>
        <v>187.13118773777185</v>
      </c>
      <c r="J243" s="210">
        <f t="shared" si="21"/>
        <v>24933.897815931829</v>
      </c>
      <c r="K243" s="212">
        <f>Variables!$C$13</f>
        <v>1</v>
      </c>
      <c r="L243" s="213">
        <f t="shared" si="22"/>
        <v>24933.897815931829</v>
      </c>
      <c r="N243" s="215">
        <f>IF(D243&gt;1500000,Budgeting!$B$13,(IF(D243&gt;500000,Budgeting!$C$13,Budgeting!$D$13)))</f>
        <v>26.27408568212417</v>
      </c>
      <c r="O243" s="216">
        <f t="shared" si="23"/>
        <v>655115.36760512157</v>
      </c>
      <c r="P243" s="217">
        <f>IF(D243&gt;1500000,Budgeting!$B$15,(IF(D243&gt;500000,Budgeting!$C$15,Budgeting!$D$15)))</f>
        <v>7.6279603593263765</v>
      </c>
      <c r="Q243" s="218">
        <f t="shared" si="24"/>
        <v>190194.7841434225</v>
      </c>
    </row>
    <row r="244" spans="1:17">
      <c r="A244" s="222">
        <v>31</v>
      </c>
      <c r="B244" s="191" t="s">
        <v>139</v>
      </c>
      <c r="C244" s="191">
        <v>2024</v>
      </c>
      <c r="D244" s="208">
        <f>Population!I32</f>
        <v>229940.0659706571</v>
      </c>
      <c r="E244" s="209" t="str">
        <f t="shared" si="25"/>
        <v>Medium</v>
      </c>
      <c r="F244" s="208"/>
      <c r="G244" s="210">
        <f>Variables!$C$3*POWER(SUM(1,Variables!$C$2/100),C244-2017)</f>
        <v>10545.970545838765</v>
      </c>
      <c r="H244" s="210">
        <f t="shared" ref="H244:H307" si="27">1647.41-417.73*LN(G244)+29.43*(LN(G244))^2</f>
        <v>303.22791481381046</v>
      </c>
      <c r="I244" s="211">
        <f>VLOOKUP(B244,'Waste per capita'!$B$2:$F$48,4,FALSE)*(H244/Variables!$C$6)</f>
        <v>208.08304492192784</v>
      </c>
      <c r="J244" s="210">
        <f t="shared" ref="J244:J307" si="28">I244*D244/1000</f>
        <v>47846.629076723293</v>
      </c>
      <c r="K244" s="212">
        <f>Variables!$C$13</f>
        <v>1</v>
      </c>
      <c r="L244" s="213">
        <f t="shared" ref="L244:L307" si="29">J244*K244</f>
        <v>47846.629076723293</v>
      </c>
      <c r="N244" s="215">
        <f>IF(D244&gt;1500000,Budgeting!$B$13,(IF(D244&gt;500000,Budgeting!$C$13,Budgeting!$D$13)))</f>
        <v>26.27408568212417</v>
      </c>
      <c r="O244" s="216">
        <f t="shared" ref="O244:O307" si="30">N244*L244</f>
        <v>1257126.4319626414</v>
      </c>
      <c r="P244" s="217">
        <f>IF(D244&gt;1500000,Budgeting!$B$15,(IF(D244&gt;500000,Budgeting!$C$15,Budgeting!$D$15)))</f>
        <v>7.6279603593263765</v>
      </c>
      <c r="Q244" s="218">
        <f t="shared" ref="Q244:Q307" si="31">P244*J244</f>
        <v>364972.18992463808</v>
      </c>
    </row>
    <row r="245" spans="1:17">
      <c r="A245" s="222">
        <v>32</v>
      </c>
      <c r="B245" s="191" t="s">
        <v>140</v>
      </c>
      <c r="C245" s="191">
        <v>2024</v>
      </c>
      <c r="D245" s="208">
        <f>Population!I33</f>
        <v>1600799.2999267513</v>
      </c>
      <c r="E245" s="209" t="str">
        <f t="shared" si="25"/>
        <v>Large</v>
      </c>
      <c r="F245" s="208"/>
      <c r="G245" s="210">
        <f>Variables!$C$3*POWER(SUM(1,Variables!$C$2/100),C245-2017)</f>
        <v>10545.970545838765</v>
      </c>
      <c r="H245" s="210">
        <f t="shared" si="27"/>
        <v>303.22791481381046</v>
      </c>
      <c r="I245" s="211">
        <f>VLOOKUP(B245,'Waste per capita'!$B$2:$F$48,4,FALSE)*(H245/Variables!$C$6)</f>
        <v>280.95312569944923</v>
      </c>
      <c r="J245" s="210">
        <f t="shared" si="28"/>
        <v>449749.56693191087</v>
      </c>
      <c r="K245" s="212">
        <f>Variables!$C$13</f>
        <v>1</v>
      </c>
      <c r="L245" s="213">
        <f t="shared" si="29"/>
        <v>449749.56693191087</v>
      </c>
      <c r="N245" s="215">
        <f>IF(D245&gt;1500000,Budgeting!$B$13,(IF(D245&gt;500000,Budgeting!$C$13,Budgeting!$D$13)))</f>
        <v>25.956254000485576</v>
      </c>
      <c r="O245" s="216">
        <f t="shared" si="30"/>
        <v>11673813.995893067</v>
      </c>
      <c r="P245" s="217">
        <f>IF(D245&gt;1500000,Budgeting!$B$15,(IF(D245&gt;500000,Budgeting!$C$15,Budgeting!$D$15)))</f>
        <v>3.7080362857836535</v>
      </c>
      <c r="Q245" s="218">
        <f t="shared" si="31"/>
        <v>1667687.7136990095</v>
      </c>
    </row>
    <row r="246" spans="1:17">
      <c r="A246" s="222">
        <v>33</v>
      </c>
      <c r="B246" s="191" t="s">
        <v>141</v>
      </c>
      <c r="C246" s="191">
        <v>2024</v>
      </c>
      <c r="D246" s="208">
        <f>Population!I34</f>
        <v>1008411.2184468737</v>
      </c>
      <c r="E246" s="209" t="str">
        <f t="shared" si="25"/>
        <v>Large</v>
      </c>
      <c r="F246" s="208"/>
      <c r="G246" s="210">
        <f>Variables!$C$3*POWER(SUM(1,Variables!$C$2/100),C246-2017)</f>
        <v>10545.970545838765</v>
      </c>
      <c r="H246" s="210">
        <f t="shared" si="27"/>
        <v>303.22791481381046</v>
      </c>
      <c r="I246" s="211">
        <f>VLOOKUP(B246,'Waste per capita'!$B$2:$F$48,4,FALSE)*(H246/Variables!$C$6)</f>
        <v>134.32430462272939</v>
      </c>
      <c r="J246" s="210">
        <f t="shared" si="28"/>
        <v>135454.13569163557</v>
      </c>
      <c r="K246" s="212">
        <f>Variables!$C$13</f>
        <v>1</v>
      </c>
      <c r="L246" s="213">
        <f t="shared" si="29"/>
        <v>135454.13569163557</v>
      </c>
      <c r="N246" s="215">
        <f>IF(D246&gt;1500000,Budgeting!$B$13,(IF(D246&gt;500000,Budgeting!$C$13,Budgeting!$D$13)))</f>
        <v>26.132827156951464</v>
      </c>
      <c r="O246" s="216">
        <f t="shared" si="30"/>
        <v>3539799.5157237626</v>
      </c>
      <c r="P246" s="217">
        <f>IF(D246&gt;1500000,Budgeting!$B$15,(IF(D246&gt;500000,Budgeting!$C$15,Budgeting!$D$15)))</f>
        <v>2.1188778775906578</v>
      </c>
      <c r="Q246" s="218">
        <f t="shared" si="31"/>
        <v>287010.77154516976</v>
      </c>
    </row>
    <row r="247" spans="1:17">
      <c r="A247" s="222">
        <v>34</v>
      </c>
      <c r="B247" s="191" t="s">
        <v>142</v>
      </c>
      <c r="C247" s="191">
        <v>2024</v>
      </c>
      <c r="D247" s="208">
        <f>Population!I35</f>
        <v>583350.64419618272</v>
      </c>
      <c r="E247" s="209" t="str">
        <f t="shared" si="25"/>
        <v>Medium</v>
      </c>
      <c r="F247" s="208"/>
      <c r="G247" s="210">
        <f>Variables!$C$3*POWER(SUM(1,Variables!$C$2/100),C247-2017)</f>
        <v>10545.970545838765</v>
      </c>
      <c r="H247" s="210">
        <f t="shared" si="27"/>
        <v>303.22791481381046</v>
      </c>
      <c r="I247" s="211">
        <f>VLOOKUP(B247,'Waste per capita'!$B$2:$F$48,4,FALSE)*(H247/Variables!$C$6)</f>
        <v>240.96344722398015</v>
      </c>
      <c r="J247" s="210">
        <f t="shared" si="28"/>
        <v>140566.18216584169</v>
      </c>
      <c r="K247" s="212">
        <f>Variables!$C$13</f>
        <v>1</v>
      </c>
      <c r="L247" s="213">
        <f t="shared" si="29"/>
        <v>140566.18216584169</v>
      </c>
      <c r="N247" s="215">
        <f>IF(D247&gt;1500000,Budgeting!$B$13,(IF(D247&gt;500000,Budgeting!$C$13,Budgeting!$D$13)))</f>
        <v>26.132827156951464</v>
      </c>
      <c r="O247" s="216">
        <f t="shared" si="30"/>
        <v>3673391.7426524945</v>
      </c>
      <c r="P247" s="217">
        <f>IF(D247&gt;1500000,Budgeting!$B$15,(IF(D247&gt;500000,Budgeting!$C$15,Budgeting!$D$15)))</f>
        <v>2.1188778775906578</v>
      </c>
      <c r="Q247" s="218">
        <f t="shared" si="31"/>
        <v>297842.57372858044</v>
      </c>
    </row>
    <row r="248" spans="1:17">
      <c r="A248" s="222">
        <v>35</v>
      </c>
      <c r="B248" s="191" t="s">
        <v>143</v>
      </c>
      <c r="C248" s="191">
        <v>2024</v>
      </c>
      <c r="D248" s="208">
        <f>Population!I36</f>
        <v>248522.0675514157</v>
      </c>
      <c r="E248" s="209" t="str">
        <f t="shared" si="25"/>
        <v>Medium</v>
      </c>
      <c r="F248" s="208"/>
      <c r="G248" s="210">
        <f>Variables!$C$3*POWER(SUM(1,Variables!$C$2/100),C248-2017)</f>
        <v>10545.970545838765</v>
      </c>
      <c r="H248" s="210">
        <f t="shared" si="27"/>
        <v>303.22791481381046</v>
      </c>
      <c r="I248" s="211">
        <f>VLOOKUP(B248,'Waste per capita'!$B$2:$F$48,4,FALSE)*(H248/Variables!$C$6)</f>
        <v>206.1006506043405</v>
      </c>
      <c r="J248" s="210">
        <f t="shared" si="28"/>
        <v>51220.559811882638</v>
      </c>
      <c r="K248" s="212">
        <f>Variables!$C$13</f>
        <v>1</v>
      </c>
      <c r="L248" s="213">
        <f t="shared" si="29"/>
        <v>51220.559811882638</v>
      </c>
      <c r="N248" s="215">
        <f>IF(D248&gt;1500000,Budgeting!$B$13,(IF(D248&gt;500000,Budgeting!$C$13,Budgeting!$D$13)))</f>
        <v>26.27408568212417</v>
      </c>
      <c r="O248" s="216">
        <f t="shared" si="30"/>
        <v>1345773.3771837703</v>
      </c>
      <c r="P248" s="217">
        <f>IF(D248&gt;1500000,Budgeting!$B$15,(IF(D248&gt;500000,Budgeting!$C$15,Budgeting!$D$15)))</f>
        <v>7.6279603593263765</v>
      </c>
      <c r="Q248" s="218">
        <f t="shared" si="31"/>
        <v>390708.39982754644</v>
      </c>
    </row>
    <row r="249" spans="1:17">
      <c r="A249" s="222">
        <v>36</v>
      </c>
      <c r="B249" s="191" t="s">
        <v>144</v>
      </c>
      <c r="C249" s="191">
        <v>2024</v>
      </c>
      <c r="D249" s="208">
        <f>Population!I37</f>
        <v>1593403.9236408891</v>
      </c>
      <c r="E249" s="209" t="str">
        <f t="shared" si="25"/>
        <v>Large</v>
      </c>
      <c r="F249" s="208"/>
      <c r="G249" s="210">
        <f>Variables!$C$3*POWER(SUM(1,Variables!$C$2/100),C249-2017)</f>
        <v>10545.970545838765</v>
      </c>
      <c r="H249" s="210">
        <f t="shared" si="27"/>
        <v>303.22791481381046</v>
      </c>
      <c r="I249" s="211">
        <f>VLOOKUP(B249,'Waste per capita'!$B$2:$F$48,4,FALSE)*(H249/Variables!$C$6)</f>
        <v>292.23226578227383</v>
      </c>
      <c r="J249" s="210">
        <f t="shared" si="28"/>
        <v>465644.03891194222</v>
      </c>
      <c r="K249" s="212">
        <f>Variables!$C$13</f>
        <v>1</v>
      </c>
      <c r="L249" s="213">
        <f t="shared" si="29"/>
        <v>465644.03891194222</v>
      </c>
      <c r="N249" s="215">
        <f>IF(D249&gt;1500000,Budgeting!$B$13,(IF(D249&gt;500000,Budgeting!$C$13,Budgeting!$D$13)))</f>
        <v>25.956254000485576</v>
      </c>
      <c r="O249" s="216">
        <f t="shared" si="30"/>
        <v>12086374.947810361</v>
      </c>
      <c r="P249" s="217">
        <f>IF(D249&gt;1500000,Budgeting!$B$15,(IF(D249&gt;500000,Budgeting!$C$15,Budgeting!$D$15)))</f>
        <v>3.7080362857836535</v>
      </c>
      <c r="Q249" s="218">
        <f t="shared" si="31"/>
        <v>1726624.9925443372</v>
      </c>
    </row>
    <row r="250" spans="1:17">
      <c r="A250" s="222">
        <v>37</v>
      </c>
      <c r="B250" s="191" t="s">
        <v>145</v>
      </c>
      <c r="C250" s="191">
        <v>2024</v>
      </c>
      <c r="D250" s="208">
        <f>Population!I38</f>
        <v>265844.38732623996</v>
      </c>
      <c r="E250" s="209" t="str">
        <f t="shared" si="25"/>
        <v>Medium</v>
      </c>
      <c r="F250" s="208"/>
      <c r="G250" s="210">
        <f>Variables!$C$3*POWER(SUM(1,Variables!$C$2/100),C250-2017)</f>
        <v>10545.970545838765</v>
      </c>
      <c r="H250" s="210">
        <f t="shared" si="27"/>
        <v>303.22791481381046</v>
      </c>
      <c r="I250" s="211">
        <f>VLOOKUP(B250,'Waste per capita'!$B$2:$F$48,4,FALSE)*(H250/Variables!$C$6)</f>
        <v>206.1006506043405</v>
      </c>
      <c r="J250" s="210">
        <f t="shared" si="28"/>
        <v>54790.701187450351</v>
      </c>
      <c r="K250" s="212">
        <f>Variables!$C$13</f>
        <v>1</v>
      </c>
      <c r="L250" s="213">
        <f t="shared" si="29"/>
        <v>54790.701187450351</v>
      </c>
      <c r="N250" s="215">
        <f>IF(D250&gt;1500000,Budgeting!$B$13,(IF(D250&gt;500000,Budgeting!$C$13,Budgeting!$D$13)))</f>
        <v>26.27408568212417</v>
      </c>
      <c r="O250" s="216">
        <f t="shared" si="30"/>
        <v>1439575.577582733</v>
      </c>
      <c r="P250" s="217">
        <f>IF(D250&gt;1500000,Budgeting!$B$15,(IF(D250&gt;500000,Budgeting!$C$15,Budgeting!$D$15)))</f>
        <v>7.6279603593263765</v>
      </c>
      <c r="Q250" s="218">
        <f t="shared" si="31"/>
        <v>417941.29671756789</v>
      </c>
    </row>
    <row r="251" spans="1:17">
      <c r="A251" s="222">
        <v>38</v>
      </c>
      <c r="B251" s="191" t="s">
        <v>146</v>
      </c>
      <c r="C251" s="191">
        <v>2024</v>
      </c>
      <c r="D251" s="208">
        <f>Population!I39</f>
        <v>1169098.6160919261</v>
      </c>
      <c r="E251" s="209" t="str">
        <f t="shared" si="25"/>
        <v>Large</v>
      </c>
      <c r="F251" s="208"/>
      <c r="G251" s="210">
        <f>Variables!$C$3*POWER(SUM(1,Variables!$C$2/100),C251-2017)</f>
        <v>10545.970545838765</v>
      </c>
      <c r="H251" s="210">
        <f t="shared" si="27"/>
        <v>303.22791481381046</v>
      </c>
      <c r="I251" s="211">
        <f>VLOOKUP(B251,'Waste per capita'!$B$2:$F$48,4,FALSE)*(H251/Variables!$C$6)</f>
        <v>288.36954657582709</v>
      </c>
      <c r="J251" s="210">
        <f t="shared" si="28"/>
        <v>337132.43782485567</v>
      </c>
      <c r="K251" s="212">
        <f>Variables!$C$13</f>
        <v>1</v>
      </c>
      <c r="L251" s="213">
        <f t="shared" si="29"/>
        <v>337132.43782485567</v>
      </c>
      <c r="N251" s="215">
        <f>IF(D251&gt;1500000,Budgeting!$B$13,(IF(D251&gt;500000,Budgeting!$C$13,Budgeting!$D$13)))</f>
        <v>26.132827156951464</v>
      </c>
      <c r="O251" s="216">
        <f t="shared" si="30"/>
        <v>8810223.7266786397</v>
      </c>
      <c r="P251" s="217">
        <f>IF(D251&gt;1500000,Budgeting!$B$15,(IF(D251&gt;500000,Budgeting!$C$15,Budgeting!$D$15)))</f>
        <v>2.1188778775906578</v>
      </c>
      <c r="Q251" s="218">
        <f t="shared" si="31"/>
        <v>714342.4643252946</v>
      </c>
    </row>
    <row r="252" spans="1:17">
      <c r="A252" s="222">
        <v>39</v>
      </c>
      <c r="B252" s="191" t="s">
        <v>147</v>
      </c>
      <c r="C252" s="191">
        <v>2024</v>
      </c>
      <c r="D252" s="208">
        <f>Population!I40</f>
        <v>96245.656173543975</v>
      </c>
      <c r="E252" s="209" t="str">
        <f t="shared" si="25"/>
        <v>Small</v>
      </c>
      <c r="F252" s="208"/>
      <c r="G252" s="210">
        <f>Variables!$C$3*POWER(SUM(1,Variables!$C$2/100),C252-2017)</f>
        <v>10545.970545838765</v>
      </c>
      <c r="H252" s="210">
        <f t="shared" si="27"/>
        <v>303.22791481381046</v>
      </c>
      <c r="I252" s="211">
        <f>VLOOKUP(B252,'Waste per capita'!$B$2:$F$48,4,FALSE)*(H252/Variables!$C$6)</f>
        <v>233.97368124176896</v>
      </c>
      <c r="J252" s="210">
        <f t="shared" si="28"/>
        <v>22518.950478453669</v>
      </c>
      <c r="K252" s="212">
        <f>Variables!$C$13</f>
        <v>1</v>
      </c>
      <c r="L252" s="213">
        <f t="shared" si="29"/>
        <v>22518.950478453669</v>
      </c>
      <c r="N252" s="215">
        <f>IF(D252&gt;1500000,Budgeting!$B$13,(IF(D252&gt;500000,Budgeting!$C$13,Budgeting!$D$13)))</f>
        <v>26.27408568212417</v>
      </c>
      <c r="O252" s="216">
        <f t="shared" si="30"/>
        <v>591664.83434240276</v>
      </c>
      <c r="P252" s="217">
        <f>IF(D252&gt;1500000,Budgeting!$B$15,(IF(D252&gt;500000,Budgeting!$C$15,Budgeting!$D$15)))</f>
        <v>7.6279603593263765</v>
      </c>
      <c r="Q252" s="218">
        <f t="shared" si="31"/>
        <v>171773.66158327833</v>
      </c>
    </row>
    <row r="253" spans="1:17">
      <c r="A253" s="222">
        <v>40</v>
      </c>
      <c r="B253" s="191" t="s">
        <v>148</v>
      </c>
      <c r="C253" s="191">
        <v>2024</v>
      </c>
      <c r="D253" s="208">
        <f>Population!I41</f>
        <v>171848.25980290602</v>
      </c>
      <c r="E253" s="209" t="str">
        <f t="shared" si="25"/>
        <v>Medium</v>
      </c>
      <c r="F253" s="208"/>
      <c r="G253" s="210">
        <f>Variables!$C$3*POWER(SUM(1,Variables!$C$2/100),C253-2017)</f>
        <v>10545.970545838765</v>
      </c>
      <c r="H253" s="210">
        <f t="shared" si="27"/>
        <v>303.22791481381046</v>
      </c>
      <c r="I253" s="211">
        <f>VLOOKUP(B253,'Waste per capita'!$B$2:$F$48,4,FALSE)*(H253/Variables!$C$6)</f>
        <v>208.08304492192784</v>
      </c>
      <c r="J253" s="210">
        <f t="shared" si="28"/>
        <v>35758.70916432322</v>
      </c>
      <c r="K253" s="212">
        <f>Variables!$C$13</f>
        <v>1</v>
      </c>
      <c r="L253" s="213">
        <f t="shared" si="29"/>
        <v>35758.70916432322</v>
      </c>
      <c r="N253" s="215">
        <f>IF(D253&gt;1500000,Budgeting!$B$13,(IF(D253&gt;500000,Budgeting!$C$13,Budgeting!$D$13)))</f>
        <v>26.27408568212417</v>
      </c>
      <c r="O253" s="216">
        <f t="shared" si="30"/>
        <v>939527.38846558705</v>
      </c>
      <c r="P253" s="217">
        <f>IF(D253&gt;1500000,Budgeting!$B$15,(IF(D253&gt;500000,Budgeting!$C$15,Budgeting!$D$15)))</f>
        <v>7.6279603593263765</v>
      </c>
      <c r="Q253" s="218">
        <f t="shared" si="31"/>
        <v>272766.01600613835</v>
      </c>
    </row>
    <row r="254" spans="1:17">
      <c r="A254" s="222">
        <v>41</v>
      </c>
      <c r="B254" s="191" t="s">
        <v>149</v>
      </c>
      <c r="C254" s="191">
        <v>2024</v>
      </c>
      <c r="D254" s="208">
        <f>Population!I42</f>
        <v>82713.229453172476</v>
      </c>
      <c r="E254" s="209" t="str">
        <f t="shared" si="25"/>
        <v>Small</v>
      </c>
      <c r="F254" s="208"/>
      <c r="G254" s="210">
        <f>Variables!$C$3*POWER(SUM(1,Variables!$C$2/100),C254-2017)</f>
        <v>10545.970545838765</v>
      </c>
      <c r="H254" s="210">
        <f t="shared" si="27"/>
        <v>303.22791481381046</v>
      </c>
      <c r="I254" s="211">
        <f>VLOOKUP(B254,'Waste per capita'!$B$2:$F$48,4,FALSE)*(H254/Variables!$C$6)</f>
        <v>233.97368124176896</v>
      </c>
      <c r="J254" s="210">
        <f t="shared" si="28"/>
        <v>19352.718782553875</v>
      </c>
      <c r="K254" s="212">
        <f>Variables!$C$13</f>
        <v>1</v>
      </c>
      <c r="L254" s="213">
        <f t="shared" si="29"/>
        <v>19352.718782553875</v>
      </c>
      <c r="N254" s="215">
        <f>IF(D254&gt;1500000,Budgeting!$B$13,(IF(D254&gt;500000,Budgeting!$C$13,Budgeting!$D$13)))</f>
        <v>26.27408568212417</v>
      </c>
      <c r="O254" s="216">
        <f t="shared" si="30"/>
        <v>508474.99147487426</v>
      </c>
      <c r="P254" s="217">
        <f>IF(D254&gt;1500000,Budgeting!$B$15,(IF(D254&gt;500000,Budgeting!$C$15,Budgeting!$D$15)))</f>
        <v>7.6279603593263765</v>
      </c>
      <c r="Q254" s="218">
        <f t="shared" si="31"/>
        <v>147621.77171851197</v>
      </c>
    </row>
    <row r="255" spans="1:17">
      <c r="A255" s="222">
        <v>42</v>
      </c>
      <c r="B255" s="191" t="s">
        <v>150</v>
      </c>
      <c r="C255" s="191">
        <v>2024</v>
      </c>
      <c r="D255" s="208">
        <f>Population!I43</f>
        <v>102428.80906381391</v>
      </c>
      <c r="E255" s="209" t="str">
        <f t="shared" si="25"/>
        <v>Medium</v>
      </c>
      <c r="F255" s="208"/>
      <c r="G255" s="210">
        <f>Variables!$C$3*POWER(SUM(1,Variables!$C$2/100),C255-2017)</f>
        <v>10545.970545838765</v>
      </c>
      <c r="H255" s="210">
        <f t="shared" si="27"/>
        <v>303.22791481381046</v>
      </c>
      <c r="I255" s="211">
        <f>VLOOKUP(B255,'Waste per capita'!$B$2:$F$48,4,FALSE)*(H255/Variables!$C$6)</f>
        <v>233.97368124176896</v>
      </c>
      <c r="J255" s="210">
        <f t="shared" si="28"/>
        <v>23965.645521870811</v>
      </c>
      <c r="K255" s="212">
        <f>Variables!$C$13</f>
        <v>1</v>
      </c>
      <c r="L255" s="213">
        <f t="shared" si="29"/>
        <v>23965.645521870811</v>
      </c>
      <c r="N255" s="215">
        <f>IF(D255&gt;1500000,Budgeting!$B$13,(IF(D255&gt;500000,Budgeting!$C$13,Budgeting!$D$13)))</f>
        <v>26.27408568212417</v>
      </c>
      <c r="O255" s="216">
        <f t="shared" si="30"/>
        <v>629675.42386904906</v>
      </c>
      <c r="P255" s="217">
        <f>IF(D255&gt;1500000,Budgeting!$B$15,(IF(D255&gt;500000,Budgeting!$C$15,Budgeting!$D$15)))</f>
        <v>7.6279603593263765</v>
      </c>
      <c r="Q255" s="218">
        <f t="shared" si="31"/>
        <v>182808.99402649823</v>
      </c>
    </row>
    <row r="256" spans="1:17">
      <c r="A256" s="222">
        <v>1</v>
      </c>
      <c r="B256" s="191" t="s">
        <v>109</v>
      </c>
      <c r="C256" s="191">
        <v>2025</v>
      </c>
      <c r="D256" s="208">
        <f>Population!J2</f>
        <v>555241.83427241049</v>
      </c>
      <c r="E256" s="209" t="str">
        <f t="shared" si="25"/>
        <v>Medium</v>
      </c>
      <c r="F256" s="208"/>
      <c r="G256" s="210">
        <f>Variables!$C$3*POWER(SUM(1,Variables!$C$2/100),C256-2017)</f>
        <v>11296.843648702486</v>
      </c>
      <c r="H256" s="210">
        <f t="shared" si="27"/>
        <v>312.13787045714025</v>
      </c>
      <c r="I256" s="211">
        <f>VLOOKUP(B256,'Waste per capita'!$B$2:$F$48,4,FALSE)*(H256/Variables!$C$6)</f>
        <v>240.65530292922628</v>
      </c>
      <c r="J256" s="210">
        <f t="shared" si="28"/>
        <v>133621.8918258062</v>
      </c>
      <c r="K256" s="212">
        <f>Variables!$C$13</f>
        <v>1</v>
      </c>
      <c r="L256" s="213">
        <f t="shared" si="29"/>
        <v>133621.8918258062</v>
      </c>
      <c r="N256" s="215">
        <f>IF(D256&gt;1500000,Budgeting!$B$13,(IF(D256&gt;500000,Budgeting!$C$13,Budgeting!$D$13)))</f>
        <v>26.132827156951464</v>
      </c>
      <c r="O256" s="216">
        <f t="shared" si="30"/>
        <v>3491917.8034686591</v>
      </c>
      <c r="P256" s="217">
        <f>IF(D256&gt;1500000,Budgeting!$B$15,(IF(D256&gt;500000,Budgeting!$C$15,Budgeting!$D$15)))</f>
        <v>2.1188778775906578</v>
      </c>
      <c r="Q256" s="218">
        <f t="shared" si="31"/>
        <v>283128.47055151273</v>
      </c>
    </row>
    <row r="257" spans="1:17">
      <c r="A257" s="222">
        <v>2</v>
      </c>
      <c r="B257" s="191" t="s">
        <v>110</v>
      </c>
      <c r="C257" s="191">
        <v>2025</v>
      </c>
      <c r="D257" s="208">
        <f>Population!J3</f>
        <v>407288.0222319616</v>
      </c>
      <c r="E257" s="209" t="str">
        <f t="shared" si="25"/>
        <v>Medium</v>
      </c>
      <c r="F257" s="208"/>
      <c r="G257" s="210">
        <f>Variables!$C$3*POWER(SUM(1,Variables!$C$2/100),C257-2017)</f>
        <v>11296.843648702486</v>
      </c>
      <c r="H257" s="210">
        <f t="shared" si="27"/>
        <v>312.13787045714025</v>
      </c>
      <c r="I257" s="211">
        <f>VLOOKUP(B257,'Waste per capita'!$B$2:$F$48,4,FALSE)*(H257/Variables!$C$6)</f>
        <v>150.40956433076641</v>
      </c>
      <c r="J257" s="210">
        <f t="shared" si="28"/>
        <v>61260.013981048854</v>
      </c>
      <c r="K257" s="212">
        <f>Variables!$C$13</f>
        <v>1</v>
      </c>
      <c r="L257" s="213">
        <f t="shared" si="29"/>
        <v>61260.013981048854</v>
      </c>
      <c r="N257" s="215">
        <f>IF(D257&gt;1500000,Budgeting!$B$13,(IF(D257&gt;500000,Budgeting!$C$13,Budgeting!$D$13)))</f>
        <v>26.27408568212417</v>
      </c>
      <c r="O257" s="216">
        <f t="shared" si="30"/>
        <v>1609550.8562262021</v>
      </c>
      <c r="P257" s="217">
        <f>IF(D257&gt;1500000,Budgeting!$B$15,(IF(D257&gt;500000,Budgeting!$C$15,Budgeting!$D$15)))</f>
        <v>7.6279603593263765</v>
      </c>
      <c r="Q257" s="218">
        <f t="shared" si="31"/>
        <v>467288.95825922029</v>
      </c>
    </row>
    <row r="258" spans="1:17">
      <c r="A258" s="222">
        <v>3</v>
      </c>
      <c r="B258" s="191" t="s">
        <v>111</v>
      </c>
      <c r="C258" s="191">
        <v>2025</v>
      </c>
      <c r="D258" s="208">
        <f>Population!J4</f>
        <v>11720586.781632422</v>
      </c>
      <c r="E258" s="209" t="str">
        <f t="shared" si="25"/>
        <v>Large</v>
      </c>
      <c r="F258" s="208"/>
      <c r="G258" s="210">
        <f>Variables!$C$3*POWER(SUM(1,Variables!$C$2/100),C258-2017)</f>
        <v>11296.843648702486</v>
      </c>
      <c r="H258" s="210">
        <f t="shared" si="27"/>
        <v>312.13787045714025</v>
      </c>
      <c r="I258" s="211">
        <f>VLOOKUP(B258,'Waste per capita'!$B$2:$F$48,4,FALSE)*(H258/Variables!$C$6)</f>
        <v>388.94662633959302</v>
      </c>
      <c r="J258" s="210">
        <f t="shared" si="28"/>
        <v>4558682.6874363581</v>
      </c>
      <c r="K258" s="212">
        <f>Variables!$C$13</f>
        <v>1</v>
      </c>
      <c r="L258" s="213">
        <f t="shared" si="29"/>
        <v>4558682.6874363581</v>
      </c>
      <c r="N258" s="215">
        <f>IF(D258&gt;1500000,Budgeting!$B$13,(IF(D258&gt;500000,Budgeting!$C$13,Budgeting!$D$13)))</f>
        <v>25.956254000485576</v>
      </c>
      <c r="O258" s="216">
        <f t="shared" si="30"/>
        <v>118326325.7427143</v>
      </c>
      <c r="P258" s="217">
        <f>IF(D258&gt;1500000,Budgeting!$B$15,(IF(D258&gt;500000,Budgeting!$C$15,Budgeting!$D$15)))</f>
        <v>3.7080362857836535</v>
      </c>
      <c r="Q258" s="218">
        <f t="shared" si="31"/>
        <v>16903760.820387758</v>
      </c>
    </row>
    <row r="259" spans="1:17">
      <c r="A259" s="222">
        <v>4</v>
      </c>
      <c r="B259" s="191" t="s">
        <v>112</v>
      </c>
      <c r="C259" s="191">
        <v>2025</v>
      </c>
      <c r="D259" s="208">
        <f>Population!J5</f>
        <v>2496089.6909572538</v>
      </c>
      <c r="E259" s="209" t="str">
        <f t="shared" si="25"/>
        <v>Large</v>
      </c>
      <c r="F259" s="208"/>
      <c r="G259" s="210">
        <f>Variables!$C$3*POWER(SUM(1,Variables!$C$2/100),C259-2017)</f>
        <v>11296.843648702486</v>
      </c>
      <c r="H259" s="210">
        <f t="shared" si="27"/>
        <v>312.13787045714025</v>
      </c>
      <c r="I259" s="211">
        <f>VLOOKUP(B259,'Waste per capita'!$B$2:$F$48,4,FALSE)*(H259/Variables!$C$6)</f>
        <v>240.65530292922628</v>
      </c>
      <c r="J259" s="210">
        <f t="shared" si="28"/>
        <v>600697.22071583674</v>
      </c>
      <c r="K259" s="212">
        <f>Variables!$C$13</f>
        <v>1</v>
      </c>
      <c r="L259" s="213">
        <f t="shared" si="29"/>
        <v>600697.22071583674</v>
      </c>
      <c r="N259" s="215">
        <f>IF(D259&gt;1500000,Budgeting!$B$13,(IF(D259&gt;500000,Budgeting!$C$13,Budgeting!$D$13)))</f>
        <v>25.956254000485576</v>
      </c>
      <c r="O259" s="216">
        <f t="shared" si="30"/>
        <v>15591849.638286004</v>
      </c>
      <c r="P259" s="217">
        <f>IF(D259&gt;1500000,Budgeting!$B$15,(IF(D259&gt;500000,Budgeting!$C$15,Budgeting!$D$15)))</f>
        <v>3.7080362857836535</v>
      </c>
      <c r="Q259" s="218">
        <f t="shared" si="31"/>
        <v>2227407.0911837146</v>
      </c>
    </row>
    <row r="260" spans="1:17">
      <c r="A260" s="222">
        <v>5</v>
      </c>
      <c r="B260" s="191" t="s">
        <v>113</v>
      </c>
      <c r="C260" s="191">
        <v>2025</v>
      </c>
      <c r="D260" s="208">
        <f>Population!J6</f>
        <v>1170718.4765877828</v>
      </c>
      <c r="E260" s="209" t="str">
        <f t="shared" si="25"/>
        <v>Large</v>
      </c>
      <c r="F260" s="208"/>
      <c r="G260" s="210">
        <f>Variables!$C$3*POWER(SUM(1,Variables!$C$2/100),C260-2017)</f>
        <v>11296.843648702486</v>
      </c>
      <c r="H260" s="210">
        <f t="shared" si="27"/>
        <v>312.13787045714025</v>
      </c>
      <c r="I260" s="211">
        <f>VLOOKUP(B260,'Waste per capita'!$B$2:$F$48,4,FALSE)*(H260/Variables!$C$6)</f>
        <v>240.65530292922628</v>
      </c>
      <c r="J260" s="210">
        <f t="shared" si="28"/>
        <v>281739.60962807521</v>
      </c>
      <c r="K260" s="212">
        <f>Variables!$C$13</f>
        <v>1</v>
      </c>
      <c r="L260" s="213">
        <f t="shared" si="29"/>
        <v>281739.60962807521</v>
      </c>
      <c r="N260" s="215">
        <f>IF(D260&gt;1500000,Budgeting!$B$13,(IF(D260&gt;500000,Budgeting!$C$13,Budgeting!$D$13)))</f>
        <v>26.132827156951464</v>
      </c>
      <c r="O260" s="216">
        <f t="shared" si="30"/>
        <v>7362652.521677468</v>
      </c>
      <c r="P260" s="217">
        <f>IF(D260&gt;1500000,Budgeting!$B$15,(IF(D260&gt;500000,Budgeting!$C$15,Budgeting!$D$15)))</f>
        <v>2.1188778775906578</v>
      </c>
      <c r="Q260" s="218">
        <f t="shared" si="31"/>
        <v>596971.8260819565</v>
      </c>
    </row>
    <row r="261" spans="1:17">
      <c r="A261" s="222">
        <v>6</v>
      </c>
      <c r="B261" s="191" t="s">
        <v>114</v>
      </c>
      <c r="C261" s="191">
        <v>2025</v>
      </c>
      <c r="D261" s="208">
        <f>Population!J7</f>
        <v>1334769.9765314956</v>
      </c>
      <c r="E261" s="209" t="str">
        <f t="shared" ref="E261:E324" si="32">IF(D261&lt;100000,"Small",IF(D261&lt;1000000,"Medium","Large"))</f>
        <v>Large</v>
      </c>
      <c r="F261" s="208"/>
      <c r="G261" s="210">
        <f>Variables!$C$3*POWER(SUM(1,Variables!$C$2/100),C261-2017)</f>
        <v>11296.843648702486</v>
      </c>
      <c r="H261" s="210">
        <f t="shared" si="27"/>
        <v>312.13787045714025</v>
      </c>
      <c r="I261" s="211">
        <f>VLOOKUP(B261,'Waste per capita'!$B$2:$F$48,4,FALSE)*(H261/Variables!$C$6)</f>
        <v>240.65530292922628</v>
      </c>
      <c r="J261" s="210">
        <f t="shared" si="28"/>
        <v>321219.47304302338</v>
      </c>
      <c r="K261" s="212">
        <f>Variables!$C$13</f>
        <v>1</v>
      </c>
      <c r="L261" s="213">
        <f t="shared" si="29"/>
        <v>321219.47304302338</v>
      </c>
      <c r="N261" s="215">
        <f>IF(D261&gt;1500000,Budgeting!$B$13,(IF(D261&gt;500000,Budgeting!$C$13,Budgeting!$D$13)))</f>
        <v>26.132827156951464</v>
      </c>
      <c r="O261" s="216">
        <f t="shared" si="30"/>
        <v>8394372.9684803598</v>
      </c>
      <c r="P261" s="217">
        <f>IF(D261&gt;1500000,Budgeting!$B$15,(IF(D261&gt;500000,Budgeting!$C$15,Budgeting!$D$15)))</f>
        <v>2.1188778775906578</v>
      </c>
      <c r="Q261" s="218">
        <f t="shared" si="31"/>
        <v>680624.83528219094</v>
      </c>
    </row>
    <row r="262" spans="1:17">
      <c r="A262" s="222">
        <v>7</v>
      </c>
      <c r="B262" s="191" t="s">
        <v>115</v>
      </c>
      <c r="C262" s="191">
        <v>2025</v>
      </c>
      <c r="D262" s="208">
        <f>Population!J8</f>
        <v>6450085.4967757976</v>
      </c>
      <c r="E262" s="209" t="str">
        <f t="shared" si="32"/>
        <v>Large</v>
      </c>
      <c r="F262" s="208"/>
      <c r="G262" s="210">
        <f>Variables!$C$3*POWER(SUM(1,Variables!$C$2/100),C262-2017)</f>
        <v>11296.843648702486</v>
      </c>
      <c r="H262" s="210">
        <f t="shared" si="27"/>
        <v>312.13787045714025</v>
      </c>
      <c r="I262" s="211">
        <f>VLOOKUP(B262,'Waste per capita'!$B$2:$F$48,4,FALSE)*(H262/Variables!$C$6)</f>
        <v>373.64902296906183</v>
      </c>
      <c r="J262" s="210">
        <f t="shared" si="28"/>
        <v>2410068.1439371924</v>
      </c>
      <c r="K262" s="212">
        <f>Variables!$C$13</f>
        <v>1</v>
      </c>
      <c r="L262" s="213">
        <f t="shared" si="29"/>
        <v>2410068.1439371924</v>
      </c>
      <c r="N262" s="215">
        <f>IF(D262&gt;1500000,Budgeting!$B$13,(IF(D262&gt;500000,Budgeting!$C$13,Budgeting!$D$13)))</f>
        <v>25.956254000485576</v>
      </c>
      <c r="O262" s="216">
        <f t="shared" si="30"/>
        <v>62556340.902512595</v>
      </c>
      <c r="P262" s="217">
        <f>IF(D262&gt;1500000,Budgeting!$B$15,(IF(D262&gt;500000,Budgeting!$C$15,Budgeting!$D$15)))</f>
        <v>3.7080362857836535</v>
      </c>
      <c r="Q262" s="218">
        <f t="shared" si="31"/>
        <v>8936620.1289303713</v>
      </c>
    </row>
    <row r="263" spans="1:17">
      <c r="A263" s="222">
        <v>8</v>
      </c>
      <c r="B263" s="191" t="s">
        <v>116</v>
      </c>
      <c r="C263" s="191">
        <v>2025</v>
      </c>
      <c r="D263" s="208">
        <f>Population!J9</f>
        <v>61467.432588801312</v>
      </c>
      <c r="E263" s="209" t="str">
        <f t="shared" si="32"/>
        <v>Small</v>
      </c>
      <c r="F263" s="208"/>
      <c r="G263" s="210">
        <f>Variables!$C$3*POWER(SUM(1,Variables!$C$2/100),C263-2017)</f>
        <v>11296.843648702486</v>
      </c>
      <c r="H263" s="210">
        <f t="shared" si="27"/>
        <v>312.13787045714025</v>
      </c>
      <c r="I263" s="211">
        <f>VLOOKUP(B263,'Waste per capita'!$B$2:$F$48,4,FALSE)*(H263/Variables!$C$6)</f>
        <v>252.79361864714772</v>
      </c>
      <c r="J263" s="210">
        <f t="shared" si="28"/>
        <v>15538.574713072698</v>
      </c>
      <c r="K263" s="212">
        <f>Variables!$C$13</f>
        <v>1</v>
      </c>
      <c r="L263" s="213">
        <f t="shared" si="29"/>
        <v>15538.574713072698</v>
      </c>
      <c r="N263" s="215">
        <f>IF(D263&gt;1500000,Budgeting!$B$13,(IF(D263&gt;500000,Budgeting!$C$13,Budgeting!$D$13)))</f>
        <v>26.27408568212417</v>
      </c>
      <c r="O263" s="216">
        <f t="shared" si="30"/>
        <v>408261.84338936006</v>
      </c>
      <c r="P263" s="217">
        <f>IF(D263&gt;1500000,Budgeting!$B$15,(IF(D263&gt;500000,Budgeting!$C$15,Budgeting!$D$15)))</f>
        <v>7.6279603593263765</v>
      </c>
      <c r="Q263" s="218">
        <f t="shared" si="31"/>
        <v>118527.63195174976</v>
      </c>
    </row>
    <row r="264" spans="1:17">
      <c r="A264" s="222">
        <v>9</v>
      </c>
      <c r="B264" s="191" t="s">
        <v>117</v>
      </c>
      <c r="C264" s="191">
        <v>2025</v>
      </c>
      <c r="D264" s="208">
        <f>Population!J10</f>
        <v>790625.927443753</v>
      </c>
      <c r="E264" s="209" t="str">
        <f t="shared" si="32"/>
        <v>Medium</v>
      </c>
      <c r="F264" s="208"/>
      <c r="G264" s="210">
        <f>Variables!$C$3*POWER(SUM(1,Variables!$C$2/100),C264-2017)</f>
        <v>11296.843648702486</v>
      </c>
      <c r="H264" s="210">
        <f t="shared" si="27"/>
        <v>312.13787045714025</v>
      </c>
      <c r="I264" s="211">
        <f>VLOOKUP(B264,'Waste per capita'!$B$2:$F$48,4,FALSE)*(H264/Variables!$C$6)</f>
        <v>186.82451148453092</v>
      </c>
      <c r="J264" s="210">
        <f t="shared" si="28"/>
        <v>147708.30266168335</v>
      </c>
      <c r="K264" s="212">
        <f>Variables!$C$13</f>
        <v>1</v>
      </c>
      <c r="L264" s="213">
        <f t="shared" si="29"/>
        <v>147708.30266168335</v>
      </c>
      <c r="N264" s="215">
        <f>IF(D264&gt;1500000,Budgeting!$B$13,(IF(D264&gt;500000,Budgeting!$C$13,Budgeting!$D$13)))</f>
        <v>26.132827156951464</v>
      </c>
      <c r="O264" s="216">
        <f t="shared" si="30"/>
        <v>3860035.5431044451</v>
      </c>
      <c r="P264" s="217">
        <f>IF(D264&gt;1500000,Budgeting!$B$15,(IF(D264&gt;500000,Budgeting!$C$15,Budgeting!$D$15)))</f>
        <v>2.1188778775906578</v>
      </c>
      <c r="Q264" s="218">
        <f t="shared" si="31"/>
        <v>312975.85484630615</v>
      </c>
    </row>
    <row r="265" spans="1:17">
      <c r="A265" s="222">
        <v>10</v>
      </c>
      <c r="B265" s="191" t="s">
        <v>118</v>
      </c>
      <c r="C265" s="191">
        <v>2025</v>
      </c>
      <c r="D265" s="208">
        <f>Population!J11</f>
        <v>733693.38718744833</v>
      </c>
      <c r="E265" s="209" t="str">
        <f t="shared" si="32"/>
        <v>Medium</v>
      </c>
      <c r="F265" s="208"/>
      <c r="G265" s="210">
        <f>Variables!$C$3*POWER(SUM(1,Variables!$C$2/100),C265-2017)</f>
        <v>11296.843648702486</v>
      </c>
      <c r="H265" s="210">
        <f t="shared" si="27"/>
        <v>312.13787045714025</v>
      </c>
      <c r="I265" s="211">
        <f>VLOOKUP(B265,'Waste per capita'!$B$2:$F$48,4,FALSE)*(H265/Variables!$C$6)</f>
        <v>214.19729301653939</v>
      </c>
      <c r="J265" s="210">
        <f t="shared" si="28"/>
        <v>157155.13743968715</v>
      </c>
      <c r="K265" s="212">
        <f>Variables!$C$13</f>
        <v>1</v>
      </c>
      <c r="L265" s="213">
        <f t="shared" si="29"/>
        <v>157155.13743968715</v>
      </c>
      <c r="N265" s="215">
        <f>IF(D265&gt;1500000,Budgeting!$B$13,(IF(D265&gt;500000,Budgeting!$C$13,Budgeting!$D$13)))</f>
        <v>26.132827156951464</v>
      </c>
      <c r="O265" s="216">
        <f t="shared" si="30"/>
        <v>4106908.0435382961</v>
      </c>
      <c r="P265" s="217">
        <f>IF(D265&gt;1500000,Budgeting!$B$15,(IF(D265&gt;500000,Budgeting!$C$15,Budgeting!$D$15)))</f>
        <v>2.1188778775906578</v>
      </c>
      <c r="Q265" s="218">
        <f t="shared" si="31"/>
        <v>332992.54407067242</v>
      </c>
    </row>
    <row r="266" spans="1:17">
      <c r="A266" s="222">
        <v>11</v>
      </c>
      <c r="B266" s="191" t="s">
        <v>119</v>
      </c>
      <c r="C266" s="191">
        <v>2025</v>
      </c>
      <c r="D266" s="208">
        <f>Population!J12</f>
        <v>286178.49633113679</v>
      </c>
      <c r="E266" s="209" t="str">
        <f t="shared" si="32"/>
        <v>Medium</v>
      </c>
      <c r="F266" s="208"/>
      <c r="G266" s="210">
        <f>Variables!$C$3*POWER(SUM(1,Variables!$C$2/100),C266-2017)</f>
        <v>11296.843648702486</v>
      </c>
      <c r="H266" s="210">
        <f t="shared" si="27"/>
        <v>312.13787045714025</v>
      </c>
      <c r="I266" s="211">
        <f>VLOOKUP(B266,'Waste per capita'!$B$2:$F$48,4,FALSE)*(H266/Variables!$C$6)</f>
        <v>132.46596718253463</v>
      </c>
      <c r="J266" s="210">
        <f t="shared" si="28"/>
        <v>37908.911303347471</v>
      </c>
      <c r="K266" s="212">
        <f>Variables!$C$13</f>
        <v>1</v>
      </c>
      <c r="L266" s="213">
        <f t="shared" si="29"/>
        <v>37908.911303347471</v>
      </c>
      <c r="N266" s="215">
        <f>IF(D266&gt;1500000,Budgeting!$B$13,(IF(D266&gt;500000,Budgeting!$C$13,Budgeting!$D$13)))</f>
        <v>26.27408568212417</v>
      </c>
      <c r="O266" s="216">
        <f t="shared" si="30"/>
        <v>996021.98370019696</v>
      </c>
      <c r="P266" s="217">
        <f>IF(D266&gt;1500000,Budgeting!$B$15,(IF(D266&gt;500000,Budgeting!$C$15,Budgeting!$D$15)))</f>
        <v>7.6279603593263765</v>
      </c>
      <c r="Q266" s="218">
        <f t="shared" si="31"/>
        <v>289167.67268715409</v>
      </c>
    </row>
    <row r="267" spans="1:17">
      <c r="A267" s="222">
        <v>12</v>
      </c>
      <c r="B267" s="191" t="s">
        <v>120</v>
      </c>
      <c r="C267" s="191">
        <v>2025</v>
      </c>
      <c r="D267" s="208">
        <f>Population!J13</f>
        <v>139206.06441896319</v>
      </c>
      <c r="E267" s="209" t="str">
        <f t="shared" si="32"/>
        <v>Medium</v>
      </c>
      <c r="F267" s="208"/>
      <c r="G267" s="210">
        <f>Variables!$C$3*POWER(SUM(1,Variables!$C$2/100),C267-2017)</f>
        <v>11296.843648702486</v>
      </c>
      <c r="H267" s="210">
        <f t="shared" si="27"/>
        <v>312.13787045714025</v>
      </c>
      <c r="I267" s="211">
        <f>VLOOKUP(B267,'Waste per capita'!$B$2:$F$48,4,FALSE)*(H267/Variables!$C$6)</f>
        <v>264.93193436506925</v>
      </c>
      <c r="J267" s="210">
        <f t="shared" si="28"/>
        <v>36880.131921864362</v>
      </c>
      <c r="K267" s="212">
        <f>Variables!$C$13</f>
        <v>1</v>
      </c>
      <c r="L267" s="213">
        <f t="shared" si="29"/>
        <v>36880.131921864362</v>
      </c>
      <c r="N267" s="215">
        <f>IF(D267&gt;1500000,Budgeting!$B$13,(IF(D267&gt;500000,Budgeting!$C$13,Budgeting!$D$13)))</f>
        <v>26.27408568212417</v>
      </c>
      <c r="O267" s="216">
        <f t="shared" si="30"/>
        <v>968991.74608310696</v>
      </c>
      <c r="P267" s="217">
        <f>IF(D267&gt;1500000,Budgeting!$B$15,(IF(D267&gt;500000,Budgeting!$C$15,Budgeting!$D$15)))</f>
        <v>7.6279603593263765</v>
      </c>
      <c r="Q267" s="218">
        <f t="shared" si="31"/>
        <v>281320.18434670864</v>
      </c>
    </row>
    <row r="268" spans="1:17">
      <c r="A268" s="222">
        <v>13</v>
      </c>
      <c r="B268" s="191" t="s">
        <v>121</v>
      </c>
      <c r="C268" s="191">
        <v>2025</v>
      </c>
      <c r="D268" s="208">
        <f>Population!J14</f>
        <v>9344335.1254904196</v>
      </c>
      <c r="E268" s="209" t="str">
        <f t="shared" si="32"/>
        <v>Large</v>
      </c>
      <c r="F268" s="208"/>
      <c r="G268" s="210">
        <f>Variables!$C$3*POWER(SUM(1,Variables!$C$2/100),C268-2017)</f>
        <v>11296.843648702486</v>
      </c>
      <c r="H268" s="210">
        <f t="shared" si="27"/>
        <v>312.13787045714025</v>
      </c>
      <c r="I268" s="211">
        <f>VLOOKUP(B268,'Waste per capita'!$B$2:$F$48,4,FALSE)*(H268/Variables!$C$6)</f>
        <v>343.03935724560762</v>
      </c>
      <c r="J268" s="210">
        <f t="shared" si="28"/>
        <v>3205474.7153357877</v>
      </c>
      <c r="K268" s="212">
        <f>Variables!$C$13</f>
        <v>1</v>
      </c>
      <c r="L268" s="213">
        <f t="shared" si="29"/>
        <v>3205474.7153357877</v>
      </c>
      <c r="N268" s="215">
        <f>IF(D268&gt;1500000,Budgeting!$B$13,(IF(D268&gt;500000,Budgeting!$C$13,Budgeting!$D$13)))</f>
        <v>25.956254000485576</v>
      </c>
      <c r="O268" s="216">
        <f t="shared" si="30"/>
        <v>83202115.903389901</v>
      </c>
      <c r="P268" s="217">
        <f>IF(D268&gt;1500000,Budgeting!$B$15,(IF(D268&gt;500000,Budgeting!$C$15,Budgeting!$D$15)))</f>
        <v>3.7080362857836535</v>
      </c>
      <c r="Q268" s="218">
        <f t="shared" si="31"/>
        <v>11886016.557627128</v>
      </c>
    </row>
    <row r="269" spans="1:17">
      <c r="A269" s="222">
        <v>14</v>
      </c>
      <c r="B269" s="191" t="s">
        <v>122</v>
      </c>
      <c r="C269" s="191">
        <v>2025</v>
      </c>
      <c r="D269" s="208">
        <f>Population!J15</f>
        <v>372345.61492068629</v>
      </c>
      <c r="E269" s="209" t="str">
        <f t="shared" si="32"/>
        <v>Medium</v>
      </c>
      <c r="F269" s="208"/>
      <c r="G269" s="210">
        <f>Variables!$C$3*POWER(SUM(1,Variables!$C$2/100),C269-2017)</f>
        <v>11296.843648702486</v>
      </c>
      <c r="H269" s="210">
        <f t="shared" si="27"/>
        <v>312.13787045714025</v>
      </c>
      <c r="I269" s="211">
        <f>VLOOKUP(B269,'Waste per capita'!$B$2:$F$48,4,FALSE)*(H269/Variables!$C$6)</f>
        <v>114.52237003430285</v>
      </c>
      <c r="J269" s="210">
        <f t="shared" si="28"/>
        <v>42641.902292596867</v>
      </c>
      <c r="K269" s="212">
        <f>Variables!$C$13</f>
        <v>1</v>
      </c>
      <c r="L269" s="213">
        <f t="shared" si="29"/>
        <v>42641.902292596867</v>
      </c>
      <c r="N269" s="215">
        <f>IF(D269&gt;1500000,Budgeting!$B$13,(IF(D269&gt;500000,Budgeting!$C$13,Budgeting!$D$13)))</f>
        <v>26.27408568212417</v>
      </c>
      <c r="O269" s="216">
        <f t="shared" si="30"/>
        <v>1120376.9944844572</v>
      </c>
      <c r="P269" s="217">
        <f>IF(D269&gt;1500000,Budgeting!$B$15,(IF(D269&gt;500000,Budgeting!$C$15,Budgeting!$D$15)))</f>
        <v>7.6279603593263765</v>
      </c>
      <c r="Q269" s="218">
        <f t="shared" si="31"/>
        <v>325270.74033419741</v>
      </c>
    </row>
    <row r="270" spans="1:17">
      <c r="A270" s="222">
        <v>15</v>
      </c>
      <c r="B270" s="191" t="s">
        <v>123</v>
      </c>
      <c r="C270" s="191">
        <v>2025</v>
      </c>
      <c r="D270" s="208">
        <f>Population!J16</f>
        <v>82577.516027003978</v>
      </c>
      <c r="E270" s="209" t="str">
        <f t="shared" si="32"/>
        <v>Small</v>
      </c>
      <c r="F270" s="208"/>
      <c r="G270" s="210">
        <f>Variables!$C$3*POWER(SUM(1,Variables!$C$2/100),C270-2017)</f>
        <v>11296.843648702486</v>
      </c>
      <c r="H270" s="210">
        <f t="shared" si="27"/>
        <v>312.13787045714025</v>
      </c>
      <c r="I270" s="211">
        <f>VLOOKUP(B270,'Waste per capita'!$B$2:$F$48,4,FALSE)*(H270/Variables!$C$6)</f>
        <v>204.7681086327627</v>
      </c>
      <c r="J270" s="210">
        <f t="shared" si="28"/>
        <v>16909.241772441252</v>
      </c>
      <c r="K270" s="212">
        <f>Variables!$C$13</f>
        <v>1</v>
      </c>
      <c r="L270" s="213">
        <f t="shared" si="29"/>
        <v>16909.241772441252</v>
      </c>
      <c r="N270" s="215">
        <f>IF(D270&gt;1500000,Budgeting!$B$13,(IF(D270&gt;500000,Budgeting!$C$13,Budgeting!$D$13)))</f>
        <v>26.27408568212417</v>
      </c>
      <c r="O270" s="216">
        <f t="shared" si="30"/>
        <v>444274.86714887462</v>
      </c>
      <c r="P270" s="217">
        <f>IF(D270&gt;1500000,Budgeting!$B$15,(IF(D270&gt;500000,Budgeting!$C$15,Budgeting!$D$15)))</f>
        <v>7.6279603593263765</v>
      </c>
      <c r="Q270" s="218">
        <f t="shared" si="31"/>
        <v>128983.02594644754</v>
      </c>
    </row>
    <row r="271" spans="1:17">
      <c r="A271" s="222">
        <v>16</v>
      </c>
      <c r="B271" s="191" t="s">
        <v>124</v>
      </c>
      <c r="C271" s="191">
        <v>2025</v>
      </c>
      <c r="D271" s="208">
        <f>Population!J17</f>
        <v>4228350.545526416</v>
      </c>
      <c r="E271" s="209" t="str">
        <f t="shared" si="32"/>
        <v>Large</v>
      </c>
      <c r="F271" s="208"/>
      <c r="G271" s="210">
        <f>Variables!$C$3*POWER(SUM(1,Variables!$C$2/100),C271-2017)</f>
        <v>11296.843648702486</v>
      </c>
      <c r="H271" s="210">
        <f t="shared" si="27"/>
        <v>312.13787045714025</v>
      </c>
      <c r="I271" s="211">
        <f>VLOOKUP(B271,'Waste per capita'!$B$2:$F$48,4,FALSE)*(H271/Variables!$C$6)</f>
        <v>234.85002149891599</v>
      </c>
      <c r="J271" s="210">
        <f t="shared" si="28"/>
        <v>993028.21652183204</v>
      </c>
      <c r="K271" s="212">
        <f>Variables!$C$13</f>
        <v>1</v>
      </c>
      <c r="L271" s="213">
        <f t="shared" si="29"/>
        <v>993028.21652183204</v>
      </c>
      <c r="N271" s="215">
        <f>IF(D271&gt;1500000,Budgeting!$B$13,(IF(D271&gt;500000,Budgeting!$C$13,Budgeting!$D$13)))</f>
        <v>25.956254000485576</v>
      </c>
      <c r="O271" s="216">
        <f t="shared" si="30"/>
        <v>25775292.617689859</v>
      </c>
      <c r="P271" s="217">
        <f>IF(D271&gt;1500000,Budgeting!$B$15,(IF(D271&gt;500000,Budgeting!$C$15,Budgeting!$D$15)))</f>
        <v>3.7080362857836535</v>
      </c>
      <c r="Q271" s="218">
        <f t="shared" si="31"/>
        <v>3682184.6596699799</v>
      </c>
    </row>
    <row r="272" spans="1:17">
      <c r="A272" s="222">
        <v>17</v>
      </c>
      <c r="B272" s="191" t="s">
        <v>125</v>
      </c>
      <c r="C272" s="191">
        <v>2025</v>
      </c>
      <c r="D272" s="208">
        <f>Population!J18</f>
        <v>15560.496800516297</v>
      </c>
      <c r="E272" s="209" t="str">
        <f t="shared" si="32"/>
        <v>Small</v>
      </c>
      <c r="F272" s="208"/>
      <c r="G272" s="210">
        <f>Variables!$C$3*POWER(SUM(1,Variables!$C$2/100),C272-2017)</f>
        <v>11296.843648702486</v>
      </c>
      <c r="H272" s="210">
        <f t="shared" si="27"/>
        <v>312.13787045714025</v>
      </c>
      <c r="I272" s="211">
        <f>VLOOKUP(B272,'Waste per capita'!$B$2:$F$48,4,FALSE)*(H272/Variables!$C$6)</f>
        <v>180.73727989758044</v>
      </c>
      <c r="J272" s="210">
        <f t="shared" si="28"/>
        <v>2812.3618655803189</v>
      </c>
      <c r="K272" s="212">
        <f>Variables!$C$13</f>
        <v>1</v>
      </c>
      <c r="L272" s="213">
        <f t="shared" si="29"/>
        <v>2812.3618655803189</v>
      </c>
      <c r="N272" s="215">
        <f>IF(D272&gt;1500000,Budgeting!$B$13,(IF(D272&gt;500000,Budgeting!$C$13,Budgeting!$D$13)))</f>
        <v>26.27408568212417</v>
      </c>
      <c r="O272" s="216">
        <f t="shared" si="30"/>
        <v>73892.236625395875</v>
      </c>
      <c r="P272" s="217">
        <f>IF(D272&gt;1500000,Budgeting!$B$15,(IF(D272&gt;500000,Budgeting!$C$15,Budgeting!$D$15)))</f>
        <v>7.6279603593263765</v>
      </c>
      <c r="Q272" s="218">
        <f t="shared" si="31"/>
        <v>21452.584826727849</v>
      </c>
    </row>
    <row r="273" spans="1:17">
      <c r="A273" s="222">
        <v>18</v>
      </c>
      <c r="B273" s="191" t="s">
        <v>126</v>
      </c>
      <c r="C273" s="191">
        <v>2025</v>
      </c>
      <c r="D273" s="208">
        <f>Population!J19</f>
        <v>137475.11531011004</v>
      </c>
      <c r="E273" s="209" t="str">
        <f t="shared" si="32"/>
        <v>Medium</v>
      </c>
      <c r="F273" s="208"/>
      <c r="G273" s="210">
        <f>Variables!$C$3*POWER(SUM(1,Variables!$C$2/100),C273-2017)</f>
        <v>11296.843648702486</v>
      </c>
      <c r="H273" s="210">
        <f t="shared" si="27"/>
        <v>312.13787045714025</v>
      </c>
      <c r="I273" s="211">
        <f>VLOOKUP(B273,'Waste per capita'!$B$2:$F$48,4,FALSE)*(H273/Variables!$C$6)</f>
        <v>102.38405431638135</v>
      </c>
      <c r="J273" s="210">
        <f t="shared" si="28"/>
        <v>14075.259673061095</v>
      </c>
      <c r="K273" s="212">
        <f>Variables!$C$13</f>
        <v>1</v>
      </c>
      <c r="L273" s="213">
        <f t="shared" si="29"/>
        <v>14075.259673061095</v>
      </c>
      <c r="N273" s="215">
        <f>IF(D273&gt;1500000,Budgeting!$B$13,(IF(D273&gt;500000,Budgeting!$C$13,Budgeting!$D$13)))</f>
        <v>26.27408568212417</v>
      </c>
      <c r="O273" s="216">
        <f t="shared" si="30"/>
        <v>369814.57864815422</v>
      </c>
      <c r="P273" s="217">
        <f>IF(D273&gt;1500000,Budgeting!$B$15,(IF(D273&gt;500000,Budgeting!$C$15,Budgeting!$D$15)))</f>
        <v>7.6279603593263765</v>
      </c>
      <c r="Q273" s="218">
        <f t="shared" si="31"/>
        <v>107365.52283333517</v>
      </c>
    </row>
    <row r="274" spans="1:17">
      <c r="A274" s="222">
        <v>19</v>
      </c>
      <c r="B274" s="191" t="s">
        <v>127</v>
      </c>
      <c r="C274" s="191">
        <v>2025</v>
      </c>
      <c r="D274" s="208">
        <f>Population!J20</f>
        <v>6241819.1436129194</v>
      </c>
      <c r="E274" s="209" t="str">
        <f t="shared" si="32"/>
        <v>Large</v>
      </c>
      <c r="F274" s="208"/>
      <c r="G274" s="210">
        <f>Variables!$C$3*POWER(SUM(1,Variables!$C$2/100),C274-2017)</f>
        <v>11296.843648702486</v>
      </c>
      <c r="H274" s="210">
        <f t="shared" si="27"/>
        <v>312.13787045714025</v>
      </c>
      <c r="I274" s="211">
        <f>VLOOKUP(B274,'Waste per capita'!$B$2:$F$48,4,FALSE)*(H274/Variables!$C$6)</f>
        <v>349.37239153321889</v>
      </c>
      <c r="J274" s="210">
        <f t="shared" si="28"/>
        <v>2180719.2817218737</v>
      </c>
      <c r="K274" s="212">
        <f>Variables!$C$13</f>
        <v>1</v>
      </c>
      <c r="L274" s="213">
        <f t="shared" si="29"/>
        <v>2180719.2817218737</v>
      </c>
      <c r="N274" s="215">
        <f>IF(D274&gt;1500000,Budgeting!$B$13,(IF(D274&gt;500000,Budgeting!$C$13,Budgeting!$D$13)))</f>
        <v>25.956254000485576</v>
      </c>
      <c r="O274" s="216">
        <f t="shared" si="30"/>
        <v>56603303.580129415</v>
      </c>
      <c r="P274" s="217">
        <f>IF(D274&gt;1500000,Budgeting!$B$15,(IF(D274&gt;500000,Budgeting!$C$15,Budgeting!$D$15)))</f>
        <v>3.7080362857836535</v>
      </c>
      <c r="Q274" s="218">
        <f t="shared" si="31"/>
        <v>8086186.2257327735</v>
      </c>
    </row>
    <row r="275" spans="1:17">
      <c r="A275" s="222">
        <v>20</v>
      </c>
      <c r="B275" s="191" t="s">
        <v>128</v>
      </c>
      <c r="C275" s="191">
        <v>2025</v>
      </c>
      <c r="D275" s="208">
        <f>Population!J21</f>
        <v>3910397.2648722981</v>
      </c>
      <c r="E275" s="209" t="str">
        <f t="shared" si="32"/>
        <v>Large</v>
      </c>
      <c r="F275" s="208"/>
      <c r="G275" s="210">
        <f>Variables!$C$3*POWER(SUM(1,Variables!$C$2/100),C275-2017)</f>
        <v>11296.843648702486</v>
      </c>
      <c r="H275" s="210">
        <f t="shared" si="27"/>
        <v>312.13787045714025</v>
      </c>
      <c r="I275" s="211">
        <f>VLOOKUP(B275,'Waste per capita'!$B$2:$F$48,4,FALSE)*(H275/Variables!$C$6)</f>
        <v>132.46596718253463</v>
      </c>
      <c r="J275" s="210">
        <f t="shared" si="28"/>
        <v>517994.55575924698</v>
      </c>
      <c r="K275" s="212">
        <f>Variables!$C$13</f>
        <v>1</v>
      </c>
      <c r="L275" s="213">
        <f t="shared" si="29"/>
        <v>517994.55575924698</v>
      </c>
      <c r="N275" s="215">
        <f>IF(D275&gt;1500000,Budgeting!$B$13,(IF(D275&gt;500000,Budgeting!$C$13,Budgeting!$D$13)))</f>
        <v>25.956254000485576</v>
      </c>
      <c r="O275" s="216">
        <f t="shared" si="30"/>
        <v>13445198.260155704</v>
      </c>
      <c r="P275" s="217">
        <f>IF(D275&gt;1500000,Budgeting!$B$15,(IF(D275&gt;500000,Budgeting!$C$15,Budgeting!$D$15)))</f>
        <v>3.7080362857836535</v>
      </c>
      <c r="Q275" s="218">
        <f t="shared" si="31"/>
        <v>1920742.6085936718</v>
      </c>
    </row>
    <row r="276" spans="1:17">
      <c r="A276" s="222">
        <v>21</v>
      </c>
      <c r="B276" s="222" t="s">
        <v>129</v>
      </c>
      <c r="C276" s="191">
        <v>2025</v>
      </c>
      <c r="D276" s="208">
        <f>Population!J22</f>
        <v>17271142.306630719</v>
      </c>
      <c r="E276" s="209" t="str">
        <f t="shared" si="32"/>
        <v>Large</v>
      </c>
      <c r="F276" s="208"/>
      <c r="G276" s="210">
        <f>Variables!$C$3*POWER(SUM(1,Variables!$C$2/100),C276-2017)</f>
        <v>11296.843648702486</v>
      </c>
      <c r="H276" s="210">
        <f t="shared" si="27"/>
        <v>312.13787045714025</v>
      </c>
      <c r="I276" s="211">
        <f>VLOOKUP(B276,'Waste per capita'!$B$2:$F$48,4,FALSE)*(H276/Variables!$C$6)</f>
        <v>271.26496865268052</v>
      </c>
      <c r="J276" s="210">
        <f t="shared" si="28"/>
        <v>4685055.8764041662</v>
      </c>
      <c r="K276" s="212">
        <f>Variables!$C$13</f>
        <v>1</v>
      </c>
      <c r="L276" s="213">
        <f t="shared" si="29"/>
        <v>4685055.8764041662</v>
      </c>
      <c r="N276" s="215">
        <f>IF(D276&gt;1500000,Budgeting!$B$13,(IF(D276&gt;500000,Budgeting!$C$13,Budgeting!$D$13)))</f>
        <v>25.956254000485576</v>
      </c>
      <c r="O276" s="216">
        <f t="shared" si="30"/>
        <v>121606500.33441409</v>
      </c>
      <c r="P276" s="217">
        <f>IF(D276&gt;1500000,Budgeting!$B$15,(IF(D276&gt;500000,Budgeting!$C$15,Budgeting!$D$15)))</f>
        <v>3.7080362857836535</v>
      </c>
      <c r="Q276" s="218">
        <f t="shared" si="31"/>
        <v>17372357.190630585</v>
      </c>
    </row>
    <row r="277" spans="1:17">
      <c r="A277" s="222">
        <v>22</v>
      </c>
      <c r="B277" s="191" t="s">
        <v>130</v>
      </c>
      <c r="C277" s="191">
        <v>2025</v>
      </c>
      <c r="D277" s="208">
        <f>Population!J23</f>
        <v>15316963.226817226</v>
      </c>
      <c r="E277" s="209" t="str">
        <f t="shared" si="32"/>
        <v>Large</v>
      </c>
      <c r="F277" s="208"/>
      <c r="G277" s="210">
        <f>Variables!$C$3*POWER(SUM(1,Variables!$C$2/100),C277-2017)</f>
        <v>11296.843648702486</v>
      </c>
      <c r="H277" s="210">
        <f t="shared" si="27"/>
        <v>312.13787045714025</v>
      </c>
      <c r="I277" s="211">
        <f>VLOOKUP(B277,'Waste per capita'!$B$2:$F$48,4,FALSE)*(H277/Variables!$C$6)</f>
        <v>343.03935724560762</v>
      </c>
      <c r="J277" s="210">
        <f t="shared" si="28"/>
        <v>5254321.2202819893</v>
      </c>
      <c r="K277" s="212">
        <f>Variables!$C$13</f>
        <v>1</v>
      </c>
      <c r="L277" s="213">
        <f t="shared" si="29"/>
        <v>5254321.2202819893</v>
      </c>
      <c r="N277" s="215">
        <f>IF(D277&gt;1500000,Budgeting!$B$13,(IF(D277&gt;500000,Budgeting!$C$13,Budgeting!$D$13)))</f>
        <v>25.956254000485576</v>
      </c>
      <c r="O277" s="216">
        <f t="shared" si="30"/>
        <v>136382496.19378063</v>
      </c>
      <c r="P277" s="217">
        <f>IF(D277&gt;1500000,Budgeting!$B$15,(IF(D277&gt;500000,Budgeting!$C$15,Budgeting!$D$15)))</f>
        <v>3.7080362857836535</v>
      </c>
      <c r="Q277" s="218">
        <f t="shared" si="31"/>
        <v>19483213.741968662</v>
      </c>
    </row>
    <row r="278" spans="1:17">
      <c r="A278" s="222">
        <v>23</v>
      </c>
      <c r="B278" s="191" t="s">
        <v>131</v>
      </c>
      <c r="C278" s="191">
        <v>2025</v>
      </c>
      <c r="D278" s="208">
        <f>Population!J24</f>
        <v>55547.225732940293</v>
      </c>
      <c r="E278" s="209" t="str">
        <f t="shared" si="32"/>
        <v>Small</v>
      </c>
      <c r="F278" s="208"/>
      <c r="G278" s="210">
        <f>Variables!$C$3*POWER(SUM(1,Variables!$C$2/100),C278-2017)</f>
        <v>11296.843648702486</v>
      </c>
      <c r="H278" s="210">
        <f t="shared" si="27"/>
        <v>312.13787045714025</v>
      </c>
      <c r="I278" s="211">
        <f>VLOOKUP(B278,'Waste per capita'!$B$2:$F$48,4,FALSE)*(H278/Variables!$C$6)</f>
        <v>325.09576009737583</v>
      </c>
      <c r="J278" s="210">
        <f t="shared" si="28"/>
        <v>18058.16757095074</v>
      </c>
      <c r="K278" s="212">
        <f>Variables!$C$13</f>
        <v>1</v>
      </c>
      <c r="L278" s="213">
        <f t="shared" si="29"/>
        <v>18058.16757095074</v>
      </c>
      <c r="N278" s="215">
        <f>IF(D278&gt;1500000,Budgeting!$B$13,(IF(D278&gt;500000,Budgeting!$C$13,Budgeting!$D$13)))</f>
        <v>26.27408568212417</v>
      </c>
      <c r="O278" s="216">
        <f t="shared" si="30"/>
        <v>474461.84202131582</v>
      </c>
      <c r="P278" s="217">
        <f>IF(D278&gt;1500000,Budgeting!$B$15,(IF(D278&gt;500000,Budgeting!$C$15,Budgeting!$D$15)))</f>
        <v>7.6279603593263765</v>
      </c>
      <c r="Q278" s="218">
        <f t="shared" si="31"/>
        <v>137746.98639328533</v>
      </c>
    </row>
    <row r="279" spans="1:17">
      <c r="A279" s="222">
        <v>24</v>
      </c>
      <c r="B279" s="191" t="s">
        <v>132</v>
      </c>
      <c r="C279" s="191">
        <v>2025</v>
      </c>
      <c r="D279" s="208">
        <f>Population!J25</f>
        <v>2337852.9029758396</v>
      </c>
      <c r="E279" s="209" t="str">
        <f t="shared" si="32"/>
        <v>Large</v>
      </c>
      <c r="F279" s="208"/>
      <c r="G279" s="210">
        <f>Variables!$C$3*POWER(SUM(1,Variables!$C$2/100),C279-2017)</f>
        <v>11296.843648702486</v>
      </c>
      <c r="H279" s="210">
        <f t="shared" si="27"/>
        <v>312.13787045714025</v>
      </c>
      <c r="I279" s="211">
        <f>VLOOKUP(B279,'Waste per capita'!$B$2:$F$48,4,FALSE)*(H279/Variables!$C$6)</f>
        <v>222.71170578099449</v>
      </c>
      <c r="J279" s="210">
        <f t="shared" si="28"/>
        <v>520667.20788679906</v>
      </c>
      <c r="K279" s="212">
        <f>Variables!$C$13</f>
        <v>1</v>
      </c>
      <c r="L279" s="213">
        <f t="shared" si="29"/>
        <v>520667.20788679906</v>
      </c>
      <c r="N279" s="215">
        <f>IF(D279&gt;1500000,Budgeting!$B$13,(IF(D279&gt;500000,Budgeting!$C$13,Budgeting!$D$13)))</f>
        <v>25.956254000485576</v>
      </c>
      <c r="O279" s="216">
        <f t="shared" si="30"/>
        <v>13514570.297633383</v>
      </c>
      <c r="P279" s="217">
        <f>IF(D279&gt;1500000,Budgeting!$B$15,(IF(D279&gt;500000,Budgeting!$C$15,Budgeting!$D$15)))</f>
        <v>3.7080362857836535</v>
      </c>
      <c r="Q279" s="218">
        <f t="shared" si="31"/>
        <v>1930652.8996619119</v>
      </c>
    </row>
    <row r="280" spans="1:17">
      <c r="A280" s="222">
        <v>25</v>
      </c>
      <c r="B280" s="191" t="s">
        <v>133</v>
      </c>
      <c r="C280" s="191">
        <v>2025</v>
      </c>
      <c r="D280" s="208">
        <f>Population!J26</f>
        <v>335602.85396531905</v>
      </c>
      <c r="E280" s="209" t="str">
        <f t="shared" si="32"/>
        <v>Medium</v>
      </c>
      <c r="F280" s="208"/>
      <c r="G280" s="210">
        <f>Variables!$C$3*POWER(SUM(1,Variables!$C$2/100),C280-2017)</f>
        <v>11296.843648702486</v>
      </c>
      <c r="H280" s="210">
        <f t="shared" si="27"/>
        <v>312.13787045714025</v>
      </c>
      <c r="I280" s="211">
        <f>VLOOKUP(B280,'Waste per capita'!$B$2:$F$48,4,FALSE)*(H280/Variables!$C$6)</f>
        <v>355.17767296352918</v>
      </c>
      <c r="J280" s="210">
        <f t="shared" si="28"/>
        <v>119198.64071132113</v>
      </c>
      <c r="K280" s="212">
        <f>Variables!$C$13</f>
        <v>1</v>
      </c>
      <c r="L280" s="213">
        <f t="shared" si="29"/>
        <v>119198.64071132113</v>
      </c>
      <c r="N280" s="215">
        <f>IF(D280&gt;1500000,Budgeting!$B$13,(IF(D280&gt;500000,Budgeting!$C$13,Budgeting!$D$13)))</f>
        <v>26.27408568212417</v>
      </c>
      <c r="O280" s="216">
        <f t="shared" si="30"/>
        <v>3131835.2992419857</v>
      </c>
      <c r="P280" s="217">
        <f>IF(D280&gt;1500000,Budgeting!$B$15,(IF(D280&gt;500000,Budgeting!$C$15,Budgeting!$D$15)))</f>
        <v>7.6279603593263765</v>
      </c>
      <c r="Q280" s="218">
        <f t="shared" si="31"/>
        <v>909242.50623154477</v>
      </c>
    </row>
    <row r="281" spans="1:17">
      <c r="A281" s="222">
        <v>26</v>
      </c>
      <c r="B281" s="191" t="s">
        <v>134</v>
      </c>
      <c r="C281" s="191">
        <v>2025</v>
      </c>
      <c r="D281" s="208">
        <f>Population!J27</f>
        <v>139067.25534848581</v>
      </c>
      <c r="E281" s="209" t="str">
        <f t="shared" si="32"/>
        <v>Medium</v>
      </c>
      <c r="F281" s="208"/>
      <c r="G281" s="210">
        <f>Variables!$C$3*POWER(SUM(1,Variables!$C$2/100),C281-2017)</f>
        <v>11296.843648702486</v>
      </c>
      <c r="H281" s="210">
        <f t="shared" si="27"/>
        <v>312.13787045714025</v>
      </c>
      <c r="I281" s="211">
        <f>VLOOKUP(B281,'Waste per capita'!$B$2:$F$48,4,FALSE)*(H281/Variables!$C$6)</f>
        <v>457.56172727991049</v>
      </c>
      <c r="J281" s="210">
        <f t="shared" si="28"/>
        <v>63631.85356532954</v>
      </c>
      <c r="K281" s="212">
        <f>Variables!$C$13</f>
        <v>1</v>
      </c>
      <c r="L281" s="213">
        <f t="shared" si="29"/>
        <v>63631.85356532954</v>
      </c>
      <c r="N281" s="215">
        <f>IF(D281&gt;1500000,Budgeting!$B$13,(IF(D281&gt;500000,Budgeting!$C$13,Budgeting!$D$13)))</f>
        <v>26.27408568212417</v>
      </c>
      <c r="O281" s="216">
        <f t="shared" si="30"/>
        <v>1671868.7726878468</v>
      </c>
      <c r="P281" s="217">
        <f>IF(D281&gt;1500000,Budgeting!$B$15,(IF(D281&gt;500000,Budgeting!$C$15,Budgeting!$D$15)))</f>
        <v>7.6279603593263765</v>
      </c>
      <c r="Q281" s="218">
        <f t="shared" si="31"/>
        <v>485381.25658679451</v>
      </c>
    </row>
    <row r="282" spans="1:17">
      <c r="A282" s="222">
        <v>27</v>
      </c>
      <c r="B282" s="191" t="s">
        <v>135</v>
      </c>
      <c r="C282" s="191">
        <v>2025</v>
      </c>
      <c r="D282" s="208">
        <f>Population!J28</f>
        <v>1402572.6550968853</v>
      </c>
      <c r="E282" s="209" t="str">
        <f t="shared" si="32"/>
        <v>Large</v>
      </c>
      <c r="F282" s="208"/>
      <c r="G282" s="210">
        <f>Variables!$C$3*POWER(SUM(1,Variables!$C$2/100),C282-2017)</f>
        <v>11296.843648702486</v>
      </c>
      <c r="H282" s="210">
        <f t="shared" si="27"/>
        <v>312.13787045714025</v>
      </c>
      <c r="I282" s="211">
        <f>VLOOKUP(B282,'Waste per capita'!$B$2:$F$48,4,FALSE)*(H282/Variables!$C$6)</f>
        <v>180.4914771969197</v>
      </c>
      <c r="J282" s="210">
        <f t="shared" si="28"/>
        <v>253152.41039444259</v>
      </c>
      <c r="K282" s="212">
        <f>Variables!$C$13</f>
        <v>1</v>
      </c>
      <c r="L282" s="213">
        <f t="shared" si="29"/>
        <v>253152.41039444259</v>
      </c>
      <c r="N282" s="215">
        <f>IF(D282&gt;1500000,Budgeting!$B$13,(IF(D282&gt;500000,Budgeting!$C$13,Budgeting!$D$13)))</f>
        <v>26.132827156951464</v>
      </c>
      <c r="O282" s="216">
        <f t="shared" si="30"/>
        <v>6615588.1852036109</v>
      </c>
      <c r="P282" s="217">
        <f>IF(D282&gt;1500000,Budgeting!$B$15,(IF(D282&gt;500000,Budgeting!$C$15,Budgeting!$D$15)))</f>
        <v>2.1188778775906578</v>
      </c>
      <c r="Q282" s="218">
        <f t="shared" si="31"/>
        <v>536399.04204353574</v>
      </c>
    </row>
    <row r="283" spans="1:17">
      <c r="A283" s="222">
        <v>28</v>
      </c>
      <c r="B283" s="191" t="s">
        <v>136</v>
      </c>
      <c r="C283" s="191">
        <v>2025</v>
      </c>
      <c r="D283" s="208">
        <f>Population!J29</f>
        <v>1490014.0409534173</v>
      </c>
      <c r="E283" s="209" t="str">
        <f t="shared" si="32"/>
        <v>Large</v>
      </c>
      <c r="F283" s="208"/>
      <c r="G283" s="210">
        <f>Variables!$C$3*POWER(SUM(1,Variables!$C$2/100),C283-2017)</f>
        <v>11296.843648702486</v>
      </c>
      <c r="H283" s="210">
        <f t="shared" si="27"/>
        <v>312.13787045714025</v>
      </c>
      <c r="I283" s="211">
        <f>VLOOKUP(B283,'Waste per capita'!$B$2:$F$48,4,FALSE)*(H283/Variables!$C$6)</f>
        <v>150.40956433076641</v>
      </c>
      <c r="J283" s="210">
        <f t="shared" si="28"/>
        <v>224112.36274652823</v>
      </c>
      <c r="K283" s="212">
        <f>Variables!$C$13</f>
        <v>1</v>
      </c>
      <c r="L283" s="213">
        <f t="shared" si="29"/>
        <v>224112.36274652823</v>
      </c>
      <c r="N283" s="215">
        <f>IF(D283&gt;1500000,Budgeting!$B$13,(IF(D283&gt;500000,Budgeting!$C$13,Budgeting!$D$13)))</f>
        <v>26.132827156951464</v>
      </c>
      <c r="O283" s="216">
        <f t="shared" si="30"/>
        <v>5856689.6393910302</v>
      </c>
      <c r="P283" s="217">
        <f>IF(D283&gt;1500000,Budgeting!$B$15,(IF(D283&gt;500000,Budgeting!$C$15,Budgeting!$D$15)))</f>
        <v>2.1188778775906578</v>
      </c>
      <c r="Q283" s="218">
        <f t="shared" si="31"/>
        <v>474866.72751819133</v>
      </c>
    </row>
    <row r="284" spans="1:17">
      <c r="A284" s="222">
        <v>29</v>
      </c>
      <c r="B284" s="191" t="s">
        <v>137</v>
      </c>
      <c r="C284" s="191">
        <v>2025</v>
      </c>
      <c r="D284" s="208">
        <f>Population!J30</f>
        <v>198814.84355407214</v>
      </c>
      <c r="E284" s="209" t="str">
        <f t="shared" si="32"/>
        <v>Medium</v>
      </c>
      <c r="F284" s="208"/>
      <c r="G284" s="210">
        <f>Variables!$C$3*POWER(SUM(1,Variables!$C$2/100),C284-2017)</f>
        <v>11296.843648702486</v>
      </c>
      <c r="H284" s="210">
        <f t="shared" si="27"/>
        <v>312.13787045714025</v>
      </c>
      <c r="I284" s="211">
        <f>VLOOKUP(B284,'Waste per capita'!$B$2:$F$48,4,FALSE)*(H284/Variables!$C$6)</f>
        <v>204.7681086327627</v>
      </c>
      <c r="J284" s="210">
        <f t="shared" si="28"/>
        <v>40710.939482685972</v>
      </c>
      <c r="K284" s="212">
        <f>Variables!$C$13</f>
        <v>1</v>
      </c>
      <c r="L284" s="213">
        <f t="shared" si="29"/>
        <v>40710.939482685972</v>
      </c>
      <c r="N284" s="215">
        <f>IF(D284&gt;1500000,Budgeting!$B$13,(IF(D284&gt;500000,Budgeting!$C$13,Budgeting!$D$13)))</f>
        <v>26.27408568212417</v>
      </c>
      <c r="O284" s="216">
        <f t="shared" si="30"/>
        <v>1069642.712167863</v>
      </c>
      <c r="P284" s="217">
        <f>IF(D284&gt;1500000,Budgeting!$B$15,(IF(D284&gt;500000,Budgeting!$C$15,Budgeting!$D$15)))</f>
        <v>7.6279603593263765</v>
      </c>
      <c r="Q284" s="218">
        <f t="shared" si="31"/>
        <v>310541.43256486364</v>
      </c>
    </row>
    <row r="285" spans="1:17">
      <c r="A285" s="222">
        <v>30</v>
      </c>
      <c r="B285" s="191" t="s">
        <v>138</v>
      </c>
      <c r="C285" s="191">
        <v>2025</v>
      </c>
      <c r="D285" s="208">
        <f>Population!J31</f>
        <v>136400.73310461498</v>
      </c>
      <c r="E285" s="209" t="str">
        <f t="shared" si="32"/>
        <v>Medium</v>
      </c>
      <c r="F285" s="208"/>
      <c r="G285" s="210">
        <f>Variables!$C$3*POWER(SUM(1,Variables!$C$2/100),C285-2017)</f>
        <v>11296.843648702486</v>
      </c>
      <c r="H285" s="210">
        <f t="shared" si="27"/>
        <v>312.13787045714025</v>
      </c>
      <c r="I285" s="211">
        <f>VLOOKUP(B285,'Waste per capita'!$B$2:$F$48,4,FALSE)*(H285/Variables!$C$6)</f>
        <v>192.6297929148412</v>
      </c>
      <c r="J285" s="210">
        <f t="shared" si="28"/>
        <v>26274.844971374507</v>
      </c>
      <c r="K285" s="212">
        <f>Variables!$C$13</f>
        <v>1</v>
      </c>
      <c r="L285" s="213">
        <f t="shared" si="29"/>
        <v>26274.844971374507</v>
      </c>
      <c r="N285" s="215">
        <f>IF(D285&gt;1500000,Budgeting!$B$13,(IF(D285&gt;500000,Budgeting!$C$13,Budgeting!$D$13)))</f>
        <v>26.27408568212417</v>
      </c>
      <c r="O285" s="216">
        <f t="shared" si="30"/>
        <v>690347.52806242323</v>
      </c>
      <c r="P285" s="217">
        <f>IF(D285&gt;1500000,Budgeting!$B$15,(IF(D285&gt;500000,Budgeting!$C$15,Budgeting!$D$15)))</f>
        <v>7.6279603593263765</v>
      </c>
      <c r="Q285" s="218">
        <f t="shared" si="31"/>
        <v>200423.47588909071</v>
      </c>
    </row>
    <row r="286" spans="1:17">
      <c r="A286" s="222">
        <v>31</v>
      </c>
      <c r="B286" s="191" t="s">
        <v>139</v>
      </c>
      <c r="C286" s="191">
        <v>2025</v>
      </c>
      <c r="D286" s="208">
        <f>Population!J32</f>
        <v>235389.64553416171</v>
      </c>
      <c r="E286" s="209" t="str">
        <f t="shared" si="32"/>
        <v>Medium</v>
      </c>
      <c r="F286" s="208"/>
      <c r="G286" s="210">
        <f>Variables!$C$3*POWER(SUM(1,Variables!$C$2/100),C286-2017)</f>
        <v>11296.843648702486</v>
      </c>
      <c r="H286" s="210">
        <f t="shared" si="27"/>
        <v>312.13787045714025</v>
      </c>
      <c r="I286" s="211">
        <f>VLOOKUP(B286,'Waste per capita'!$B$2:$F$48,4,FALSE)*(H286/Variables!$C$6)</f>
        <v>214.19729301653939</v>
      </c>
      <c r="J286" s="210">
        <f t="shared" si="28"/>
        <v>50419.824877540181</v>
      </c>
      <c r="K286" s="212">
        <f>Variables!$C$13</f>
        <v>1</v>
      </c>
      <c r="L286" s="213">
        <f t="shared" si="29"/>
        <v>50419.824877540181</v>
      </c>
      <c r="N286" s="215">
        <f>IF(D286&gt;1500000,Budgeting!$B$13,(IF(D286&gt;500000,Budgeting!$C$13,Budgeting!$D$13)))</f>
        <v>26.27408568212417</v>
      </c>
      <c r="O286" s="216">
        <f t="shared" si="30"/>
        <v>1324734.7989101864</v>
      </c>
      <c r="P286" s="217">
        <f>IF(D286&gt;1500000,Budgeting!$B$15,(IF(D286&gt;500000,Budgeting!$C$15,Budgeting!$D$15)))</f>
        <v>7.6279603593263765</v>
      </c>
      <c r="Q286" s="218">
        <f t="shared" si="31"/>
        <v>384600.42549005436</v>
      </c>
    </row>
    <row r="287" spans="1:17">
      <c r="A287" s="222">
        <v>32</v>
      </c>
      <c r="B287" s="191" t="s">
        <v>140</v>
      </c>
      <c r="C287" s="191">
        <v>2025</v>
      </c>
      <c r="D287" s="208">
        <f>Population!J33</f>
        <v>1638738.2433350156</v>
      </c>
      <c r="E287" s="209" t="str">
        <f t="shared" si="32"/>
        <v>Large</v>
      </c>
      <c r="F287" s="208"/>
      <c r="G287" s="210">
        <f>Variables!$C$3*POWER(SUM(1,Variables!$C$2/100),C287-2017)</f>
        <v>11296.843648702486</v>
      </c>
      <c r="H287" s="210">
        <f t="shared" si="27"/>
        <v>312.13787045714025</v>
      </c>
      <c r="I287" s="211">
        <f>VLOOKUP(B287,'Waste per capita'!$B$2:$F$48,4,FALSE)*(H287/Variables!$C$6)</f>
        <v>289.20856580091231</v>
      </c>
      <c r="J287" s="210">
        <f t="shared" si="28"/>
        <v>473937.13707802631</v>
      </c>
      <c r="K287" s="212">
        <f>Variables!$C$13</f>
        <v>1</v>
      </c>
      <c r="L287" s="213">
        <f t="shared" si="29"/>
        <v>473937.13707802631</v>
      </c>
      <c r="N287" s="215">
        <f>IF(D287&gt;1500000,Budgeting!$B$13,(IF(D287&gt;500000,Budgeting!$C$13,Budgeting!$D$13)))</f>
        <v>25.956254000485576</v>
      </c>
      <c r="O287" s="216">
        <f t="shared" si="30"/>
        <v>12301632.710260201</v>
      </c>
      <c r="P287" s="217">
        <f>IF(D287&gt;1500000,Budgeting!$B$15,(IF(D287&gt;500000,Budgeting!$C$15,Budgeting!$D$15)))</f>
        <v>3.7080362857836535</v>
      </c>
      <c r="Q287" s="218">
        <f t="shared" si="31"/>
        <v>1757376.101465743</v>
      </c>
    </row>
    <row r="288" spans="1:17">
      <c r="A288" s="222">
        <v>33</v>
      </c>
      <c r="B288" s="191" t="s">
        <v>141</v>
      </c>
      <c r="C288" s="191">
        <v>2025</v>
      </c>
      <c r="D288" s="208">
        <f>Population!J34</f>
        <v>1032310.5643240648</v>
      </c>
      <c r="E288" s="209" t="str">
        <f t="shared" si="32"/>
        <v>Large</v>
      </c>
      <c r="F288" s="208"/>
      <c r="G288" s="210">
        <f>Variables!$C$3*POWER(SUM(1,Variables!$C$2/100),C288-2017)</f>
        <v>11296.843648702486</v>
      </c>
      <c r="H288" s="210">
        <f t="shared" si="27"/>
        <v>312.13787045714025</v>
      </c>
      <c r="I288" s="211">
        <f>VLOOKUP(B288,'Waste per capita'!$B$2:$F$48,4,FALSE)*(H288/Variables!$C$6)</f>
        <v>138.27124861284494</v>
      </c>
      <c r="J288" s="210">
        <f t="shared" si="28"/>
        <v>142738.87068531901</v>
      </c>
      <c r="K288" s="212">
        <f>Variables!$C$13</f>
        <v>1</v>
      </c>
      <c r="L288" s="213">
        <f t="shared" si="29"/>
        <v>142738.87068531901</v>
      </c>
      <c r="N288" s="215">
        <f>IF(D288&gt;1500000,Budgeting!$B$13,(IF(D288&gt;500000,Budgeting!$C$13,Budgeting!$D$13)))</f>
        <v>26.132827156951464</v>
      </c>
      <c r="O288" s="216">
        <f t="shared" si="30"/>
        <v>3730170.2361978879</v>
      </c>
      <c r="P288" s="217">
        <f>IF(D288&gt;1500000,Budgeting!$B$15,(IF(D288&gt;500000,Budgeting!$C$15,Budgeting!$D$15)))</f>
        <v>2.1188778775906578</v>
      </c>
      <c r="Q288" s="218">
        <f t="shared" si="31"/>
        <v>302446.23536739609</v>
      </c>
    </row>
    <row r="289" spans="1:17">
      <c r="A289" s="222">
        <v>34</v>
      </c>
      <c r="B289" s="191" t="s">
        <v>142</v>
      </c>
      <c r="C289" s="191">
        <v>2025</v>
      </c>
      <c r="D289" s="208">
        <f>Population!J35</f>
        <v>597176.05446363229</v>
      </c>
      <c r="E289" s="209" t="str">
        <f t="shared" si="32"/>
        <v>Medium</v>
      </c>
      <c r="F289" s="208"/>
      <c r="G289" s="210">
        <f>Variables!$C$3*POWER(SUM(1,Variables!$C$2/100),C289-2017)</f>
        <v>11296.843648702486</v>
      </c>
      <c r="H289" s="210">
        <f t="shared" si="27"/>
        <v>312.13787045714025</v>
      </c>
      <c r="I289" s="211">
        <f>VLOOKUP(B289,'Waste per capita'!$B$2:$F$48,4,FALSE)*(H289/Variables!$C$6)</f>
        <v>248.04384293143934</v>
      </c>
      <c r="J289" s="210">
        <f t="shared" si="28"/>
        <v>148125.84345579389</v>
      </c>
      <c r="K289" s="212">
        <f>Variables!$C$13</f>
        <v>1</v>
      </c>
      <c r="L289" s="213">
        <f t="shared" si="29"/>
        <v>148125.84345579389</v>
      </c>
      <c r="N289" s="215">
        <f>IF(D289&gt;1500000,Budgeting!$B$13,(IF(D289&gt;500000,Budgeting!$C$13,Budgeting!$D$13)))</f>
        <v>26.132827156951464</v>
      </c>
      <c r="O289" s="216">
        <f t="shared" si="30"/>
        <v>3870947.0645079119</v>
      </c>
      <c r="P289" s="217">
        <f>IF(D289&gt;1500000,Budgeting!$B$15,(IF(D289&gt;500000,Budgeting!$C$15,Budgeting!$D$15)))</f>
        <v>2.1188778775906578</v>
      </c>
      <c r="Q289" s="218">
        <f t="shared" si="31"/>
        <v>313860.5727979386</v>
      </c>
    </row>
    <row r="290" spans="1:17">
      <c r="A290" s="222">
        <v>35</v>
      </c>
      <c r="B290" s="191" t="s">
        <v>143</v>
      </c>
      <c r="C290" s="191">
        <v>2025</v>
      </c>
      <c r="D290" s="208">
        <f>Population!J36</f>
        <v>254412.04055238431</v>
      </c>
      <c r="E290" s="209" t="str">
        <f t="shared" si="32"/>
        <v>Medium</v>
      </c>
      <c r="F290" s="208"/>
      <c r="G290" s="210">
        <f>Variables!$C$3*POWER(SUM(1,Variables!$C$2/100),C290-2017)</f>
        <v>11296.843648702486</v>
      </c>
      <c r="H290" s="210">
        <f t="shared" si="27"/>
        <v>312.13787045714025</v>
      </c>
      <c r="I290" s="211">
        <f>VLOOKUP(B290,'Waste per capita'!$B$2:$F$48,4,FALSE)*(H290/Variables!$C$6)</f>
        <v>212.1566486349758</v>
      </c>
      <c r="J290" s="210">
        <f t="shared" si="28"/>
        <v>53975.205895979409</v>
      </c>
      <c r="K290" s="212">
        <f>Variables!$C$13</f>
        <v>1</v>
      </c>
      <c r="L290" s="213">
        <f t="shared" si="29"/>
        <v>53975.205895979409</v>
      </c>
      <c r="N290" s="215">
        <f>IF(D290&gt;1500000,Budgeting!$B$13,(IF(D290&gt;500000,Budgeting!$C$13,Budgeting!$D$13)))</f>
        <v>26.27408568212417</v>
      </c>
      <c r="O290" s="216">
        <f t="shared" si="30"/>
        <v>1418149.1844212567</v>
      </c>
      <c r="P290" s="217">
        <f>IF(D290&gt;1500000,Budgeting!$B$15,(IF(D290&gt;500000,Budgeting!$C$15,Budgeting!$D$15)))</f>
        <v>7.6279603593263765</v>
      </c>
      <c r="Q290" s="218">
        <f t="shared" si="31"/>
        <v>411720.73096101027</v>
      </c>
    </row>
    <row r="291" spans="1:17">
      <c r="A291" s="222">
        <v>36</v>
      </c>
      <c r="B291" s="191" t="s">
        <v>144</v>
      </c>
      <c r="C291" s="191">
        <v>2025</v>
      </c>
      <c r="D291" s="208">
        <f>Population!J37</f>
        <v>1631167.5966311784</v>
      </c>
      <c r="E291" s="209" t="str">
        <f t="shared" si="32"/>
        <v>Large</v>
      </c>
      <c r="F291" s="208"/>
      <c r="G291" s="210">
        <f>Variables!$C$3*POWER(SUM(1,Variables!$C$2/100),C291-2017)</f>
        <v>11296.843648702486</v>
      </c>
      <c r="H291" s="210">
        <f t="shared" si="27"/>
        <v>312.13787045714025</v>
      </c>
      <c r="I291" s="211">
        <f>VLOOKUP(B291,'Waste per capita'!$B$2:$F$48,4,FALSE)*(H291/Variables!$C$6)</f>
        <v>300.81912866153283</v>
      </c>
      <c r="J291" s="210">
        <f t="shared" si="28"/>
        <v>490686.41511951777</v>
      </c>
      <c r="K291" s="212">
        <f>Variables!$C$13</f>
        <v>1</v>
      </c>
      <c r="L291" s="213">
        <f t="shared" si="29"/>
        <v>490686.41511951777</v>
      </c>
      <c r="N291" s="215">
        <f>IF(D291&gt;1500000,Budgeting!$B$13,(IF(D291&gt;500000,Budgeting!$C$13,Budgeting!$D$13)))</f>
        <v>25.956254000485576</v>
      </c>
      <c r="O291" s="216">
        <f t="shared" si="30"/>
        <v>12736381.225429909</v>
      </c>
      <c r="P291" s="217">
        <f>IF(D291&gt;1500000,Budgeting!$B$15,(IF(D291&gt;500000,Budgeting!$C$15,Budgeting!$D$15)))</f>
        <v>3.7080362857836535</v>
      </c>
      <c r="Q291" s="218">
        <f t="shared" si="31"/>
        <v>1819483.0322042727</v>
      </c>
    </row>
    <row r="292" spans="1:17">
      <c r="A292" s="222">
        <v>37</v>
      </c>
      <c r="B292" s="191" t="s">
        <v>145</v>
      </c>
      <c r="C292" s="191">
        <v>2025</v>
      </c>
      <c r="D292" s="208">
        <f>Population!J38</f>
        <v>272144.89930587186</v>
      </c>
      <c r="E292" s="209" t="str">
        <f t="shared" si="32"/>
        <v>Medium</v>
      </c>
      <c r="F292" s="208"/>
      <c r="G292" s="210">
        <f>Variables!$C$3*POWER(SUM(1,Variables!$C$2/100),C292-2017)</f>
        <v>11296.843648702486</v>
      </c>
      <c r="H292" s="210">
        <f t="shared" si="27"/>
        <v>312.13787045714025</v>
      </c>
      <c r="I292" s="211">
        <f>VLOOKUP(B292,'Waste per capita'!$B$2:$F$48,4,FALSE)*(H292/Variables!$C$6)</f>
        <v>212.1566486349758</v>
      </c>
      <c r="J292" s="210">
        <f t="shared" si="28"/>
        <v>57737.349779836724</v>
      </c>
      <c r="K292" s="212">
        <f>Variables!$C$13</f>
        <v>1</v>
      </c>
      <c r="L292" s="213">
        <f t="shared" si="29"/>
        <v>57737.349779836724</v>
      </c>
      <c r="N292" s="215">
        <f>IF(D292&gt;1500000,Budgeting!$B$13,(IF(D292&gt;500000,Budgeting!$C$13,Budgeting!$D$13)))</f>
        <v>26.27408568212417</v>
      </c>
      <c r="O292" s="216">
        <f t="shared" si="30"/>
        <v>1516996.0751742031</v>
      </c>
      <c r="P292" s="217">
        <f>IF(D292&gt;1500000,Budgeting!$B$15,(IF(D292&gt;500000,Budgeting!$C$15,Budgeting!$D$15)))</f>
        <v>7.6279603593263765</v>
      </c>
      <c r="Q292" s="218">
        <f t="shared" si="31"/>
        <v>440418.21537315601</v>
      </c>
    </row>
    <row r="293" spans="1:17">
      <c r="A293" s="222">
        <v>38</v>
      </c>
      <c r="B293" s="191" t="s">
        <v>146</v>
      </c>
      <c r="C293" s="191">
        <v>2025</v>
      </c>
      <c r="D293" s="208">
        <f>Population!J39</f>
        <v>1196806.2532933049</v>
      </c>
      <c r="E293" s="209" t="str">
        <f t="shared" si="32"/>
        <v>Large</v>
      </c>
      <c r="F293" s="208"/>
      <c r="G293" s="210">
        <f>Variables!$C$3*POWER(SUM(1,Variables!$C$2/100),C293-2017)</f>
        <v>11296.843648702486</v>
      </c>
      <c r="H293" s="210">
        <f t="shared" si="27"/>
        <v>312.13787045714025</v>
      </c>
      <c r="I293" s="211">
        <f>VLOOKUP(B293,'Waste per capita'!$B$2:$F$48,4,FALSE)*(H293/Variables!$C$6)</f>
        <v>296.84290850378608</v>
      </c>
      <c r="J293" s="210">
        <f t="shared" si="28"/>
        <v>355263.44914310356</v>
      </c>
      <c r="K293" s="212">
        <f>Variables!$C$13</f>
        <v>1</v>
      </c>
      <c r="L293" s="213">
        <f t="shared" si="29"/>
        <v>355263.44914310356</v>
      </c>
      <c r="N293" s="215">
        <f>IF(D293&gt;1500000,Budgeting!$B$13,(IF(D293&gt;500000,Budgeting!$C$13,Budgeting!$D$13)))</f>
        <v>26.132827156951464</v>
      </c>
      <c r="O293" s="216">
        <f t="shared" si="30"/>
        <v>9284038.3116391413</v>
      </c>
      <c r="P293" s="217">
        <f>IF(D293&gt;1500000,Budgeting!$B$15,(IF(D293&gt;500000,Budgeting!$C$15,Budgeting!$D$15)))</f>
        <v>2.1188778775906578</v>
      </c>
      <c r="Q293" s="218">
        <f t="shared" si="31"/>
        <v>752759.86310587591</v>
      </c>
    </row>
    <row r="294" spans="1:17">
      <c r="A294" s="222">
        <v>39</v>
      </c>
      <c r="B294" s="191" t="s">
        <v>147</v>
      </c>
      <c r="C294" s="191">
        <v>2025</v>
      </c>
      <c r="D294" s="208">
        <f>Population!J40</f>
        <v>98526.67822485698</v>
      </c>
      <c r="E294" s="209" t="str">
        <f t="shared" si="32"/>
        <v>Small</v>
      </c>
      <c r="F294" s="208"/>
      <c r="G294" s="210">
        <f>Variables!$C$3*POWER(SUM(1,Variables!$C$2/100),C294-2017)</f>
        <v>11296.843648702486</v>
      </c>
      <c r="H294" s="210">
        <f t="shared" si="27"/>
        <v>312.13787045714025</v>
      </c>
      <c r="I294" s="211">
        <f>VLOOKUP(B294,'Waste per capita'!$B$2:$F$48,4,FALSE)*(H294/Variables!$C$6)</f>
        <v>240.84869181871667</v>
      </c>
      <c r="J294" s="210">
        <f t="shared" si="28"/>
        <v>23730.021559700439</v>
      </c>
      <c r="K294" s="212">
        <f>Variables!$C$13</f>
        <v>1</v>
      </c>
      <c r="L294" s="213">
        <f t="shared" si="29"/>
        <v>23730.021559700439</v>
      </c>
      <c r="N294" s="215">
        <f>IF(D294&gt;1500000,Budgeting!$B$13,(IF(D294&gt;500000,Budgeting!$C$13,Budgeting!$D$13)))</f>
        <v>26.27408568212417</v>
      </c>
      <c r="O294" s="216">
        <f t="shared" si="30"/>
        <v>623484.61969822319</v>
      </c>
      <c r="P294" s="217">
        <f>IF(D294&gt;1500000,Budgeting!$B$15,(IF(D294&gt;500000,Budgeting!$C$15,Budgeting!$D$15)))</f>
        <v>7.6279603593263765</v>
      </c>
      <c r="Q294" s="218">
        <f t="shared" si="31"/>
        <v>181011.66378335521</v>
      </c>
    </row>
    <row r="295" spans="1:17">
      <c r="A295" s="222">
        <v>40</v>
      </c>
      <c r="B295" s="191" t="s">
        <v>148</v>
      </c>
      <c r="C295" s="191">
        <v>2025</v>
      </c>
      <c r="D295" s="208">
        <f>Population!J41</f>
        <v>175921.06356023491</v>
      </c>
      <c r="E295" s="209" t="str">
        <f t="shared" si="32"/>
        <v>Medium</v>
      </c>
      <c r="F295" s="208"/>
      <c r="G295" s="210">
        <f>Variables!$C$3*POWER(SUM(1,Variables!$C$2/100),C295-2017)</f>
        <v>11296.843648702486</v>
      </c>
      <c r="H295" s="210">
        <f t="shared" si="27"/>
        <v>312.13787045714025</v>
      </c>
      <c r="I295" s="211">
        <f>VLOOKUP(B295,'Waste per capita'!$B$2:$F$48,4,FALSE)*(H295/Variables!$C$6)</f>
        <v>214.19729301653939</v>
      </c>
      <c r="J295" s="210">
        <f t="shared" si="28"/>
        <v>37681.815599192887</v>
      </c>
      <c r="K295" s="212">
        <f>Variables!$C$13</f>
        <v>1</v>
      </c>
      <c r="L295" s="213">
        <f t="shared" si="29"/>
        <v>37681.815599192887</v>
      </c>
      <c r="N295" s="215">
        <f>IF(D295&gt;1500000,Budgeting!$B$13,(IF(D295&gt;500000,Budgeting!$C$13,Budgeting!$D$13)))</f>
        <v>26.27408568212417</v>
      </c>
      <c r="O295" s="216">
        <f t="shared" si="30"/>
        <v>990055.25171119708</v>
      </c>
      <c r="P295" s="217">
        <f>IF(D295&gt;1500000,Budgeting!$B$15,(IF(D295&gt;500000,Budgeting!$C$15,Budgeting!$D$15)))</f>
        <v>7.6279603593263765</v>
      </c>
      <c r="Q295" s="218">
        <f t="shared" si="31"/>
        <v>287435.39565808966</v>
      </c>
    </row>
    <row r="296" spans="1:17">
      <c r="A296" s="222">
        <v>41</v>
      </c>
      <c r="B296" s="191" t="s">
        <v>149</v>
      </c>
      <c r="C296" s="191">
        <v>2025</v>
      </c>
      <c r="D296" s="208">
        <f>Population!J42</f>
        <v>84673.532991212676</v>
      </c>
      <c r="E296" s="209" t="str">
        <f t="shared" si="32"/>
        <v>Small</v>
      </c>
      <c r="F296" s="208"/>
      <c r="G296" s="210">
        <f>Variables!$C$3*POWER(SUM(1,Variables!$C$2/100),C296-2017)</f>
        <v>11296.843648702486</v>
      </c>
      <c r="H296" s="210">
        <f t="shared" si="27"/>
        <v>312.13787045714025</v>
      </c>
      <c r="I296" s="211">
        <f>VLOOKUP(B296,'Waste per capita'!$B$2:$F$48,4,FALSE)*(H296/Variables!$C$6)</f>
        <v>240.84869181871667</v>
      </c>
      <c r="J296" s="210">
        <f t="shared" si="28"/>
        <v>20393.509652602519</v>
      </c>
      <c r="K296" s="212">
        <f>Variables!$C$13</f>
        <v>1</v>
      </c>
      <c r="L296" s="213">
        <f t="shared" si="29"/>
        <v>20393.509652602519</v>
      </c>
      <c r="N296" s="215">
        <f>IF(D296&gt;1500000,Budgeting!$B$13,(IF(D296&gt;500000,Budgeting!$C$13,Budgeting!$D$13)))</f>
        <v>26.27408568212417</v>
      </c>
      <c r="O296" s="216">
        <f t="shared" si="30"/>
        <v>535820.81997170486</v>
      </c>
      <c r="P296" s="217">
        <f>IF(D296&gt;1500000,Budgeting!$B$15,(IF(D296&gt;500000,Budgeting!$C$15,Budgeting!$D$15)))</f>
        <v>7.6279603593263765</v>
      </c>
      <c r="Q296" s="218">
        <f t="shared" si="31"/>
        <v>155560.88321759185</v>
      </c>
    </row>
    <row r="297" spans="1:17">
      <c r="A297" s="222">
        <v>42</v>
      </c>
      <c r="B297" s="191" t="s">
        <v>150</v>
      </c>
      <c r="C297" s="191">
        <v>2025</v>
      </c>
      <c r="D297" s="208">
        <f>Population!J43</f>
        <v>104856.37183862632</v>
      </c>
      <c r="E297" s="209" t="str">
        <f t="shared" si="32"/>
        <v>Medium</v>
      </c>
      <c r="F297" s="208"/>
      <c r="G297" s="210">
        <f>Variables!$C$3*POWER(SUM(1,Variables!$C$2/100),C297-2017)</f>
        <v>11296.843648702486</v>
      </c>
      <c r="H297" s="210">
        <f t="shared" si="27"/>
        <v>312.13787045714025</v>
      </c>
      <c r="I297" s="211">
        <f>VLOOKUP(B297,'Waste per capita'!$B$2:$F$48,4,FALSE)*(H297/Variables!$C$6)</f>
        <v>240.84869181871667</v>
      </c>
      <c r="J297" s="210">
        <f t="shared" si="28"/>
        <v>25254.519986190073</v>
      </c>
      <c r="K297" s="212">
        <f>Variables!$C$13</f>
        <v>1</v>
      </c>
      <c r="L297" s="213">
        <f t="shared" si="29"/>
        <v>25254.519986190073</v>
      </c>
      <c r="N297" s="215">
        <f>IF(D297&gt;1500000,Budgeting!$B$13,(IF(D297&gt;500000,Budgeting!$C$13,Budgeting!$D$13)))</f>
        <v>26.27408568212417</v>
      </c>
      <c r="O297" s="216">
        <f t="shared" si="30"/>
        <v>663539.42197807529</v>
      </c>
      <c r="P297" s="217">
        <f>IF(D297&gt;1500000,Budgeting!$B$15,(IF(D297&gt;500000,Budgeting!$C$15,Budgeting!$D$15)))</f>
        <v>7.6279603593263765</v>
      </c>
      <c r="Q297" s="218">
        <f t="shared" si="31"/>
        <v>192640.47734847359</v>
      </c>
    </row>
    <row r="298" spans="1:17">
      <c r="A298" s="222">
        <v>1</v>
      </c>
      <c r="B298" s="191" t="s">
        <v>109</v>
      </c>
      <c r="C298" s="191">
        <v>2026</v>
      </c>
      <c r="D298" s="208">
        <f>Population!K2</f>
        <v>568401.06574466662</v>
      </c>
      <c r="E298" s="209" t="str">
        <f t="shared" si="32"/>
        <v>Medium</v>
      </c>
      <c r="F298" s="208"/>
      <c r="G298" s="210">
        <f>Variables!$C$3*POWER(SUM(1,Variables!$C$2/100),C298-2017)</f>
        <v>12101.178916490102</v>
      </c>
      <c r="H298" s="210">
        <f t="shared" si="27"/>
        <v>321.3262704959634</v>
      </c>
      <c r="I298" s="211">
        <f>VLOOKUP(B298,'Waste per capita'!$B$2:$F$48,4,FALSE)*(H298/Variables!$C$6)</f>
        <v>247.73947118967939</v>
      </c>
      <c r="J298" s="210">
        <f t="shared" si="28"/>
        <v>140815.37945123389</v>
      </c>
      <c r="K298" s="212">
        <f>Variables!$C$13</f>
        <v>1</v>
      </c>
      <c r="L298" s="213">
        <f t="shared" si="29"/>
        <v>140815.37945123389</v>
      </c>
      <c r="N298" s="215">
        <f>IF(D298&gt;1500000,Budgeting!$B$13,(IF(D298&gt;500000,Budgeting!$C$13,Budgeting!$D$13)))</f>
        <v>26.132827156951464</v>
      </c>
      <c r="O298" s="216">
        <f t="shared" si="30"/>
        <v>3679903.9722396303</v>
      </c>
      <c r="P298" s="217">
        <f>IF(D298&gt;1500000,Budgeting!$B$15,(IF(D298&gt;500000,Budgeting!$C$15,Budgeting!$D$15)))</f>
        <v>2.1188778775906578</v>
      </c>
      <c r="Q298" s="218">
        <f t="shared" si="31"/>
        <v>298370.59234375361</v>
      </c>
    </row>
    <row r="299" spans="1:17">
      <c r="A299" s="222">
        <v>2</v>
      </c>
      <c r="B299" s="191" t="s">
        <v>110</v>
      </c>
      <c r="C299" s="191">
        <v>2026</v>
      </c>
      <c r="D299" s="208">
        <f>Population!K3</f>
        <v>416940.74835885921</v>
      </c>
      <c r="E299" s="209" t="str">
        <f t="shared" si="32"/>
        <v>Medium</v>
      </c>
      <c r="F299" s="208"/>
      <c r="G299" s="210">
        <f>Variables!$C$3*POWER(SUM(1,Variables!$C$2/100),C299-2017)</f>
        <v>12101.178916490102</v>
      </c>
      <c r="H299" s="210">
        <f t="shared" si="27"/>
        <v>321.3262704959634</v>
      </c>
      <c r="I299" s="211">
        <f>VLOOKUP(B299,'Waste per capita'!$B$2:$F$48,4,FALSE)*(H299/Variables!$C$6)</f>
        <v>154.83716949354962</v>
      </c>
      <c r="J299" s="210">
        <f t="shared" si="28"/>
        <v>64557.925322408111</v>
      </c>
      <c r="K299" s="212">
        <f>Variables!$C$13</f>
        <v>1</v>
      </c>
      <c r="L299" s="213">
        <f t="shared" si="29"/>
        <v>64557.925322408111</v>
      </c>
      <c r="N299" s="215">
        <f>IF(D299&gt;1500000,Budgeting!$B$13,(IF(D299&gt;500000,Budgeting!$C$13,Budgeting!$D$13)))</f>
        <v>26.27408568212417</v>
      </c>
      <c r="O299" s="216">
        <f t="shared" si="30"/>
        <v>1696200.4613811243</v>
      </c>
      <c r="P299" s="217">
        <f>IF(D299&gt;1500000,Budgeting!$B$15,(IF(D299&gt;500000,Budgeting!$C$15,Budgeting!$D$15)))</f>
        <v>7.6279603593263765</v>
      </c>
      <c r="Q299" s="218">
        <f t="shared" si="31"/>
        <v>492445.29523968155</v>
      </c>
    </row>
    <row r="300" spans="1:17">
      <c r="A300" s="222">
        <v>3</v>
      </c>
      <c r="B300" s="191" t="s">
        <v>111</v>
      </c>
      <c r="C300" s="191">
        <v>2026</v>
      </c>
      <c r="D300" s="208">
        <f>Population!K4</f>
        <v>11998364.688357111</v>
      </c>
      <c r="E300" s="209" t="str">
        <f t="shared" si="32"/>
        <v>Large</v>
      </c>
      <c r="F300" s="208"/>
      <c r="G300" s="210">
        <f>Variables!$C$3*POWER(SUM(1,Variables!$C$2/100),C300-2017)</f>
        <v>12101.178916490102</v>
      </c>
      <c r="H300" s="210">
        <f t="shared" si="27"/>
        <v>321.3262704959634</v>
      </c>
      <c r="I300" s="211">
        <f>VLOOKUP(B300,'Waste per capita'!$B$2:$F$48,4,FALSE)*(H300/Variables!$C$6)</f>
        <v>400.39604512150783</v>
      </c>
      <c r="J300" s="210">
        <f t="shared" si="28"/>
        <v>4804097.7691437397</v>
      </c>
      <c r="K300" s="212">
        <f>Variables!$C$13</f>
        <v>1</v>
      </c>
      <c r="L300" s="213">
        <f t="shared" si="29"/>
        <v>4804097.7691437397</v>
      </c>
      <c r="N300" s="215">
        <f>IF(D300&gt;1500000,Budgeting!$B$13,(IF(D300&gt;500000,Budgeting!$C$13,Budgeting!$D$13)))</f>
        <v>25.956254000485576</v>
      </c>
      <c r="O300" s="216">
        <f t="shared" si="30"/>
        <v>124696381.93906102</v>
      </c>
      <c r="P300" s="217">
        <f>IF(D300&gt;1500000,Budgeting!$B$15,(IF(D300&gt;500000,Budgeting!$C$15,Budgeting!$D$15)))</f>
        <v>3.7080362857836535</v>
      </c>
      <c r="Q300" s="218">
        <f t="shared" si="31"/>
        <v>17813768.848437287</v>
      </c>
    </row>
    <row r="301" spans="1:17">
      <c r="A301" s="222">
        <v>4</v>
      </c>
      <c r="B301" s="191" t="s">
        <v>112</v>
      </c>
      <c r="C301" s="191">
        <v>2026</v>
      </c>
      <c r="D301" s="208">
        <f>Population!K5</f>
        <v>2555247.0166329411</v>
      </c>
      <c r="E301" s="209" t="str">
        <f t="shared" si="32"/>
        <v>Large</v>
      </c>
      <c r="F301" s="208"/>
      <c r="G301" s="210">
        <f>Variables!$C$3*POWER(SUM(1,Variables!$C$2/100),C301-2017)</f>
        <v>12101.178916490102</v>
      </c>
      <c r="H301" s="210">
        <f t="shared" si="27"/>
        <v>321.3262704959634</v>
      </c>
      <c r="I301" s="211">
        <f>VLOOKUP(B301,'Waste per capita'!$B$2:$F$48,4,FALSE)*(H301/Variables!$C$6)</f>
        <v>247.73947118967939</v>
      </c>
      <c r="J301" s="210">
        <f t="shared" si="28"/>
        <v>633035.54465965065</v>
      </c>
      <c r="K301" s="212">
        <f>Variables!$C$13</f>
        <v>1</v>
      </c>
      <c r="L301" s="213">
        <f t="shared" si="29"/>
        <v>633035.54465965065</v>
      </c>
      <c r="N301" s="215">
        <f>IF(D301&gt;1500000,Budgeting!$B$13,(IF(D301&gt;500000,Budgeting!$C$13,Budgeting!$D$13)))</f>
        <v>25.956254000485576</v>
      </c>
      <c r="O301" s="216">
        <f t="shared" si="30"/>
        <v>16431231.388521623</v>
      </c>
      <c r="P301" s="217">
        <f>IF(D301&gt;1500000,Budgeting!$B$15,(IF(D301&gt;500000,Budgeting!$C$15,Budgeting!$D$15)))</f>
        <v>3.7080362857836535</v>
      </c>
      <c r="Q301" s="218">
        <f t="shared" si="31"/>
        <v>2347318.7697888031</v>
      </c>
    </row>
    <row r="302" spans="1:17">
      <c r="A302" s="222">
        <v>5</v>
      </c>
      <c r="B302" s="191" t="s">
        <v>113</v>
      </c>
      <c r="C302" s="191">
        <v>2026</v>
      </c>
      <c r="D302" s="208">
        <f>Population!K6</f>
        <v>1198464.5044829135</v>
      </c>
      <c r="E302" s="209" t="str">
        <f t="shared" si="32"/>
        <v>Large</v>
      </c>
      <c r="F302" s="208"/>
      <c r="G302" s="210">
        <f>Variables!$C$3*POWER(SUM(1,Variables!$C$2/100),C302-2017)</f>
        <v>12101.178916490102</v>
      </c>
      <c r="H302" s="210">
        <f t="shared" si="27"/>
        <v>321.3262704959634</v>
      </c>
      <c r="I302" s="211">
        <f>VLOOKUP(B302,'Waste per capita'!$B$2:$F$48,4,FALSE)*(H302/Variables!$C$6)</f>
        <v>247.73947118967939</v>
      </c>
      <c r="J302" s="210">
        <f t="shared" si="28"/>
        <v>296906.96258019819</v>
      </c>
      <c r="K302" s="212">
        <f>Variables!$C$13</f>
        <v>1</v>
      </c>
      <c r="L302" s="213">
        <f t="shared" si="29"/>
        <v>296906.96258019819</v>
      </c>
      <c r="N302" s="215">
        <f>IF(D302&gt;1500000,Budgeting!$B$13,(IF(D302&gt;500000,Budgeting!$C$13,Budgeting!$D$13)))</f>
        <v>26.132827156951464</v>
      </c>
      <c r="O302" s="216">
        <f t="shared" si="30"/>
        <v>7759018.334803775</v>
      </c>
      <c r="P302" s="217">
        <f>IF(D302&gt;1500000,Budgeting!$B$15,(IF(D302&gt;500000,Budgeting!$C$15,Budgeting!$D$15)))</f>
        <v>2.1188778775906578</v>
      </c>
      <c r="Q302" s="218">
        <f t="shared" si="31"/>
        <v>629109.59471381921</v>
      </c>
    </row>
    <row r="303" spans="1:17">
      <c r="A303" s="222">
        <v>6</v>
      </c>
      <c r="B303" s="191" t="s">
        <v>114</v>
      </c>
      <c r="C303" s="191">
        <v>2026</v>
      </c>
      <c r="D303" s="208">
        <f>Population!K7</f>
        <v>1366404.0249752922</v>
      </c>
      <c r="E303" s="209" t="str">
        <f t="shared" si="32"/>
        <v>Large</v>
      </c>
      <c r="F303" s="208"/>
      <c r="G303" s="210">
        <f>Variables!$C$3*POWER(SUM(1,Variables!$C$2/100),C303-2017)</f>
        <v>12101.178916490102</v>
      </c>
      <c r="H303" s="210">
        <f t="shared" si="27"/>
        <v>321.3262704959634</v>
      </c>
      <c r="I303" s="211">
        <f>VLOOKUP(B303,'Waste per capita'!$B$2:$F$48,4,FALSE)*(H303/Variables!$C$6)</f>
        <v>247.73947118967939</v>
      </c>
      <c r="J303" s="210">
        <f t="shared" si="28"/>
        <v>338512.21057882835</v>
      </c>
      <c r="K303" s="212">
        <f>Variables!$C$13</f>
        <v>1</v>
      </c>
      <c r="L303" s="213">
        <f t="shared" si="29"/>
        <v>338512.21057882835</v>
      </c>
      <c r="N303" s="215">
        <f>IF(D303&gt;1500000,Budgeting!$B$13,(IF(D303&gt;500000,Budgeting!$C$13,Budgeting!$D$13)))</f>
        <v>26.132827156951464</v>
      </c>
      <c r="O303" s="216">
        <f t="shared" si="30"/>
        <v>8846281.0895740781</v>
      </c>
      <c r="P303" s="217">
        <f>IF(D303&gt;1500000,Budgeting!$B$15,(IF(D303&gt;500000,Budgeting!$C$15,Budgeting!$D$15)))</f>
        <v>2.1188778775906578</v>
      </c>
      <c r="Q303" s="218">
        <f t="shared" si="31"/>
        <v>717266.03428978962</v>
      </c>
    </row>
    <row r="304" spans="1:17">
      <c r="A304" s="222">
        <v>7</v>
      </c>
      <c r="B304" s="191" t="s">
        <v>115</v>
      </c>
      <c r="C304" s="191">
        <v>2026</v>
      </c>
      <c r="D304" s="208">
        <f>Population!K8</f>
        <v>6602952.5230493853</v>
      </c>
      <c r="E304" s="209" t="str">
        <f t="shared" si="32"/>
        <v>Large</v>
      </c>
      <c r="F304" s="208"/>
      <c r="G304" s="210">
        <f>Variables!$C$3*POWER(SUM(1,Variables!$C$2/100),C304-2017)</f>
        <v>12101.178916490102</v>
      </c>
      <c r="H304" s="210">
        <f t="shared" si="27"/>
        <v>321.3262704959634</v>
      </c>
      <c r="I304" s="211">
        <f>VLOOKUP(B304,'Waste per capita'!$B$2:$F$48,4,FALSE)*(H304/Variables!$C$6)</f>
        <v>384.64812632081799</v>
      </c>
      <c r="J304" s="210">
        <f t="shared" si="28"/>
        <v>2539813.3161762636</v>
      </c>
      <c r="K304" s="212">
        <f>Variables!$C$13</f>
        <v>1</v>
      </c>
      <c r="L304" s="213">
        <f t="shared" si="29"/>
        <v>2539813.3161762636</v>
      </c>
      <c r="N304" s="215">
        <f>IF(D304&gt;1500000,Budgeting!$B$13,(IF(D304&gt;500000,Budgeting!$C$13,Budgeting!$D$13)))</f>
        <v>25.956254000485576</v>
      </c>
      <c r="O304" s="216">
        <f t="shared" si="30"/>
        <v>65924039.54848668</v>
      </c>
      <c r="P304" s="217">
        <f>IF(D304&gt;1500000,Budgeting!$B$15,(IF(D304&gt;500000,Budgeting!$C$15,Budgeting!$D$15)))</f>
        <v>3.7080362857836535</v>
      </c>
      <c r="Q304" s="218">
        <f t="shared" si="31"/>
        <v>9417719.935498096</v>
      </c>
    </row>
    <row r="305" spans="1:17">
      <c r="A305" s="222">
        <v>8</v>
      </c>
      <c r="B305" s="191" t="s">
        <v>116</v>
      </c>
      <c r="C305" s="191">
        <v>2026</v>
      </c>
      <c r="D305" s="208">
        <f>Population!K9</f>
        <v>62924.210741155912</v>
      </c>
      <c r="E305" s="209" t="str">
        <f t="shared" si="32"/>
        <v>Small</v>
      </c>
      <c r="F305" s="208"/>
      <c r="G305" s="210">
        <f>Variables!$C$3*POWER(SUM(1,Variables!$C$2/100),C305-2017)</f>
        <v>12101.178916490102</v>
      </c>
      <c r="H305" s="210">
        <f t="shared" si="27"/>
        <v>321.3262704959634</v>
      </c>
      <c r="I305" s="211">
        <f>VLOOKUP(B305,'Waste per capita'!$B$2:$F$48,4,FALSE)*(H305/Variables!$C$6)</f>
        <v>260.23510241196584</v>
      </c>
      <c r="J305" s="210">
        <f t="shared" si="28"/>
        <v>16375.088426416829</v>
      </c>
      <c r="K305" s="212">
        <f>Variables!$C$13</f>
        <v>1</v>
      </c>
      <c r="L305" s="213">
        <f t="shared" si="29"/>
        <v>16375.088426416829</v>
      </c>
      <c r="N305" s="215">
        <f>IF(D305&gt;1500000,Budgeting!$B$13,(IF(D305&gt;500000,Budgeting!$C$13,Budgeting!$D$13)))</f>
        <v>26.27408568212417</v>
      </c>
      <c r="O305" s="216">
        <f t="shared" si="30"/>
        <v>430240.4763680356</v>
      </c>
      <c r="P305" s="217">
        <f>IF(D305&gt;1500000,Budgeting!$B$15,(IF(D305&gt;500000,Budgeting!$C$15,Budgeting!$D$15)))</f>
        <v>7.6279603593263765</v>
      </c>
      <c r="Q305" s="218">
        <f t="shared" si="31"/>
        <v>124908.5253971717</v>
      </c>
    </row>
    <row r="306" spans="1:17">
      <c r="A306" s="222">
        <v>9</v>
      </c>
      <c r="B306" s="191" t="s">
        <v>117</v>
      </c>
      <c r="C306" s="191">
        <v>2026</v>
      </c>
      <c r="D306" s="208">
        <f>Population!K10</f>
        <v>809363.76192417007</v>
      </c>
      <c r="E306" s="209" t="str">
        <f t="shared" si="32"/>
        <v>Medium</v>
      </c>
      <c r="F306" s="208"/>
      <c r="G306" s="210">
        <f>Variables!$C$3*POWER(SUM(1,Variables!$C$2/100),C306-2017)</f>
        <v>12101.178916490102</v>
      </c>
      <c r="H306" s="210">
        <f t="shared" si="27"/>
        <v>321.3262704959634</v>
      </c>
      <c r="I306" s="211">
        <f>VLOOKUP(B306,'Waste per capita'!$B$2:$F$48,4,FALSE)*(H306/Variables!$C$6)</f>
        <v>192.324063160409</v>
      </c>
      <c r="J306" s="210">
        <f t="shared" si="28"/>
        <v>155660.1272680503</v>
      </c>
      <c r="K306" s="212">
        <f>Variables!$C$13</f>
        <v>1</v>
      </c>
      <c r="L306" s="213">
        <f t="shared" si="29"/>
        <v>155660.1272680503</v>
      </c>
      <c r="N306" s="215">
        <f>IF(D306&gt;1500000,Budgeting!$B$13,(IF(D306&gt;500000,Budgeting!$C$13,Budgeting!$D$13)))</f>
        <v>26.132827156951464</v>
      </c>
      <c r="O306" s="216">
        <f t="shared" si="30"/>
        <v>4067839.2011250262</v>
      </c>
      <c r="P306" s="217">
        <f>IF(D306&gt;1500000,Budgeting!$B$15,(IF(D306&gt;500000,Budgeting!$C$15,Budgeting!$D$15)))</f>
        <v>2.1188778775906578</v>
      </c>
      <c r="Q306" s="218">
        <f t="shared" si="31"/>
        <v>329824.80009121809</v>
      </c>
    </row>
    <row r="307" spans="1:17">
      <c r="A307" s="222">
        <v>10</v>
      </c>
      <c r="B307" s="191" t="s">
        <v>118</v>
      </c>
      <c r="C307" s="191">
        <v>2026</v>
      </c>
      <c r="D307" s="208">
        <f>Population!K11</f>
        <v>751081.920463791</v>
      </c>
      <c r="E307" s="209" t="str">
        <f t="shared" si="32"/>
        <v>Medium</v>
      </c>
      <c r="F307" s="208"/>
      <c r="G307" s="210">
        <f>Variables!$C$3*POWER(SUM(1,Variables!$C$2/100),C307-2017)</f>
        <v>12101.178916490102</v>
      </c>
      <c r="H307" s="210">
        <f t="shared" si="27"/>
        <v>321.3262704959634</v>
      </c>
      <c r="I307" s="211">
        <f>VLOOKUP(B307,'Waste per capita'!$B$2:$F$48,4,FALSE)*(H307/Variables!$C$6)</f>
        <v>220.50261704718832</v>
      </c>
      <c r="J307" s="210">
        <f t="shared" si="28"/>
        <v>165615.52907909406</v>
      </c>
      <c r="K307" s="212">
        <f>Variables!$C$13</f>
        <v>1</v>
      </c>
      <c r="L307" s="213">
        <f t="shared" si="29"/>
        <v>165615.52907909406</v>
      </c>
      <c r="N307" s="215">
        <f>IF(D307&gt;1500000,Budgeting!$B$13,(IF(D307&gt;500000,Budgeting!$C$13,Budgeting!$D$13)))</f>
        <v>26.132827156951464</v>
      </c>
      <c r="O307" s="216">
        <f t="shared" si="30"/>
        <v>4328001.995931034</v>
      </c>
      <c r="P307" s="217">
        <f>IF(D307&gt;1500000,Budgeting!$B$15,(IF(D307&gt;500000,Budgeting!$C$15,Budgeting!$D$15)))</f>
        <v>2.1188778775906578</v>
      </c>
      <c r="Q307" s="218">
        <f t="shared" si="31"/>
        <v>350919.0807511647</v>
      </c>
    </row>
    <row r="308" spans="1:17">
      <c r="A308" s="222">
        <v>11</v>
      </c>
      <c r="B308" s="191" t="s">
        <v>119</v>
      </c>
      <c r="C308" s="191">
        <v>2026</v>
      </c>
      <c r="D308" s="208">
        <f>Population!K12</f>
        <v>292960.92669418477</v>
      </c>
      <c r="E308" s="209" t="str">
        <f t="shared" si="32"/>
        <v>Medium</v>
      </c>
      <c r="F308" s="208"/>
      <c r="G308" s="210">
        <f>Variables!$C$3*POWER(SUM(1,Variables!$C$2/100),C308-2017)</f>
        <v>12101.178916490102</v>
      </c>
      <c r="H308" s="210">
        <f t="shared" ref="H308:H371" si="33">1647.41-417.73*LN(G308)+29.43*(LN(G308))^2</f>
        <v>321.3262704959634</v>
      </c>
      <c r="I308" s="211">
        <f>VLOOKUP(B308,'Waste per capita'!$B$2:$F$48,4,FALSE)*(H308/Variables!$C$6)</f>
        <v>136.36536681712616</v>
      </c>
      <c r="J308" s="210">
        <f t="shared" ref="J308:J371" si="34">I308*D308/1000</f>
        <v>39949.724231737709</v>
      </c>
      <c r="K308" s="212">
        <f>Variables!$C$13</f>
        <v>1</v>
      </c>
      <c r="L308" s="213">
        <f t="shared" ref="L308:L371" si="35">J308*K308</f>
        <v>39949.724231737709</v>
      </c>
      <c r="N308" s="215">
        <f>IF(D308&gt;1500000,Budgeting!$B$13,(IF(D308&gt;500000,Budgeting!$C$13,Budgeting!$D$13)))</f>
        <v>26.27408568212417</v>
      </c>
      <c r="O308" s="216">
        <f t="shared" ref="O308:O371" si="36">N308*L308</f>
        <v>1049642.4774419088</v>
      </c>
      <c r="P308" s="217">
        <f>IF(D308&gt;1500000,Budgeting!$B$15,(IF(D308&gt;500000,Budgeting!$C$15,Budgeting!$D$15)))</f>
        <v>7.6279603593263765</v>
      </c>
      <c r="Q308" s="218">
        <f t="shared" ref="Q308:Q371" si="37">P308*J308</f>
        <v>304734.91280571563</v>
      </c>
    </row>
    <row r="309" spans="1:17">
      <c r="A309" s="222">
        <v>12</v>
      </c>
      <c r="B309" s="191" t="s">
        <v>120</v>
      </c>
      <c r="C309" s="191">
        <v>2026</v>
      </c>
      <c r="D309" s="208">
        <f>Population!K13</f>
        <v>142505.24814569263</v>
      </c>
      <c r="E309" s="209" t="str">
        <f t="shared" si="32"/>
        <v>Medium</v>
      </c>
      <c r="F309" s="208"/>
      <c r="G309" s="210">
        <f>Variables!$C$3*POWER(SUM(1,Variables!$C$2/100),C309-2017)</f>
        <v>12101.178916490102</v>
      </c>
      <c r="H309" s="210">
        <f t="shared" si="33"/>
        <v>321.3262704959634</v>
      </c>
      <c r="I309" s="211">
        <f>VLOOKUP(B309,'Waste per capita'!$B$2:$F$48,4,FALSE)*(H309/Variables!$C$6)</f>
        <v>272.73073363425232</v>
      </c>
      <c r="J309" s="210">
        <f t="shared" si="34"/>
        <v>38865.560873505929</v>
      </c>
      <c r="K309" s="212">
        <f>Variables!$C$13</f>
        <v>1</v>
      </c>
      <c r="L309" s="213">
        <f t="shared" si="35"/>
        <v>38865.560873505929</v>
      </c>
      <c r="N309" s="215">
        <f>IF(D309&gt;1500000,Budgeting!$B$13,(IF(D309&gt;500000,Budgeting!$C$13,Budgeting!$D$13)))</f>
        <v>26.27408568212417</v>
      </c>
      <c r="O309" s="216">
        <f t="shared" si="36"/>
        <v>1021157.0764743075</v>
      </c>
      <c r="P309" s="217">
        <f>IF(D309&gt;1500000,Budgeting!$B$15,(IF(D309&gt;500000,Budgeting!$C$15,Budgeting!$D$15)))</f>
        <v>7.6279603593263765</v>
      </c>
      <c r="Q309" s="218">
        <f t="shared" si="37"/>
        <v>296464.95768608944</v>
      </c>
    </row>
    <row r="310" spans="1:17">
      <c r="A310" s="222">
        <v>13</v>
      </c>
      <c r="B310" s="191" t="s">
        <v>121</v>
      </c>
      <c r="C310" s="191">
        <v>2026</v>
      </c>
      <c r="D310" s="208">
        <f>Population!K14</f>
        <v>9565795.8679645434</v>
      </c>
      <c r="E310" s="209" t="str">
        <f t="shared" si="32"/>
        <v>Large</v>
      </c>
      <c r="F310" s="208"/>
      <c r="G310" s="210">
        <f>Variables!$C$3*POWER(SUM(1,Variables!$C$2/100),C310-2017)</f>
        <v>12101.178916490102</v>
      </c>
      <c r="H310" s="210">
        <f t="shared" si="33"/>
        <v>321.3262704959634</v>
      </c>
      <c r="I310" s="211">
        <f>VLOOKUP(B310,'Waste per capita'!$B$2:$F$48,4,FALSE)*(H310/Variables!$C$6)</f>
        <v>353.13740410809567</v>
      </c>
      <c r="J310" s="210">
        <f t="shared" si="34"/>
        <v>3378040.3210409465</v>
      </c>
      <c r="K310" s="212">
        <f>Variables!$C$13</f>
        <v>1</v>
      </c>
      <c r="L310" s="213">
        <f t="shared" si="35"/>
        <v>3378040.3210409465</v>
      </c>
      <c r="N310" s="215">
        <f>IF(D310&gt;1500000,Budgeting!$B$13,(IF(D310&gt;500000,Budgeting!$C$13,Budgeting!$D$13)))</f>
        <v>25.956254000485576</v>
      </c>
      <c r="O310" s="216">
        <f t="shared" si="36"/>
        <v>87681272.596820652</v>
      </c>
      <c r="P310" s="217">
        <f>IF(D310&gt;1500000,Budgeting!$B$15,(IF(D310&gt;500000,Budgeting!$C$15,Budgeting!$D$15)))</f>
        <v>3.7080362857836535</v>
      </c>
      <c r="Q310" s="218">
        <f t="shared" si="37"/>
        <v>12525896.085260091</v>
      </c>
    </row>
    <row r="311" spans="1:17">
      <c r="A311" s="222">
        <v>14</v>
      </c>
      <c r="B311" s="191" t="s">
        <v>122</v>
      </c>
      <c r="C311" s="191">
        <v>2026</v>
      </c>
      <c r="D311" s="208">
        <f>Population!K15</f>
        <v>381170.2059943066</v>
      </c>
      <c r="E311" s="209" t="str">
        <f t="shared" si="32"/>
        <v>Medium</v>
      </c>
      <c r="F311" s="208"/>
      <c r="G311" s="210">
        <f>Variables!$C$3*POWER(SUM(1,Variables!$C$2/100),C311-2017)</f>
        <v>12101.178916490102</v>
      </c>
      <c r="H311" s="210">
        <f t="shared" si="33"/>
        <v>321.3262704959634</v>
      </c>
      <c r="I311" s="211">
        <f>VLOOKUP(B311,'Waste per capita'!$B$2:$F$48,4,FALSE)*(H311/Variables!$C$6)</f>
        <v>117.89356414070269</v>
      </c>
      <c r="J311" s="210">
        <f t="shared" si="34"/>
        <v>44937.514128914649</v>
      </c>
      <c r="K311" s="212">
        <f>Variables!$C$13</f>
        <v>1</v>
      </c>
      <c r="L311" s="213">
        <f t="shared" si="35"/>
        <v>44937.514128914649</v>
      </c>
      <c r="N311" s="215">
        <f>IF(D311&gt;1500000,Budgeting!$B$13,(IF(D311&gt;500000,Budgeting!$C$13,Budgeting!$D$13)))</f>
        <v>26.27408568212417</v>
      </c>
      <c r="O311" s="216">
        <f t="shared" si="36"/>
        <v>1180692.096564769</v>
      </c>
      <c r="P311" s="217">
        <f>IF(D311&gt;1500000,Budgeting!$B$15,(IF(D311&gt;500000,Budgeting!$C$15,Budgeting!$D$15)))</f>
        <v>7.6279603593263765</v>
      </c>
      <c r="Q311" s="218">
        <f t="shared" si="37"/>
        <v>342781.57642202993</v>
      </c>
    </row>
    <row r="312" spans="1:17">
      <c r="A312" s="222">
        <v>15</v>
      </c>
      <c r="B312" s="191" t="s">
        <v>123</v>
      </c>
      <c r="C312" s="191">
        <v>2026</v>
      </c>
      <c r="D312" s="208">
        <f>Population!K16</f>
        <v>84534.603156843979</v>
      </c>
      <c r="E312" s="209" t="str">
        <f t="shared" si="32"/>
        <v>Small</v>
      </c>
      <c r="F312" s="208"/>
      <c r="G312" s="210">
        <f>Variables!$C$3*POWER(SUM(1,Variables!$C$2/100),C312-2017)</f>
        <v>12101.178916490102</v>
      </c>
      <c r="H312" s="210">
        <f t="shared" si="33"/>
        <v>321.3262704959634</v>
      </c>
      <c r="I312" s="211">
        <f>VLOOKUP(B312,'Waste per capita'!$B$2:$F$48,4,FALSE)*(H312/Variables!$C$6)</f>
        <v>210.79586583683249</v>
      </c>
      <c r="J312" s="210">
        <f t="shared" si="34"/>
        <v>17819.544865619962</v>
      </c>
      <c r="K312" s="212">
        <f>Variables!$C$13</f>
        <v>1</v>
      </c>
      <c r="L312" s="213">
        <f t="shared" si="35"/>
        <v>17819.544865619962</v>
      </c>
      <c r="N312" s="215">
        <f>IF(D312&gt;1500000,Budgeting!$B$13,(IF(D312&gt;500000,Budgeting!$C$13,Budgeting!$D$13)))</f>
        <v>26.27408568212417</v>
      </c>
      <c r="O312" s="216">
        <f t="shared" si="36"/>
        <v>468192.24861575471</v>
      </c>
      <c r="P312" s="217">
        <f>IF(D312&gt;1500000,Budgeting!$B$15,(IF(D312&gt;500000,Budgeting!$C$15,Budgeting!$D$15)))</f>
        <v>7.6279603593263765</v>
      </c>
      <c r="Q312" s="218">
        <f t="shared" si="37"/>
        <v>135926.78185618695</v>
      </c>
    </row>
    <row r="313" spans="1:17">
      <c r="A313" s="222">
        <v>16</v>
      </c>
      <c r="B313" s="191" t="s">
        <v>124</v>
      </c>
      <c r="C313" s="191">
        <v>2026</v>
      </c>
      <c r="D313" s="208">
        <f>Population!K17</f>
        <v>4328562.4534553932</v>
      </c>
      <c r="E313" s="209" t="str">
        <f t="shared" si="32"/>
        <v>Large</v>
      </c>
      <c r="F313" s="208"/>
      <c r="G313" s="210">
        <f>Variables!$C$3*POWER(SUM(1,Variables!$C$2/100),C313-2017)</f>
        <v>12101.178916490102</v>
      </c>
      <c r="H313" s="210">
        <f t="shared" si="33"/>
        <v>321.3262704959634</v>
      </c>
      <c r="I313" s="211">
        <f>VLOOKUP(B313,'Waste per capita'!$B$2:$F$48,4,FALSE)*(H313/Variables!$C$6)</f>
        <v>241.7632997355424</v>
      </c>
      <c r="J313" s="210">
        <f t="shared" si="34"/>
        <v>1046487.5418587511</v>
      </c>
      <c r="K313" s="212">
        <f>Variables!$C$13</f>
        <v>1</v>
      </c>
      <c r="L313" s="213">
        <f t="shared" si="35"/>
        <v>1046487.5418587511</v>
      </c>
      <c r="N313" s="215">
        <f>IF(D313&gt;1500000,Budgeting!$B$13,(IF(D313&gt;500000,Budgeting!$C$13,Budgeting!$D$13)))</f>
        <v>25.956254000485576</v>
      </c>
      <c r="O313" s="216">
        <f t="shared" si="36"/>
        <v>27162896.444829524</v>
      </c>
      <c r="P313" s="217">
        <f>IF(D313&gt;1500000,Budgeting!$B$15,(IF(D313&gt;500000,Budgeting!$C$15,Budgeting!$D$15)))</f>
        <v>3.7080362857836535</v>
      </c>
      <c r="Q313" s="218">
        <f t="shared" si="37"/>
        <v>3880413.7778327889</v>
      </c>
    </row>
    <row r="314" spans="1:17">
      <c r="A314" s="222">
        <v>17</v>
      </c>
      <c r="B314" s="191" t="s">
        <v>125</v>
      </c>
      <c r="C314" s="191">
        <v>2026</v>
      </c>
      <c r="D314" s="208">
        <f>Population!K18</f>
        <v>15929.280574688535</v>
      </c>
      <c r="E314" s="209" t="str">
        <f t="shared" si="32"/>
        <v>Small</v>
      </c>
      <c r="F314" s="208"/>
      <c r="G314" s="210">
        <f>Variables!$C$3*POWER(SUM(1,Variables!$C$2/100),C314-2017)</f>
        <v>12101.178916490102</v>
      </c>
      <c r="H314" s="210">
        <f t="shared" si="33"/>
        <v>321.3262704959634</v>
      </c>
      <c r="I314" s="211">
        <f>VLOOKUP(B314,'Waste per capita'!$B$2:$F$48,4,FALSE)*(H314/Variables!$C$6)</f>
        <v>186.0576417850873</v>
      </c>
      <c r="J314" s="210">
        <f t="shared" si="34"/>
        <v>2963.7643790595489</v>
      </c>
      <c r="K314" s="212">
        <f>Variables!$C$13</f>
        <v>1</v>
      </c>
      <c r="L314" s="213">
        <f t="shared" si="35"/>
        <v>2963.7643790595489</v>
      </c>
      <c r="N314" s="215">
        <f>IF(D314&gt;1500000,Budgeting!$B$13,(IF(D314&gt;500000,Budgeting!$C$13,Budgeting!$D$13)))</f>
        <v>26.27408568212417</v>
      </c>
      <c r="O314" s="216">
        <f t="shared" si="36"/>
        <v>77870.199237038119</v>
      </c>
      <c r="P314" s="217">
        <f>IF(D314&gt;1500000,Budgeting!$B$15,(IF(D314&gt;500000,Budgeting!$C$15,Budgeting!$D$15)))</f>
        <v>7.6279603593263765</v>
      </c>
      <c r="Q314" s="218">
        <f t="shared" si="37"/>
        <v>22607.477197849792</v>
      </c>
    </row>
    <row r="315" spans="1:17">
      <c r="A315" s="222">
        <v>18</v>
      </c>
      <c r="B315" s="191" t="s">
        <v>126</v>
      </c>
      <c r="C315" s="191">
        <v>2026</v>
      </c>
      <c r="D315" s="208">
        <f>Population!K19</f>
        <v>140733.27554295966</v>
      </c>
      <c r="E315" s="209" t="str">
        <f t="shared" si="32"/>
        <v>Medium</v>
      </c>
      <c r="F315" s="208"/>
      <c r="G315" s="210">
        <f>Variables!$C$3*POWER(SUM(1,Variables!$C$2/100),C315-2017)</f>
        <v>12101.178916490102</v>
      </c>
      <c r="H315" s="210">
        <f t="shared" si="33"/>
        <v>321.3262704959634</v>
      </c>
      <c r="I315" s="211">
        <f>VLOOKUP(B315,'Waste per capita'!$B$2:$F$48,4,FALSE)*(H315/Variables!$C$6)</f>
        <v>105.39793291841625</v>
      </c>
      <c r="J315" s="210">
        <f t="shared" si="34"/>
        <v>14832.996335065851</v>
      </c>
      <c r="K315" s="212">
        <f>Variables!$C$13</f>
        <v>1</v>
      </c>
      <c r="L315" s="213">
        <f t="shared" si="35"/>
        <v>14832.996335065851</v>
      </c>
      <c r="N315" s="215">
        <f>IF(D315&gt;1500000,Budgeting!$B$13,(IF(D315&gt;500000,Budgeting!$C$13,Budgeting!$D$13)))</f>
        <v>26.27408568212417</v>
      </c>
      <c r="O315" s="216">
        <f t="shared" si="36"/>
        <v>389723.41663015395</v>
      </c>
      <c r="P315" s="217">
        <f>IF(D315&gt;1500000,Budgeting!$B$15,(IF(D315&gt;500000,Budgeting!$C$15,Budgeting!$D$15)))</f>
        <v>7.6279603593263765</v>
      </c>
      <c r="Q315" s="218">
        <f t="shared" si="37"/>
        <v>113145.50805391574</v>
      </c>
    </row>
    <row r="316" spans="1:17">
      <c r="A316" s="222">
        <v>19</v>
      </c>
      <c r="B316" s="191" t="s">
        <v>127</v>
      </c>
      <c r="C316" s="191">
        <v>2026</v>
      </c>
      <c r="D316" s="208">
        <f>Population!K20</f>
        <v>6389750.2573165465</v>
      </c>
      <c r="E316" s="209" t="str">
        <f t="shared" si="32"/>
        <v>Large</v>
      </c>
      <c r="F316" s="208"/>
      <c r="G316" s="210">
        <f>Variables!$C$3*POWER(SUM(1,Variables!$C$2/100),C316-2017)</f>
        <v>12101.178916490102</v>
      </c>
      <c r="H316" s="210">
        <f t="shared" si="33"/>
        <v>321.3262704959634</v>
      </c>
      <c r="I316" s="211">
        <f>VLOOKUP(B316,'Waste per capita'!$B$2:$F$48,4,FALSE)*(H316/Variables!$C$6)</f>
        <v>359.65686387624515</v>
      </c>
      <c r="J316" s="210">
        <f t="shared" si="34"/>
        <v>2298117.5384988994</v>
      </c>
      <c r="K316" s="212">
        <f>Variables!$C$13</f>
        <v>1</v>
      </c>
      <c r="L316" s="213">
        <f t="shared" si="35"/>
        <v>2298117.5384988994</v>
      </c>
      <c r="N316" s="215">
        <f>IF(D316&gt;1500000,Budgeting!$B$13,(IF(D316&gt;500000,Budgeting!$C$13,Budgeting!$D$13)))</f>
        <v>25.956254000485576</v>
      </c>
      <c r="O316" s="216">
        <f t="shared" si="36"/>
        <v>59650522.55224812</v>
      </c>
      <c r="P316" s="217">
        <f>IF(D316&gt;1500000,Budgeting!$B$15,(IF(D316&gt;500000,Budgeting!$C$15,Budgeting!$D$15)))</f>
        <v>3.7080362857836535</v>
      </c>
      <c r="Q316" s="218">
        <f t="shared" si="37"/>
        <v>8521503.2217497323</v>
      </c>
    </row>
    <row r="317" spans="1:17">
      <c r="A317" s="222">
        <v>20</v>
      </c>
      <c r="B317" s="191" t="s">
        <v>128</v>
      </c>
      <c r="C317" s="191">
        <v>2026</v>
      </c>
      <c r="D317" s="208">
        <f>Population!K21</f>
        <v>4003073.6800497724</v>
      </c>
      <c r="E317" s="209" t="str">
        <f t="shared" si="32"/>
        <v>Large</v>
      </c>
      <c r="F317" s="208"/>
      <c r="G317" s="210">
        <f>Variables!$C$3*POWER(SUM(1,Variables!$C$2/100),C317-2017)</f>
        <v>12101.178916490102</v>
      </c>
      <c r="H317" s="210">
        <f t="shared" si="33"/>
        <v>321.3262704959634</v>
      </c>
      <c r="I317" s="211">
        <f>VLOOKUP(B317,'Waste per capita'!$B$2:$F$48,4,FALSE)*(H317/Variables!$C$6)</f>
        <v>136.36536681712616</v>
      </c>
      <c r="J317" s="210">
        <f t="shared" si="34"/>
        <v>545880.61077597039</v>
      </c>
      <c r="K317" s="212">
        <f>Variables!$C$13</f>
        <v>1</v>
      </c>
      <c r="L317" s="213">
        <f t="shared" si="35"/>
        <v>545880.61077597039</v>
      </c>
      <c r="N317" s="215">
        <f>IF(D317&gt;1500000,Budgeting!$B$13,(IF(D317&gt;500000,Budgeting!$C$13,Budgeting!$D$13)))</f>
        <v>25.956254000485576</v>
      </c>
      <c r="O317" s="216">
        <f t="shared" si="36"/>
        <v>14169015.787241291</v>
      </c>
      <c r="P317" s="217">
        <f>IF(D317&gt;1500000,Budgeting!$B$15,(IF(D317&gt;500000,Budgeting!$C$15,Budgeting!$D$15)))</f>
        <v>3.7080362857836535</v>
      </c>
      <c r="Q317" s="218">
        <f t="shared" si="37"/>
        <v>2024145.1124630414</v>
      </c>
    </row>
    <row r="318" spans="1:17">
      <c r="A318" s="222">
        <v>21</v>
      </c>
      <c r="B318" s="222" t="s">
        <v>129</v>
      </c>
      <c r="C318" s="191">
        <v>2026</v>
      </c>
      <c r="D318" s="208">
        <f>Population!K22</f>
        <v>17680468.379297871</v>
      </c>
      <c r="E318" s="209" t="str">
        <f t="shared" si="32"/>
        <v>Large</v>
      </c>
      <c r="F318" s="208"/>
      <c r="G318" s="210">
        <f>Variables!$C$3*POWER(SUM(1,Variables!$C$2/100),C318-2017)</f>
        <v>12101.178916490102</v>
      </c>
      <c r="H318" s="210">
        <f t="shared" si="33"/>
        <v>321.3262704959634</v>
      </c>
      <c r="I318" s="211">
        <f>VLOOKUP(B318,'Waste per capita'!$B$2:$F$48,4,FALSE)*(H318/Variables!$C$6)</f>
        <v>279.25019340240181</v>
      </c>
      <c r="J318" s="210">
        <f t="shared" si="34"/>
        <v>4937274.2143639801</v>
      </c>
      <c r="K318" s="212">
        <f>Variables!$C$13</f>
        <v>1</v>
      </c>
      <c r="L318" s="213">
        <f t="shared" si="35"/>
        <v>4937274.2143639801</v>
      </c>
      <c r="N318" s="215">
        <f>IF(D318&gt;1500000,Budgeting!$B$13,(IF(D318&gt;500000,Budgeting!$C$13,Budgeting!$D$13)))</f>
        <v>25.956254000485576</v>
      </c>
      <c r="O318" s="216">
        <f t="shared" si="36"/>
        <v>128153143.57807934</v>
      </c>
      <c r="P318" s="217">
        <f>IF(D318&gt;1500000,Budgeting!$B$15,(IF(D318&gt;500000,Budgeting!$C$15,Budgeting!$D$15)))</f>
        <v>3.7080362857836535</v>
      </c>
      <c r="Q318" s="218">
        <f t="shared" si="37"/>
        <v>18307591.939725619</v>
      </c>
    </row>
    <row r="319" spans="1:17">
      <c r="A319" s="222">
        <v>22</v>
      </c>
      <c r="B319" s="191" t="s">
        <v>130</v>
      </c>
      <c r="C319" s="191">
        <v>2026</v>
      </c>
      <c r="D319" s="208">
        <f>Population!K23</f>
        <v>15679975.255292797</v>
      </c>
      <c r="E319" s="209" t="str">
        <f t="shared" si="32"/>
        <v>Large</v>
      </c>
      <c r="F319" s="208"/>
      <c r="G319" s="210">
        <f>Variables!$C$3*POWER(SUM(1,Variables!$C$2/100),C319-2017)</f>
        <v>12101.178916490102</v>
      </c>
      <c r="H319" s="210">
        <f t="shared" si="33"/>
        <v>321.3262704959634</v>
      </c>
      <c r="I319" s="211">
        <f>VLOOKUP(B319,'Waste per capita'!$B$2:$F$48,4,FALSE)*(H319/Variables!$C$6)</f>
        <v>353.13740410809567</v>
      </c>
      <c r="J319" s="210">
        <f t="shared" si="34"/>
        <v>5537185.7581332736</v>
      </c>
      <c r="K319" s="212">
        <f>Variables!$C$13</f>
        <v>1</v>
      </c>
      <c r="L319" s="213">
        <f t="shared" si="35"/>
        <v>5537185.7581332736</v>
      </c>
      <c r="N319" s="215">
        <f>IF(D319&gt;1500000,Budgeting!$B$13,(IF(D319&gt;500000,Budgeting!$C$13,Budgeting!$D$13)))</f>
        <v>25.956254000485576</v>
      </c>
      <c r="O319" s="216">
        <f t="shared" si="36"/>
        <v>143724599.98597854</v>
      </c>
      <c r="P319" s="217">
        <f>IF(D319&gt;1500000,Budgeting!$B$15,(IF(D319&gt;500000,Budgeting!$C$15,Budgeting!$D$15)))</f>
        <v>3.7080362857836535</v>
      </c>
      <c r="Q319" s="218">
        <f t="shared" si="37"/>
        <v>20532085.712282646</v>
      </c>
    </row>
    <row r="320" spans="1:17">
      <c r="A320" s="222">
        <v>23</v>
      </c>
      <c r="B320" s="191" t="s">
        <v>131</v>
      </c>
      <c r="C320" s="191">
        <v>2026</v>
      </c>
      <c r="D320" s="208">
        <f>Population!K24</f>
        <v>56863.694982810986</v>
      </c>
      <c r="E320" s="209" t="str">
        <f t="shared" si="32"/>
        <v>Small</v>
      </c>
      <c r="F320" s="208"/>
      <c r="G320" s="210">
        <f>Variables!$C$3*POWER(SUM(1,Variables!$C$2/100),C320-2017)</f>
        <v>12101.178916490102</v>
      </c>
      <c r="H320" s="210">
        <f t="shared" si="33"/>
        <v>321.3262704959634</v>
      </c>
      <c r="I320" s="211">
        <f>VLOOKUP(B320,'Waste per capita'!$B$2:$F$48,4,FALSE)*(H320/Variables!$C$6)</f>
        <v>334.66560143167214</v>
      </c>
      <c r="J320" s="210">
        <f t="shared" si="34"/>
        <v>19030.322681049598</v>
      </c>
      <c r="K320" s="212">
        <f>Variables!$C$13</f>
        <v>1</v>
      </c>
      <c r="L320" s="213">
        <f t="shared" si="35"/>
        <v>19030.322681049598</v>
      </c>
      <c r="N320" s="215">
        <f>IF(D320&gt;1500000,Budgeting!$B$13,(IF(D320&gt;500000,Budgeting!$C$13,Budgeting!$D$13)))</f>
        <v>26.27408568212417</v>
      </c>
      <c r="O320" s="216">
        <f t="shared" si="36"/>
        <v>500004.32868036808</v>
      </c>
      <c r="P320" s="217">
        <f>IF(D320&gt;1500000,Budgeting!$B$15,(IF(D320&gt;500000,Budgeting!$C$15,Budgeting!$D$15)))</f>
        <v>7.6279603593263765</v>
      </c>
      <c r="Q320" s="218">
        <f t="shared" si="37"/>
        <v>145162.54703623598</v>
      </c>
    </row>
    <row r="321" spans="1:17">
      <c r="A321" s="222">
        <v>24</v>
      </c>
      <c r="B321" s="191" t="s">
        <v>132</v>
      </c>
      <c r="C321" s="191">
        <v>2026</v>
      </c>
      <c r="D321" s="208">
        <f>Population!K25</f>
        <v>2393260.0167763671</v>
      </c>
      <c r="E321" s="209" t="str">
        <f t="shared" si="32"/>
        <v>Large</v>
      </c>
      <c r="F321" s="208"/>
      <c r="G321" s="210">
        <f>Variables!$C$3*POWER(SUM(1,Variables!$C$2/100),C321-2017)</f>
        <v>12101.178916490102</v>
      </c>
      <c r="H321" s="210">
        <f t="shared" si="33"/>
        <v>321.3262704959634</v>
      </c>
      <c r="I321" s="211">
        <f>VLOOKUP(B321,'Waste per capita'!$B$2:$F$48,4,FALSE)*(H321/Variables!$C$6)</f>
        <v>229.26766851325596</v>
      </c>
      <c r="J321" s="210">
        <f t="shared" si="34"/>
        <v>548697.14419231354</v>
      </c>
      <c r="K321" s="212">
        <f>Variables!$C$13</f>
        <v>1</v>
      </c>
      <c r="L321" s="213">
        <f t="shared" si="35"/>
        <v>548697.14419231354</v>
      </c>
      <c r="N321" s="215">
        <f>IF(D321&gt;1500000,Budgeting!$B$13,(IF(D321&gt;500000,Budgeting!$C$13,Budgeting!$D$13)))</f>
        <v>25.956254000485576</v>
      </c>
      <c r="O321" s="216">
        <f t="shared" si="36"/>
        <v>14242122.44399675</v>
      </c>
      <c r="P321" s="217">
        <f>IF(D321&gt;1500000,Budgeting!$B$15,(IF(D321&gt;500000,Budgeting!$C$15,Budgeting!$D$15)))</f>
        <v>3.7080362857836535</v>
      </c>
      <c r="Q321" s="218">
        <f t="shared" si="37"/>
        <v>2034588.920570964</v>
      </c>
    </row>
    <row r="322" spans="1:17">
      <c r="A322" s="222">
        <v>25</v>
      </c>
      <c r="B322" s="191" t="s">
        <v>133</v>
      </c>
      <c r="C322" s="191">
        <v>2026</v>
      </c>
      <c r="D322" s="208">
        <f>Population!K26</f>
        <v>343556.64160429715</v>
      </c>
      <c r="E322" s="209" t="str">
        <f t="shared" si="32"/>
        <v>Medium</v>
      </c>
      <c r="F322" s="208"/>
      <c r="G322" s="210">
        <f>Variables!$C$3*POWER(SUM(1,Variables!$C$2/100),C322-2017)</f>
        <v>12101.178916490102</v>
      </c>
      <c r="H322" s="210">
        <f t="shared" si="33"/>
        <v>321.3262704959634</v>
      </c>
      <c r="I322" s="211">
        <f>VLOOKUP(B322,'Waste per capita'!$B$2:$F$48,4,FALSE)*(H322/Variables!$C$6)</f>
        <v>365.63303533038214</v>
      </c>
      <c r="J322" s="210">
        <f t="shared" si="34"/>
        <v>125615.65767769142</v>
      </c>
      <c r="K322" s="212">
        <f>Variables!$C$13</f>
        <v>1</v>
      </c>
      <c r="L322" s="213">
        <f t="shared" si="35"/>
        <v>125615.65767769142</v>
      </c>
      <c r="N322" s="215">
        <f>IF(D322&gt;1500000,Budgeting!$B$13,(IF(D322&gt;500000,Budgeting!$C$13,Budgeting!$D$13)))</f>
        <v>26.27408568212417</v>
      </c>
      <c r="O322" s="216">
        <f t="shared" si="36"/>
        <v>3300436.5528400429</v>
      </c>
      <c r="P322" s="217">
        <f>IF(D322&gt;1500000,Budgeting!$B$15,(IF(D322&gt;500000,Budgeting!$C$15,Budgeting!$D$15)))</f>
        <v>7.6279603593263765</v>
      </c>
      <c r="Q322" s="218">
        <f t="shared" si="37"/>
        <v>958191.25727614213</v>
      </c>
    </row>
    <row r="323" spans="1:17">
      <c r="A323" s="222">
        <v>26</v>
      </c>
      <c r="B323" s="191" t="s">
        <v>134</v>
      </c>
      <c r="C323" s="191">
        <v>2026</v>
      </c>
      <c r="D323" s="208">
        <f>Population!K27</f>
        <v>142363.14930024493</v>
      </c>
      <c r="E323" s="209" t="str">
        <f t="shared" si="32"/>
        <v>Medium</v>
      </c>
      <c r="F323" s="208"/>
      <c r="G323" s="210">
        <f>Variables!$C$3*POWER(SUM(1,Variables!$C$2/100),C323-2017)</f>
        <v>12101.178916490102</v>
      </c>
      <c r="H323" s="210">
        <f t="shared" si="33"/>
        <v>321.3262704959634</v>
      </c>
      <c r="I323" s="211">
        <f>VLOOKUP(B323,'Waste per capita'!$B$2:$F$48,4,FALSE)*(H323/Variables!$C$6)</f>
        <v>471.03096824879833</v>
      </c>
      <c r="J323" s="210">
        <f t="shared" si="34"/>
        <v>67057.452057842602</v>
      </c>
      <c r="K323" s="212">
        <f>Variables!$C$13</f>
        <v>1</v>
      </c>
      <c r="L323" s="213">
        <f t="shared" si="35"/>
        <v>67057.452057842602</v>
      </c>
      <c r="N323" s="215">
        <f>IF(D323&gt;1500000,Budgeting!$B$13,(IF(D323&gt;500000,Budgeting!$C$13,Budgeting!$D$13)))</f>
        <v>26.27408568212417</v>
      </c>
      <c r="O323" s="216">
        <f t="shared" si="36"/>
        <v>1761873.2409926902</v>
      </c>
      <c r="P323" s="217">
        <f>IF(D323&gt;1500000,Budgeting!$B$15,(IF(D323&gt;500000,Budgeting!$C$15,Budgeting!$D$15)))</f>
        <v>7.6279603593263765</v>
      </c>
      <c r="Q323" s="218">
        <f t="shared" si="37"/>
        <v>511511.5860946523</v>
      </c>
    </row>
    <row r="324" spans="1:17">
      <c r="A324" s="222">
        <v>27</v>
      </c>
      <c r="B324" s="191" t="s">
        <v>135</v>
      </c>
      <c r="C324" s="191">
        <v>2026</v>
      </c>
      <c r="D324" s="208">
        <f>Population!K28</f>
        <v>1435813.6270226818</v>
      </c>
      <c r="E324" s="209" t="str">
        <f t="shared" si="32"/>
        <v>Large</v>
      </c>
      <c r="F324" s="208"/>
      <c r="G324" s="210">
        <f>Variables!$C$3*POWER(SUM(1,Variables!$C$2/100),C324-2017)</f>
        <v>12101.178916490102</v>
      </c>
      <c r="H324" s="210">
        <f t="shared" si="33"/>
        <v>321.3262704959634</v>
      </c>
      <c r="I324" s="211">
        <f>VLOOKUP(B324,'Waste per capita'!$B$2:$F$48,4,FALSE)*(H324/Variables!$C$6)</f>
        <v>185.80460339225957</v>
      </c>
      <c r="J324" s="210">
        <f t="shared" si="34"/>
        <v>266780.78151415108</v>
      </c>
      <c r="K324" s="212">
        <f>Variables!$C$13</f>
        <v>1</v>
      </c>
      <c r="L324" s="213">
        <f t="shared" si="35"/>
        <v>266780.78151415108</v>
      </c>
      <c r="N324" s="215">
        <f>IF(D324&gt;1500000,Budgeting!$B$13,(IF(D324&gt;500000,Budgeting!$C$13,Budgeting!$D$13)))</f>
        <v>26.132827156951464</v>
      </c>
      <c r="O324" s="216">
        <f t="shared" si="36"/>
        <v>6971736.0521057425</v>
      </c>
      <c r="P324" s="217">
        <f>IF(D324&gt;1500000,Budgeting!$B$15,(IF(D324&gt;500000,Budgeting!$C$15,Budgeting!$D$15)))</f>
        <v>2.1188778775906578</v>
      </c>
      <c r="Q324" s="218">
        <f t="shared" si="37"/>
        <v>565275.8961166814</v>
      </c>
    </row>
    <row r="325" spans="1:17">
      <c r="A325" s="222">
        <v>28</v>
      </c>
      <c r="B325" s="191" t="s">
        <v>136</v>
      </c>
      <c r="C325" s="191">
        <v>2026</v>
      </c>
      <c r="D325" s="208">
        <f>Population!K29</f>
        <v>1525327.3737240136</v>
      </c>
      <c r="E325" s="209" t="str">
        <f t="shared" ref="E325:E388" si="38">IF(D325&lt;100000,"Small",IF(D325&lt;1000000,"Medium","Large"))</f>
        <v>Large</v>
      </c>
      <c r="F325" s="208"/>
      <c r="G325" s="210">
        <f>Variables!$C$3*POWER(SUM(1,Variables!$C$2/100),C325-2017)</f>
        <v>12101.178916490102</v>
      </c>
      <c r="H325" s="210">
        <f t="shared" si="33"/>
        <v>321.3262704959634</v>
      </c>
      <c r="I325" s="211">
        <f>VLOOKUP(B325,'Waste per capita'!$B$2:$F$48,4,FALSE)*(H325/Variables!$C$6)</f>
        <v>154.83716949354962</v>
      </c>
      <c r="J325" s="210">
        <f t="shared" si="34"/>
        <v>236177.37309845601</v>
      </c>
      <c r="K325" s="212">
        <f>Variables!$C$13</f>
        <v>1</v>
      </c>
      <c r="L325" s="213">
        <f t="shared" si="35"/>
        <v>236177.37309845601</v>
      </c>
      <c r="N325" s="215">
        <f>IF(D325&gt;1500000,Budgeting!$B$13,(IF(D325&gt;500000,Budgeting!$C$13,Budgeting!$D$13)))</f>
        <v>25.956254000485576</v>
      </c>
      <c r="O325" s="216">
        <f t="shared" si="36"/>
        <v>6130279.885310973</v>
      </c>
      <c r="P325" s="217">
        <f>IF(D325&gt;1500000,Budgeting!$B$15,(IF(D325&gt;500000,Budgeting!$C$15,Budgeting!$D$15)))</f>
        <v>3.7080362857836535</v>
      </c>
      <c r="Q325" s="218">
        <f t="shared" si="37"/>
        <v>875754.26933013904</v>
      </c>
    </row>
    <row r="326" spans="1:17">
      <c r="A326" s="222">
        <v>29</v>
      </c>
      <c r="B326" s="191" t="s">
        <v>137</v>
      </c>
      <c r="C326" s="191">
        <v>2026</v>
      </c>
      <c r="D326" s="208">
        <f>Population!K30</f>
        <v>203526.75534630369</v>
      </c>
      <c r="E326" s="209" t="str">
        <f t="shared" si="38"/>
        <v>Medium</v>
      </c>
      <c r="F326" s="208"/>
      <c r="G326" s="210">
        <f>Variables!$C$3*POWER(SUM(1,Variables!$C$2/100),C326-2017)</f>
        <v>12101.178916490102</v>
      </c>
      <c r="H326" s="210">
        <f t="shared" si="33"/>
        <v>321.3262704959634</v>
      </c>
      <c r="I326" s="211">
        <f>VLOOKUP(B326,'Waste per capita'!$B$2:$F$48,4,FALSE)*(H326/Variables!$C$6)</f>
        <v>210.79586583683249</v>
      </c>
      <c r="J326" s="210">
        <f t="shared" si="34"/>
        <v>42902.598614185255</v>
      </c>
      <c r="K326" s="212">
        <f>Variables!$C$13</f>
        <v>1</v>
      </c>
      <c r="L326" s="213">
        <f t="shared" si="35"/>
        <v>42902.598614185255</v>
      </c>
      <c r="N326" s="215">
        <f>IF(D326&gt;1500000,Budgeting!$B$13,(IF(D326&gt;500000,Budgeting!$C$13,Budgeting!$D$13)))</f>
        <v>26.27408568212417</v>
      </c>
      <c r="O326" s="216">
        <f t="shared" si="36"/>
        <v>1127226.5519748852</v>
      </c>
      <c r="P326" s="217">
        <f>IF(D326&gt;1500000,Budgeting!$B$15,(IF(D326&gt;500000,Budgeting!$C$15,Budgeting!$D$15)))</f>
        <v>7.6279603593263765</v>
      </c>
      <c r="Q326" s="218">
        <f t="shared" si="37"/>
        <v>327259.32154109585</v>
      </c>
    </row>
    <row r="327" spans="1:17">
      <c r="A327" s="222">
        <v>30</v>
      </c>
      <c r="B327" s="191" t="s">
        <v>138</v>
      </c>
      <c r="C327" s="191">
        <v>2026</v>
      </c>
      <c r="D327" s="208">
        <f>Population!K31</f>
        <v>139633.43047919439</v>
      </c>
      <c r="E327" s="209" t="str">
        <f t="shared" si="38"/>
        <v>Medium</v>
      </c>
      <c r="F327" s="208"/>
      <c r="G327" s="210">
        <f>Variables!$C$3*POWER(SUM(1,Variables!$C$2/100),C327-2017)</f>
        <v>12101.178916490102</v>
      </c>
      <c r="H327" s="210">
        <f t="shared" si="33"/>
        <v>321.3262704959634</v>
      </c>
      <c r="I327" s="211">
        <f>VLOOKUP(B327,'Waste per capita'!$B$2:$F$48,4,FALSE)*(H327/Variables!$C$6)</f>
        <v>198.30023461454601</v>
      </c>
      <c r="J327" s="210">
        <f t="shared" si="34"/>
        <v>27689.342024058147</v>
      </c>
      <c r="K327" s="212">
        <f>Variables!$C$13</f>
        <v>1</v>
      </c>
      <c r="L327" s="213">
        <f t="shared" si="35"/>
        <v>27689.342024058147</v>
      </c>
      <c r="N327" s="215">
        <f>IF(D327&gt;1500000,Budgeting!$B$13,(IF(D327&gt;500000,Budgeting!$C$13,Budgeting!$D$13)))</f>
        <v>26.27408568212417</v>
      </c>
      <c r="O327" s="216">
        <f t="shared" si="36"/>
        <v>727512.14482174523</v>
      </c>
      <c r="P327" s="217">
        <f>IF(D327&gt;1500000,Budgeting!$B$15,(IF(D327&gt;500000,Budgeting!$C$15,Budgeting!$D$15)))</f>
        <v>7.6279603593263765</v>
      </c>
      <c r="Q327" s="218">
        <f t="shared" si="37"/>
        <v>211213.20333534552</v>
      </c>
    </row>
    <row r="328" spans="1:17">
      <c r="A328" s="222">
        <v>31</v>
      </c>
      <c r="B328" s="191" t="s">
        <v>139</v>
      </c>
      <c r="C328" s="191">
        <v>2026</v>
      </c>
      <c r="D328" s="208">
        <f>Population!K32</f>
        <v>240968.38013332136</v>
      </c>
      <c r="E328" s="209" t="str">
        <f t="shared" si="38"/>
        <v>Medium</v>
      </c>
      <c r="F328" s="208"/>
      <c r="G328" s="210">
        <f>Variables!$C$3*POWER(SUM(1,Variables!$C$2/100),C328-2017)</f>
        <v>12101.178916490102</v>
      </c>
      <c r="H328" s="210">
        <f t="shared" si="33"/>
        <v>321.3262704959634</v>
      </c>
      <c r="I328" s="211">
        <f>VLOOKUP(B328,'Waste per capita'!$B$2:$F$48,4,FALSE)*(H328/Variables!$C$6)</f>
        <v>220.50261704718832</v>
      </c>
      <c r="J328" s="210">
        <f t="shared" si="34"/>
        <v>53134.158445019064</v>
      </c>
      <c r="K328" s="212">
        <f>Variables!$C$13</f>
        <v>1</v>
      </c>
      <c r="L328" s="213">
        <f t="shared" si="35"/>
        <v>53134.158445019064</v>
      </c>
      <c r="N328" s="215">
        <f>IF(D328&gt;1500000,Budgeting!$B$13,(IF(D328&gt;500000,Budgeting!$C$13,Budgeting!$D$13)))</f>
        <v>26.27408568212417</v>
      </c>
      <c r="O328" s="216">
        <f t="shared" si="36"/>
        <v>1396051.4316319923</v>
      </c>
      <c r="P328" s="217">
        <f>IF(D328&gt;1500000,Budgeting!$B$15,(IF(D328&gt;500000,Budgeting!$C$15,Budgeting!$D$15)))</f>
        <v>7.6279603593263765</v>
      </c>
      <c r="Q328" s="218">
        <f t="shared" si="37"/>
        <v>405305.25434477226</v>
      </c>
    </row>
    <row r="329" spans="1:17">
      <c r="A329" s="222">
        <v>32</v>
      </c>
      <c r="B329" s="191" t="s">
        <v>140</v>
      </c>
      <c r="C329" s="191">
        <v>2026</v>
      </c>
      <c r="D329" s="208">
        <f>Population!K33</f>
        <v>1677576.3397020558</v>
      </c>
      <c r="E329" s="209" t="str">
        <f t="shared" si="38"/>
        <v>Large</v>
      </c>
      <c r="F329" s="208"/>
      <c r="G329" s="210">
        <f>Variables!$C$3*POWER(SUM(1,Variables!$C$2/100),C329-2017)</f>
        <v>12101.178916490102</v>
      </c>
      <c r="H329" s="210">
        <f t="shared" si="33"/>
        <v>321.3262704959634</v>
      </c>
      <c r="I329" s="211">
        <f>VLOOKUP(B329,'Waste per capita'!$B$2:$F$48,4,FALSE)*(H329/Variables!$C$6)</f>
        <v>297.72199607882527</v>
      </c>
      <c r="J329" s="210">
        <f t="shared" si="34"/>
        <v>499451.37643070548</v>
      </c>
      <c r="K329" s="212">
        <f>Variables!$C$13</f>
        <v>1</v>
      </c>
      <c r="L329" s="213">
        <f t="shared" si="35"/>
        <v>499451.37643070548</v>
      </c>
      <c r="N329" s="215">
        <f>IF(D329&gt;1500000,Budgeting!$B$13,(IF(D329&gt;500000,Budgeting!$C$13,Budgeting!$D$13)))</f>
        <v>25.956254000485576</v>
      </c>
      <c r="O329" s="216">
        <f t="shared" si="36"/>
        <v>12963886.787527526</v>
      </c>
      <c r="P329" s="217">
        <f>IF(D329&gt;1500000,Budgeting!$B$15,(IF(D329&gt;500000,Budgeting!$C$15,Budgeting!$D$15)))</f>
        <v>3.7080362857836535</v>
      </c>
      <c r="Q329" s="218">
        <f t="shared" si="37"/>
        <v>1851983.8267896466</v>
      </c>
    </row>
    <row r="330" spans="1:17">
      <c r="A330" s="222">
        <v>33</v>
      </c>
      <c r="B330" s="191" t="s">
        <v>141</v>
      </c>
      <c r="C330" s="191">
        <v>2026</v>
      </c>
      <c r="D330" s="208">
        <f>Population!K34</f>
        <v>1056776.3246985453</v>
      </c>
      <c r="E330" s="209" t="str">
        <f t="shared" si="38"/>
        <v>Large</v>
      </c>
      <c r="F330" s="208"/>
      <c r="G330" s="210">
        <f>Variables!$C$3*POWER(SUM(1,Variables!$C$2/100),C330-2017)</f>
        <v>12101.178916490102</v>
      </c>
      <c r="H330" s="210">
        <f t="shared" si="33"/>
        <v>321.3262704959634</v>
      </c>
      <c r="I330" s="211">
        <f>VLOOKUP(B330,'Waste per capita'!$B$2:$F$48,4,FALSE)*(H330/Variables!$C$6)</f>
        <v>142.34153827126318</v>
      </c>
      <c r="J330" s="210">
        <f t="shared" si="34"/>
        <v>150423.16766624281</v>
      </c>
      <c r="K330" s="212">
        <f>Variables!$C$13</f>
        <v>1</v>
      </c>
      <c r="L330" s="213">
        <f t="shared" si="35"/>
        <v>150423.16766624281</v>
      </c>
      <c r="N330" s="215">
        <f>IF(D330&gt;1500000,Budgeting!$B$13,(IF(D330&gt;500000,Budgeting!$C$13,Budgeting!$D$13)))</f>
        <v>26.132827156951464</v>
      </c>
      <c r="O330" s="216">
        <f t="shared" si="36"/>
        <v>3930982.6410230533</v>
      </c>
      <c r="P330" s="217">
        <f>IF(D330&gt;1500000,Budgeting!$B$15,(IF(D330&gt;500000,Budgeting!$C$15,Budgeting!$D$15)))</f>
        <v>2.1188778775906578</v>
      </c>
      <c r="Q330" s="218">
        <f t="shared" si="37"/>
        <v>318728.32224511221</v>
      </c>
    </row>
    <row r="331" spans="1:17">
      <c r="A331" s="222">
        <v>34</v>
      </c>
      <c r="B331" s="191" t="s">
        <v>142</v>
      </c>
      <c r="C331" s="191">
        <v>2026</v>
      </c>
      <c r="D331" s="208">
        <f>Population!K35</f>
        <v>611329.12695442047</v>
      </c>
      <c r="E331" s="209" t="str">
        <f t="shared" si="38"/>
        <v>Medium</v>
      </c>
      <c r="F331" s="208"/>
      <c r="G331" s="210">
        <f>Variables!$C$3*POWER(SUM(1,Variables!$C$2/100),C331-2017)</f>
        <v>12101.178916490102</v>
      </c>
      <c r="H331" s="210">
        <f t="shared" si="33"/>
        <v>321.3262704959634</v>
      </c>
      <c r="I331" s="211">
        <f>VLOOKUP(B331,'Waste per capita'!$B$2:$F$48,4,FALSE)*(H331/Variables!$C$6)</f>
        <v>255.34550758585377</v>
      </c>
      <c r="J331" s="210">
        <f t="shared" si="34"/>
        <v>156100.14622419333</v>
      </c>
      <c r="K331" s="212">
        <f>Variables!$C$13</f>
        <v>1</v>
      </c>
      <c r="L331" s="213">
        <f t="shared" si="35"/>
        <v>156100.14622419333</v>
      </c>
      <c r="N331" s="215">
        <f>IF(D331&gt;1500000,Budgeting!$B$13,(IF(D331&gt;500000,Budgeting!$C$13,Budgeting!$D$13)))</f>
        <v>26.132827156951464</v>
      </c>
      <c r="O331" s="216">
        <f t="shared" si="36"/>
        <v>4079338.1404516939</v>
      </c>
      <c r="P331" s="217">
        <f>IF(D331&gt;1500000,Budgeting!$B$15,(IF(D331&gt;500000,Budgeting!$C$15,Budgeting!$D$15)))</f>
        <v>2.1188778775906578</v>
      </c>
      <c r="Q331" s="218">
        <f t="shared" si="37"/>
        <v>330757.1465231101</v>
      </c>
    </row>
    <row r="332" spans="1:17">
      <c r="A332" s="222">
        <v>35</v>
      </c>
      <c r="B332" s="191" t="s">
        <v>143</v>
      </c>
      <c r="C332" s="191">
        <v>2026</v>
      </c>
      <c r="D332" s="208">
        <f>Population!K36</f>
        <v>260441.60591347585</v>
      </c>
      <c r="E332" s="209" t="str">
        <f t="shared" si="38"/>
        <v>Medium</v>
      </c>
      <c r="F332" s="208"/>
      <c r="G332" s="210">
        <f>Variables!$C$3*POWER(SUM(1,Variables!$C$2/100),C332-2017)</f>
        <v>12101.178916490102</v>
      </c>
      <c r="H332" s="210">
        <f t="shared" si="33"/>
        <v>321.3262704959634</v>
      </c>
      <c r="I332" s="211">
        <f>VLOOKUP(B332,'Waste per capita'!$B$2:$F$48,4,FALSE)*(H332/Variables!$C$6)</f>
        <v>218.40190223300687</v>
      </c>
      <c r="J332" s="210">
        <f t="shared" si="34"/>
        <v>56880.942152122261</v>
      </c>
      <c r="K332" s="212">
        <f>Variables!$C$13</f>
        <v>1</v>
      </c>
      <c r="L332" s="213">
        <f t="shared" si="35"/>
        <v>56880.942152122261</v>
      </c>
      <c r="N332" s="215">
        <f>IF(D332&gt;1500000,Budgeting!$B$13,(IF(D332&gt;500000,Budgeting!$C$13,Budgeting!$D$13)))</f>
        <v>26.27408568212417</v>
      </c>
      <c r="O332" s="216">
        <f t="shared" si="36"/>
        <v>1494494.7477848087</v>
      </c>
      <c r="P332" s="217">
        <f>IF(D332&gt;1500000,Budgeting!$B$15,(IF(D332&gt;500000,Budgeting!$C$15,Budgeting!$D$15)))</f>
        <v>7.6279603593263765</v>
      </c>
      <c r="Q332" s="218">
        <f t="shared" si="37"/>
        <v>433885.57193752535</v>
      </c>
    </row>
    <row r="333" spans="1:17">
      <c r="A333" s="222">
        <v>36</v>
      </c>
      <c r="B333" s="191" t="s">
        <v>144</v>
      </c>
      <c r="C333" s="191">
        <v>2026</v>
      </c>
      <c r="D333" s="208">
        <f>Population!K37</f>
        <v>1669826.2686713375</v>
      </c>
      <c r="E333" s="209" t="str">
        <f t="shared" si="38"/>
        <v>Large</v>
      </c>
      <c r="F333" s="208"/>
      <c r="G333" s="210">
        <f>Variables!$C$3*POWER(SUM(1,Variables!$C$2/100),C333-2017)</f>
        <v>12101.178916490102</v>
      </c>
      <c r="H333" s="210">
        <f t="shared" si="33"/>
        <v>321.3262704959634</v>
      </c>
      <c r="I333" s="211">
        <f>VLOOKUP(B333,'Waste per capita'!$B$2:$F$48,4,FALSE)*(H333/Variables!$C$6)</f>
        <v>309.67433898709925</v>
      </c>
      <c r="J333" s="210">
        <f t="shared" si="34"/>
        <v>517102.3459740908</v>
      </c>
      <c r="K333" s="212">
        <f>Variables!$C$13</f>
        <v>1</v>
      </c>
      <c r="L333" s="213">
        <f t="shared" si="35"/>
        <v>517102.3459740908</v>
      </c>
      <c r="N333" s="215">
        <f>IF(D333&gt;1500000,Budgeting!$B$13,(IF(D333&gt;500000,Budgeting!$C$13,Budgeting!$D$13)))</f>
        <v>25.956254000485576</v>
      </c>
      <c r="O333" s="216">
        <f t="shared" si="36"/>
        <v>13422039.836350471</v>
      </c>
      <c r="P333" s="217">
        <f>IF(D333&gt;1500000,Budgeting!$B$15,(IF(D333&gt;500000,Budgeting!$C$15,Budgeting!$D$15)))</f>
        <v>3.7080362857836535</v>
      </c>
      <c r="Q333" s="218">
        <f t="shared" si="37"/>
        <v>1917434.2623357815</v>
      </c>
    </row>
    <row r="334" spans="1:17">
      <c r="A334" s="222">
        <v>37</v>
      </c>
      <c r="B334" s="191" t="s">
        <v>145</v>
      </c>
      <c r="C334" s="191">
        <v>2026</v>
      </c>
      <c r="D334" s="208">
        <f>Population!K38</f>
        <v>278594.73341942107</v>
      </c>
      <c r="E334" s="209" t="str">
        <f t="shared" si="38"/>
        <v>Medium</v>
      </c>
      <c r="F334" s="208"/>
      <c r="G334" s="210">
        <f>Variables!$C$3*POWER(SUM(1,Variables!$C$2/100),C334-2017)</f>
        <v>12101.178916490102</v>
      </c>
      <c r="H334" s="210">
        <f t="shared" si="33"/>
        <v>321.3262704959634</v>
      </c>
      <c r="I334" s="211">
        <f>VLOOKUP(B334,'Waste per capita'!$B$2:$F$48,4,FALSE)*(H334/Variables!$C$6)</f>
        <v>218.40190223300687</v>
      </c>
      <c r="J334" s="210">
        <f t="shared" si="34"/>
        <v>60845.619730899016</v>
      </c>
      <c r="K334" s="212">
        <f>Variables!$C$13</f>
        <v>1</v>
      </c>
      <c r="L334" s="213">
        <f t="shared" si="35"/>
        <v>60845.619730899016</v>
      </c>
      <c r="N334" s="215">
        <f>IF(D334&gt;1500000,Budgeting!$B$13,(IF(D334&gt;500000,Budgeting!$C$13,Budgeting!$D$13)))</f>
        <v>26.27408568212417</v>
      </c>
      <c r="O334" s="216">
        <f t="shared" si="36"/>
        <v>1598663.0261915857</v>
      </c>
      <c r="P334" s="217">
        <f>IF(D334&gt;1500000,Budgeting!$B$15,(IF(D334&gt;500000,Budgeting!$C$15,Budgeting!$D$15)))</f>
        <v>7.6279603593263765</v>
      </c>
      <c r="Q334" s="218">
        <f t="shared" si="37"/>
        <v>464127.97534594452</v>
      </c>
    </row>
    <row r="335" spans="1:17">
      <c r="A335" s="222">
        <v>38</v>
      </c>
      <c r="B335" s="191" t="s">
        <v>146</v>
      </c>
      <c r="C335" s="191">
        <v>2026</v>
      </c>
      <c r="D335" s="208">
        <f>Population!K39</f>
        <v>1225170.5614963565</v>
      </c>
      <c r="E335" s="209" t="str">
        <f t="shared" si="38"/>
        <v>Large</v>
      </c>
      <c r="F335" s="208"/>
      <c r="G335" s="210">
        <f>Variables!$C$3*POWER(SUM(1,Variables!$C$2/100),C335-2017)</f>
        <v>12101.178916490102</v>
      </c>
      <c r="H335" s="210">
        <f t="shared" si="33"/>
        <v>321.3262704959634</v>
      </c>
      <c r="I335" s="211">
        <f>VLOOKUP(B335,'Waste per capita'!$B$2:$F$48,4,FALSE)*(H335/Variables!$C$6)</f>
        <v>305.58107086782735</v>
      </c>
      <c r="J335" s="210">
        <f t="shared" si="34"/>
        <v>374388.93217779393</v>
      </c>
      <c r="K335" s="212">
        <f>Variables!$C$13</f>
        <v>1</v>
      </c>
      <c r="L335" s="213">
        <f t="shared" si="35"/>
        <v>374388.93217779393</v>
      </c>
      <c r="N335" s="215">
        <f>IF(D335&gt;1500000,Budgeting!$B$13,(IF(D335&gt;500000,Budgeting!$C$13,Budgeting!$D$13)))</f>
        <v>26.132827156951464</v>
      </c>
      <c r="O335" s="216">
        <f t="shared" si="36"/>
        <v>9783841.2540779132</v>
      </c>
      <c r="P335" s="217">
        <f>IF(D335&gt;1500000,Budgeting!$B$15,(IF(D335&gt;500000,Budgeting!$C$15,Budgeting!$D$15)))</f>
        <v>2.1188778775906578</v>
      </c>
      <c r="Q335" s="218">
        <f t="shared" si="37"/>
        <v>793284.42600631679</v>
      </c>
    </row>
    <row r="336" spans="1:17">
      <c r="A336" s="222">
        <v>39</v>
      </c>
      <c r="B336" s="191" t="s">
        <v>147</v>
      </c>
      <c r="C336" s="191">
        <v>2026</v>
      </c>
      <c r="D336" s="208">
        <f>Population!K40</f>
        <v>100861.76049878611</v>
      </c>
      <c r="E336" s="209" t="str">
        <f t="shared" si="38"/>
        <v>Medium</v>
      </c>
      <c r="F336" s="208"/>
      <c r="G336" s="210">
        <f>Variables!$C$3*POWER(SUM(1,Variables!$C$2/100),C336-2017)</f>
        <v>12101.178916490102</v>
      </c>
      <c r="H336" s="210">
        <f t="shared" si="33"/>
        <v>321.3262704959634</v>
      </c>
      <c r="I336" s="211">
        <f>VLOOKUP(B336,'Waste per capita'!$B$2:$F$48,4,FALSE)*(H336/Variables!$C$6)</f>
        <v>247.93855286638944</v>
      </c>
      <c r="J336" s="210">
        <f t="shared" si="34"/>
        <v>25007.518937625391</v>
      </c>
      <c r="K336" s="212">
        <f>Variables!$C$13</f>
        <v>1</v>
      </c>
      <c r="L336" s="213">
        <f t="shared" si="35"/>
        <v>25007.518937625391</v>
      </c>
      <c r="N336" s="215">
        <f>IF(D336&gt;1500000,Budgeting!$B$13,(IF(D336&gt;500000,Budgeting!$C$13,Budgeting!$D$13)))</f>
        <v>26.27408568212417</v>
      </c>
      <c r="O336" s="216">
        <f t="shared" si="36"/>
        <v>657049.69526451232</v>
      </c>
      <c r="P336" s="217">
        <f>IF(D336&gt;1500000,Budgeting!$B$15,(IF(D336&gt;500000,Budgeting!$C$15,Budgeting!$D$15)))</f>
        <v>7.6279603593263765</v>
      </c>
      <c r="Q336" s="218">
        <f t="shared" si="37"/>
        <v>190756.36314131014</v>
      </c>
    </row>
    <row r="337" spans="1:17">
      <c r="A337" s="222">
        <v>40</v>
      </c>
      <c r="B337" s="191" t="s">
        <v>148</v>
      </c>
      <c r="C337" s="191">
        <v>2026</v>
      </c>
      <c r="D337" s="208">
        <f>Population!K41</f>
        <v>180090.39276661252</v>
      </c>
      <c r="E337" s="209" t="str">
        <f t="shared" si="38"/>
        <v>Medium</v>
      </c>
      <c r="F337" s="208"/>
      <c r="G337" s="210">
        <f>Variables!$C$3*POWER(SUM(1,Variables!$C$2/100),C337-2017)</f>
        <v>12101.178916490102</v>
      </c>
      <c r="H337" s="210">
        <f t="shared" si="33"/>
        <v>321.3262704959634</v>
      </c>
      <c r="I337" s="211">
        <f>VLOOKUP(B337,'Waste per capita'!$B$2:$F$48,4,FALSE)*(H337/Variables!$C$6)</f>
        <v>220.50261704718832</v>
      </c>
      <c r="J337" s="210">
        <f t="shared" si="34"/>
        <v>39710.402910094097</v>
      </c>
      <c r="K337" s="212">
        <f>Variables!$C$13</f>
        <v>1</v>
      </c>
      <c r="L337" s="213">
        <f t="shared" si="35"/>
        <v>39710.402910094097</v>
      </c>
      <c r="N337" s="215">
        <f>IF(D337&gt;1500000,Budgeting!$B$13,(IF(D337&gt;500000,Budgeting!$C$13,Budgeting!$D$13)))</f>
        <v>26.27408568212417</v>
      </c>
      <c r="O337" s="216">
        <f t="shared" si="36"/>
        <v>1043354.5285314852</v>
      </c>
      <c r="P337" s="217">
        <f>IF(D337&gt;1500000,Budgeting!$B$15,(IF(D337&gt;500000,Budgeting!$C$15,Budgeting!$D$15)))</f>
        <v>7.6279603593263765</v>
      </c>
      <c r="Q337" s="218">
        <f t="shared" si="37"/>
        <v>302909.37925107655</v>
      </c>
    </row>
    <row r="338" spans="1:17">
      <c r="A338" s="222">
        <v>41</v>
      </c>
      <c r="B338" s="191" t="s">
        <v>149</v>
      </c>
      <c r="C338" s="191">
        <v>2026</v>
      </c>
      <c r="D338" s="208">
        <f>Population!K42</f>
        <v>86680.295723104427</v>
      </c>
      <c r="E338" s="209" t="str">
        <f t="shared" si="38"/>
        <v>Small</v>
      </c>
      <c r="F338" s="208"/>
      <c r="G338" s="210">
        <f>Variables!$C$3*POWER(SUM(1,Variables!$C$2/100),C338-2017)</f>
        <v>12101.178916490102</v>
      </c>
      <c r="H338" s="210">
        <f t="shared" si="33"/>
        <v>321.3262704959634</v>
      </c>
      <c r="I338" s="211">
        <f>VLOOKUP(B338,'Waste per capita'!$B$2:$F$48,4,FALSE)*(H338/Variables!$C$6)</f>
        <v>247.93855286638944</v>
      </c>
      <c r="J338" s="210">
        <f t="shared" si="34"/>
        <v>21491.387083617199</v>
      </c>
      <c r="K338" s="212">
        <f>Variables!$C$13</f>
        <v>1</v>
      </c>
      <c r="L338" s="213">
        <f t="shared" si="35"/>
        <v>21491.387083617199</v>
      </c>
      <c r="N338" s="215">
        <f>IF(D338&gt;1500000,Budgeting!$B$13,(IF(D338&gt;500000,Budgeting!$C$13,Budgeting!$D$13)))</f>
        <v>26.27408568212417</v>
      </c>
      <c r="O338" s="216">
        <f t="shared" si="36"/>
        <v>564666.54566265503</v>
      </c>
      <c r="P338" s="217">
        <f>IF(D338&gt;1500000,Budgeting!$B$15,(IF(D338&gt;500000,Budgeting!$C$15,Budgeting!$D$15)))</f>
        <v>7.6279603593263765</v>
      </c>
      <c r="Q338" s="218">
        <f t="shared" si="37"/>
        <v>163935.44874077089</v>
      </c>
    </row>
    <row r="339" spans="1:17">
      <c r="A339" s="222">
        <v>42</v>
      </c>
      <c r="B339" s="191" t="s">
        <v>150</v>
      </c>
      <c r="C339" s="191">
        <v>2026</v>
      </c>
      <c r="D339" s="208">
        <f>Population!K43</f>
        <v>107341.46785120179</v>
      </c>
      <c r="E339" s="209" t="str">
        <f t="shared" si="38"/>
        <v>Medium</v>
      </c>
      <c r="F339" s="208"/>
      <c r="G339" s="210">
        <f>Variables!$C$3*POWER(SUM(1,Variables!$C$2/100),C339-2017)</f>
        <v>12101.178916490102</v>
      </c>
      <c r="H339" s="210">
        <f t="shared" si="33"/>
        <v>321.3262704959634</v>
      </c>
      <c r="I339" s="211">
        <f>VLOOKUP(B339,'Waste per capita'!$B$2:$F$48,4,FALSE)*(H339/Variables!$C$6)</f>
        <v>247.93855286638944</v>
      </c>
      <c r="J339" s="210">
        <f t="shared" si="34"/>
        <v>26614.088201581038</v>
      </c>
      <c r="K339" s="212">
        <f>Variables!$C$13</f>
        <v>1</v>
      </c>
      <c r="L339" s="213">
        <f t="shared" si="35"/>
        <v>26614.088201581038</v>
      </c>
      <c r="N339" s="215">
        <f>IF(D339&gt;1500000,Budgeting!$B$13,(IF(D339&gt;500000,Budgeting!$C$13,Budgeting!$D$13)))</f>
        <v>26.27408568212417</v>
      </c>
      <c r="O339" s="216">
        <f t="shared" si="36"/>
        <v>699260.83375995012</v>
      </c>
      <c r="P339" s="217">
        <f>IF(D339&gt;1500000,Budgeting!$B$15,(IF(D339&gt;500000,Budgeting!$C$15,Budgeting!$D$15)))</f>
        <v>7.6279603593263765</v>
      </c>
      <c r="Q339" s="218">
        <f t="shared" si="37"/>
        <v>203011.20980127598</v>
      </c>
    </row>
    <row r="340" spans="1:17">
      <c r="A340" s="222">
        <v>1</v>
      </c>
      <c r="B340" s="191" t="s">
        <v>109</v>
      </c>
      <c r="C340" s="191">
        <v>2027</v>
      </c>
      <c r="D340" s="208">
        <f>Population!L2</f>
        <v>581872.17100281536</v>
      </c>
      <c r="E340" s="209" t="str">
        <f t="shared" si="38"/>
        <v>Medium</v>
      </c>
      <c r="F340" s="208"/>
      <c r="G340" s="210">
        <f>Variables!$C$3*POWER(SUM(1,Variables!$C$2/100),C340-2017)</f>
        <v>12962.782855344198</v>
      </c>
      <c r="H340" s="210">
        <f t="shared" si="33"/>
        <v>330.79311493028354</v>
      </c>
      <c r="I340" s="211">
        <f>VLOOKUP(B340,'Waste per capita'!$B$2:$F$48,4,FALSE)*(H340/Variables!$C$6)</f>
        <v>255.03831740718124</v>
      </c>
      <c r="J340" s="210">
        <f t="shared" si="34"/>
        <v>148399.69943862167</v>
      </c>
      <c r="K340" s="212">
        <f>Variables!$C$13</f>
        <v>1</v>
      </c>
      <c r="L340" s="213">
        <f t="shared" si="35"/>
        <v>148399.69943862167</v>
      </c>
      <c r="N340" s="215">
        <f>IF(D340&gt;1500000,Budgeting!$B$13,(IF(D340&gt;500000,Budgeting!$C$13,Budgeting!$D$13)))</f>
        <v>26.132827156951464</v>
      </c>
      <c r="O340" s="216">
        <f t="shared" si="36"/>
        <v>3878103.6955730473</v>
      </c>
      <c r="P340" s="217">
        <f>IF(D340&gt;1500000,Budgeting!$B$15,(IF(D340&gt;500000,Budgeting!$C$15,Budgeting!$D$15)))</f>
        <v>2.1188778775906578</v>
      </c>
      <c r="Q340" s="218">
        <f t="shared" si="37"/>
        <v>314440.84018159821</v>
      </c>
    </row>
    <row r="341" spans="1:17">
      <c r="A341" s="222">
        <v>2</v>
      </c>
      <c r="B341" s="191" t="s">
        <v>110</v>
      </c>
      <c r="C341" s="191">
        <v>2027</v>
      </c>
      <c r="D341" s="208">
        <f>Population!L3</f>
        <v>426822.24409496418</v>
      </c>
      <c r="E341" s="209" t="str">
        <f t="shared" si="38"/>
        <v>Medium</v>
      </c>
      <c r="F341" s="208"/>
      <c r="G341" s="210">
        <f>Variables!$C$3*POWER(SUM(1,Variables!$C$2/100),C341-2017)</f>
        <v>12962.782855344198</v>
      </c>
      <c r="H341" s="210">
        <f t="shared" si="33"/>
        <v>330.79311493028354</v>
      </c>
      <c r="I341" s="211">
        <f>VLOOKUP(B341,'Waste per capita'!$B$2:$F$48,4,FALSE)*(H341/Variables!$C$6)</f>
        <v>159.39894837948827</v>
      </c>
      <c r="J341" s="210">
        <f t="shared" si="34"/>
        <v>68035.016853710535</v>
      </c>
      <c r="K341" s="212">
        <f>Variables!$C$13</f>
        <v>1</v>
      </c>
      <c r="L341" s="213">
        <f t="shared" si="35"/>
        <v>68035.016853710535</v>
      </c>
      <c r="N341" s="215">
        <f>IF(D341&gt;1500000,Budgeting!$B$13,(IF(D341&gt;500000,Budgeting!$C$13,Budgeting!$D$13)))</f>
        <v>26.27408568212417</v>
      </c>
      <c r="O341" s="216">
        <f t="shared" si="36"/>
        <v>1787557.8621991526</v>
      </c>
      <c r="P341" s="217">
        <f>IF(D341&gt;1500000,Budgeting!$B$15,(IF(D341&gt;500000,Budgeting!$C$15,Budgeting!$D$15)))</f>
        <v>7.6279603593263765</v>
      </c>
      <c r="Q341" s="218">
        <f t="shared" si="37"/>
        <v>518968.41160620592</v>
      </c>
    </row>
    <row r="342" spans="1:17">
      <c r="A342" s="222">
        <v>3</v>
      </c>
      <c r="B342" s="191" t="s">
        <v>111</v>
      </c>
      <c r="C342" s="191">
        <v>2027</v>
      </c>
      <c r="D342" s="208">
        <f>Population!L4</f>
        <v>12282725.931471176</v>
      </c>
      <c r="E342" s="209" t="str">
        <f t="shared" si="38"/>
        <v>Large</v>
      </c>
      <c r="F342" s="208"/>
      <c r="G342" s="210">
        <f>Variables!$C$3*POWER(SUM(1,Variables!$C$2/100),C342-2017)</f>
        <v>12962.782855344198</v>
      </c>
      <c r="H342" s="210">
        <f t="shared" si="33"/>
        <v>330.79311493028354</v>
      </c>
      <c r="I342" s="211">
        <f>VLOOKUP(B342,'Waste per capita'!$B$2:$F$48,4,FALSE)*(H342/Variables!$C$6)</f>
        <v>412.1924259945431</v>
      </c>
      <c r="J342" s="210">
        <f t="shared" si="34"/>
        <v>5062846.5995191876</v>
      </c>
      <c r="K342" s="212">
        <f>Variables!$C$13</f>
        <v>1</v>
      </c>
      <c r="L342" s="213">
        <f t="shared" si="35"/>
        <v>5062846.5995191876</v>
      </c>
      <c r="N342" s="215">
        <f>IF(D342&gt;1500000,Budgeting!$B$13,(IF(D342&gt;500000,Budgeting!$C$13,Budgeting!$D$13)))</f>
        <v>25.956254000485576</v>
      </c>
      <c r="O342" s="216">
        <f t="shared" si="36"/>
        <v>131412532.3026147</v>
      </c>
      <c r="P342" s="217">
        <f>IF(D342&gt;1500000,Budgeting!$B$15,(IF(D342&gt;500000,Budgeting!$C$15,Budgeting!$D$15)))</f>
        <v>3.7080362857836535</v>
      </c>
      <c r="Q342" s="218">
        <f t="shared" si="37"/>
        <v>18773218.90037353</v>
      </c>
    </row>
    <row r="343" spans="1:17">
      <c r="A343" s="222">
        <v>4</v>
      </c>
      <c r="B343" s="191" t="s">
        <v>112</v>
      </c>
      <c r="C343" s="191">
        <v>2027</v>
      </c>
      <c r="D343" s="208">
        <f>Population!L5</f>
        <v>2615806.370927142</v>
      </c>
      <c r="E343" s="209" t="str">
        <f t="shared" si="38"/>
        <v>Large</v>
      </c>
      <c r="F343" s="208"/>
      <c r="G343" s="210">
        <f>Variables!$C$3*POWER(SUM(1,Variables!$C$2/100),C343-2017)</f>
        <v>12962.782855344198</v>
      </c>
      <c r="H343" s="210">
        <f t="shared" si="33"/>
        <v>330.79311493028354</v>
      </c>
      <c r="I343" s="211">
        <f>VLOOKUP(B343,'Waste per capita'!$B$2:$F$48,4,FALSE)*(H343/Variables!$C$6)</f>
        <v>255.03831740718124</v>
      </c>
      <c r="J343" s="210">
        <f t="shared" si="34"/>
        <v>667130.85550424329</v>
      </c>
      <c r="K343" s="212">
        <f>Variables!$C$13</f>
        <v>1</v>
      </c>
      <c r="L343" s="213">
        <f t="shared" si="35"/>
        <v>667130.85550424329</v>
      </c>
      <c r="N343" s="215">
        <f>IF(D343&gt;1500000,Budgeting!$B$13,(IF(D343&gt;500000,Budgeting!$C$13,Budgeting!$D$13)))</f>
        <v>25.956254000485576</v>
      </c>
      <c r="O343" s="216">
        <f t="shared" si="36"/>
        <v>17316217.93702938</v>
      </c>
      <c r="P343" s="217">
        <f>IF(D343&gt;1500000,Budgeting!$B$15,(IF(D343&gt;500000,Budgeting!$C$15,Budgeting!$D$15)))</f>
        <v>3.7080362857836535</v>
      </c>
      <c r="Q343" s="218">
        <f t="shared" si="37"/>
        <v>2473745.4195756256</v>
      </c>
    </row>
    <row r="344" spans="1:17">
      <c r="A344" s="222">
        <v>5</v>
      </c>
      <c r="B344" s="191" t="s">
        <v>113</v>
      </c>
      <c r="C344" s="191">
        <v>2027</v>
      </c>
      <c r="D344" s="208">
        <f>Population!L6</f>
        <v>1226868.1132391586</v>
      </c>
      <c r="E344" s="209" t="str">
        <f t="shared" si="38"/>
        <v>Large</v>
      </c>
      <c r="F344" s="208"/>
      <c r="G344" s="210">
        <f>Variables!$C$3*POWER(SUM(1,Variables!$C$2/100),C344-2017)</f>
        <v>12962.782855344198</v>
      </c>
      <c r="H344" s="210">
        <f t="shared" si="33"/>
        <v>330.79311493028354</v>
      </c>
      <c r="I344" s="211">
        <f>VLOOKUP(B344,'Waste per capita'!$B$2:$F$48,4,FALSE)*(H344/Variables!$C$6)</f>
        <v>255.03831740718124</v>
      </c>
      <c r="J344" s="210">
        <f t="shared" si="34"/>
        <v>312898.37928103813</v>
      </c>
      <c r="K344" s="212">
        <f>Variables!$C$13</f>
        <v>1</v>
      </c>
      <c r="L344" s="213">
        <f t="shared" si="35"/>
        <v>312898.37928103813</v>
      </c>
      <c r="N344" s="215">
        <f>IF(D344&gt;1500000,Budgeting!$B$13,(IF(D344&gt;500000,Budgeting!$C$13,Budgeting!$D$13)))</f>
        <v>26.132827156951464</v>
      </c>
      <c r="O344" s="216">
        <f t="shared" si="36"/>
        <v>8176919.2634416129</v>
      </c>
      <c r="P344" s="217">
        <f>IF(D344&gt;1500000,Budgeting!$B$15,(IF(D344&gt;500000,Budgeting!$C$15,Budgeting!$D$15)))</f>
        <v>2.1188778775906578</v>
      </c>
      <c r="Q344" s="218">
        <f t="shared" si="37"/>
        <v>662993.45379256271</v>
      </c>
    </row>
    <row r="345" spans="1:17">
      <c r="A345" s="222">
        <v>6</v>
      </c>
      <c r="B345" s="191" t="s">
        <v>114</v>
      </c>
      <c r="C345" s="191">
        <v>2027</v>
      </c>
      <c r="D345" s="208">
        <f>Population!L7</f>
        <v>1398787.8003672068</v>
      </c>
      <c r="E345" s="209" t="str">
        <f t="shared" si="38"/>
        <v>Large</v>
      </c>
      <c r="F345" s="208"/>
      <c r="G345" s="210">
        <f>Variables!$C$3*POWER(SUM(1,Variables!$C$2/100),C345-2017)</f>
        <v>12962.782855344198</v>
      </c>
      <c r="H345" s="210">
        <f t="shared" si="33"/>
        <v>330.79311493028354</v>
      </c>
      <c r="I345" s="211">
        <f>VLOOKUP(B345,'Waste per capita'!$B$2:$F$48,4,FALSE)*(H345/Variables!$C$6)</f>
        <v>255.03831740718124</v>
      </c>
      <c r="J345" s="210">
        <f t="shared" si="34"/>
        <v>356744.48701534455</v>
      </c>
      <c r="K345" s="212">
        <f>Variables!$C$13</f>
        <v>1</v>
      </c>
      <c r="L345" s="213">
        <f t="shared" si="35"/>
        <v>356744.48701534455</v>
      </c>
      <c r="N345" s="215">
        <f>IF(D345&gt;1500000,Budgeting!$B$13,(IF(D345&gt;500000,Budgeting!$C$13,Budgeting!$D$13)))</f>
        <v>26.132827156951464</v>
      </c>
      <c r="O345" s="216">
        <f t="shared" si="36"/>
        <v>9322742.0183673147</v>
      </c>
      <c r="P345" s="217">
        <f>IF(D345&gt;1500000,Budgeting!$B$15,(IF(D345&gt;500000,Budgeting!$C$15,Budgeting!$D$15)))</f>
        <v>2.1188778775906578</v>
      </c>
      <c r="Q345" s="218">
        <f t="shared" si="37"/>
        <v>755898.00148924126</v>
      </c>
    </row>
    <row r="346" spans="1:17">
      <c r="A346" s="222">
        <v>7</v>
      </c>
      <c r="B346" s="191" t="s">
        <v>115</v>
      </c>
      <c r="C346" s="191">
        <v>2027</v>
      </c>
      <c r="D346" s="208">
        <f>Population!L8</f>
        <v>6759442.4978456562</v>
      </c>
      <c r="E346" s="209" t="str">
        <f t="shared" si="38"/>
        <v>Large</v>
      </c>
      <c r="F346" s="208"/>
      <c r="G346" s="210">
        <f>Variables!$C$3*POWER(SUM(1,Variables!$C$2/100),C346-2017)</f>
        <v>12962.782855344198</v>
      </c>
      <c r="H346" s="210">
        <f t="shared" si="33"/>
        <v>330.79311493028354</v>
      </c>
      <c r="I346" s="211">
        <f>VLOOKUP(B346,'Waste per capita'!$B$2:$F$48,4,FALSE)*(H346/Variables!$C$6)</f>
        <v>395.98054544799186</v>
      </c>
      <c r="J346" s="210">
        <f t="shared" si="34"/>
        <v>2676607.7272212594</v>
      </c>
      <c r="K346" s="212">
        <f>Variables!$C$13</f>
        <v>1</v>
      </c>
      <c r="L346" s="213">
        <f t="shared" si="35"/>
        <v>2676607.7272212594</v>
      </c>
      <c r="N346" s="215">
        <f>IF(D346&gt;1500000,Budgeting!$B$13,(IF(D346&gt;500000,Budgeting!$C$13,Budgeting!$D$13)))</f>
        <v>25.956254000485576</v>
      </c>
      <c r="O346" s="216">
        <f t="shared" si="36"/>
        <v>69474710.027417421</v>
      </c>
      <c r="P346" s="217">
        <f>IF(D346&gt;1500000,Budgeting!$B$15,(IF(D346&gt;500000,Budgeting!$C$15,Budgeting!$D$15)))</f>
        <v>3.7080362857836535</v>
      </c>
      <c r="Q346" s="218">
        <f t="shared" si="37"/>
        <v>9924958.5753453448</v>
      </c>
    </row>
    <row r="347" spans="1:17">
      <c r="A347" s="222">
        <v>8</v>
      </c>
      <c r="B347" s="191" t="s">
        <v>116</v>
      </c>
      <c r="C347" s="191">
        <v>2027</v>
      </c>
      <c r="D347" s="208">
        <f>Population!L9</f>
        <v>64415.514535721311</v>
      </c>
      <c r="E347" s="209" t="str">
        <f t="shared" si="38"/>
        <v>Small</v>
      </c>
      <c r="F347" s="208"/>
      <c r="G347" s="210">
        <f>Variables!$C$3*POWER(SUM(1,Variables!$C$2/100),C347-2017)</f>
        <v>12962.782855344198</v>
      </c>
      <c r="H347" s="210">
        <f t="shared" si="33"/>
        <v>330.79311493028354</v>
      </c>
      <c r="I347" s="211">
        <f>VLOOKUP(B347,'Waste per capita'!$B$2:$F$48,4,FALSE)*(H347/Variables!$C$6)</f>
        <v>267.90209218868375</v>
      </c>
      <c r="J347" s="210">
        <f t="shared" si="34"/>
        <v>17257.05111353031</v>
      </c>
      <c r="K347" s="212">
        <f>Variables!$C$13</f>
        <v>1</v>
      </c>
      <c r="L347" s="213">
        <f t="shared" si="35"/>
        <v>17257.05111353031</v>
      </c>
      <c r="N347" s="215">
        <f>IF(D347&gt;1500000,Budgeting!$B$13,(IF(D347&gt;500000,Budgeting!$C$13,Budgeting!$D$13)))</f>
        <v>26.27408568212417</v>
      </c>
      <c r="O347" s="216">
        <f t="shared" si="36"/>
        <v>453413.23957769165</v>
      </c>
      <c r="P347" s="217">
        <f>IF(D347&gt;1500000,Budgeting!$B$15,(IF(D347&gt;500000,Budgeting!$C$15,Budgeting!$D$15)))</f>
        <v>7.6279603593263765</v>
      </c>
      <c r="Q347" s="218">
        <f t="shared" si="37"/>
        <v>131636.1018128783</v>
      </c>
    </row>
    <row r="348" spans="1:17">
      <c r="A348" s="222">
        <v>9</v>
      </c>
      <c r="B348" s="191" t="s">
        <v>117</v>
      </c>
      <c r="C348" s="191">
        <v>2027</v>
      </c>
      <c r="D348" s="208">
        <f>Population!L10</f>
        <v>828545.68308177299</v>
      </c>
      <c r="E348" s="209" t="str">
        <f t="shared" si="38"/>
        <v>Medium</v>
      </c>
      <c r="F348" s="208"/>
      <c r="G348" s="210">
        <f>Variables!$C$3*POWER(SUM(1,Variables!$C$2/100),C348-2017)</f>
        <v>12962.782855344198</v>
      </c>
      <c r="H348" s="210">
        <f t="shared" si="33"/>
        <v>330.79311493028354</v>
      </c>
      <c r="I348" s="211">
        <f>VLOOKUP(B348,'Waste per capita'!$B$2:$F$48,4,FALSE)*(H348/Variables!$C$6)</f>
        <v>197.99027272399593</v>
      </c>
      <c r="J348" s="210">
        <f t="shared" si="34"/>
        <v>164043.98575764976</v>
      </c>
      <c r="K348" s="212">
        <f>Variables!$C$13</f>
        <v>1</v>
      </c>
      <c r="L348" s="213">
        <f t="shared" si="35"/>
        <v>164043.98575764976</v>
      </c>
      <c r="N348" s="215">
        <f>IF(D348&gt;1500000,Budgeting!$B$13,(IF(D348&gt;500000,Budgeting!$C$13,Budgeting!$D$13)))</f>
        <v>26.132827156951464</v>
      </c>
      <c r="O348" s="216">
        <f t="shared" si="36"/>
        <v>4286933.1259420691</v>
      </c>
      <c r="P348" s="217">
        <f>IF(D348&gt;1500000,Budgeting!$B$15,(IF(D348&gt;500000,Budgeting!$C$15,Budgeting!$D$15)))</f>
        <v>2.1188778775906578</v>
      </c>
      <c r="Q348" s="218">
        <f t="shared" si="37"/>
        <v>347589.17237368104</v>
      </c>
    </row>
    <row r="349" spans="1:17">
      <c r="A349" s="222">
        <v>10</v>
      </c>
      <c r="B349" s="191" t="s">
        <v>118</v>
      </c>
      <c r="C349" s="191">
        <v>2027</v>
      </c>
      <c r="D349" s="208">
        <f>Population!L11</f>
        <v>768882.56197878288</v>
      </c>
      <c r="E349" s="209" t="str">
        <f t="shared" si="38"/>
        <v>Medium</v>
      </c>
      <c r="F349" s="208"/>
      <c r="G349" s="210">
        <f>Variables!$C$3*POWER(SUM(1,Variables!$C$2/100),C349-2017)</f>
        <v>12962.782855344198</v>
      </c>
      <c r="H349" s="210">
        <f t="shared" si="33"/>
        <v>330.79311493028354</v>
      </c>
      <c r="I349" s="211">
        <f>VLOOKUP(B349,'Waste per capita'!$B$2:$F$48,4,FALSE)*(H349/Variables!$C$6)</f>
        <v>226.99901701387708</v>
      </c>
      <c r="J349" s="210">
        <f t="shared" si="34"/>
        <v>174535.58576829513</v>
      </c>
      <c r="K349" s="212">
        <f>Variables!$C$13</f>
        <v>1</v>
      </c>
      <c r="L349" s="213">
        <f t="shared" si="35"/>
        <v>174535.58576829513</v>
      </c>
      <c r="N349" s="215">
        <f>IF(D349&gt;1500000,Budgeting!$B$13,(IF(D349&gt;500000,Budgeting!$C$13,Budgeting!$D$13)))</f>
        <v>26.132827156951464</v>
      </c>
      <c r="O349" s="216">
        <f t="shared" si="36"/>
        <v>4561108.2956201341</v>
      </c>
      <c r="P349" s="217">
        <f>IF(D349&gt;1500000,Budgeting!$B$15,(IF(D349&gt;500000,Budgeting!$C$15,Budgeting!$D$15)))</f>
        <v>2.1188778775906578</v>
      </c>
      <c r="Q349" s="218">
        <f t="shared" si="37"/>
        <v>369819.59153676743</v>
      </c>
    </row>
    <row r="350" spans="1:17">
      <c r="A350" s="222">
        <v>11</v>
      </c>
      <c r="B350" s="191" t="s">
        <v>119</v>
      </c>
      <c r="C350" s="191">
        <v>2027</v>
      </c>
      <c r="D350" s="208">
        <f>Population!L12</f>
        <v>299904.10065683699</v>
      </c>
      <c r="E350" s="209" t="str">
        <f t="shared" si="38"/>
        <v>Medium</v>
      </c>
      <c r="F350" s="208"/>
      <c r="G350" s="210">
        <f>Variables!$C$3*POWER(SUM(1,Variables!$C$2/100),C350-2017)</f>
        <v>12962.782855344198</v>
      </c>
      <c r="H350" s="210">
        <f t="shared" si="33"/>
        <v>330.79311493028354</v>
      </c>
      <c r="I350" s="211">
        <f>VLOOKUP(B350,'Waste per capita'!$B$2:$F$48,4,FALSE)*(H350/Variables!$C$6)</f>
        <v>140.38293348509316</v>
      </c>
      <c r="J350" s="210">
        <f t="shared" si="34"/>
        <v>42101.417414415431</v>
      </c>
      <c r="K350" s="212">
        <f>Variables!$C$13</f>
        <v>1</v>
      </c>
      <c r="L350" s="213">
        <f t="shared" si="35"/>
        <v>42101.417414415431</v>
      </c>
      <c r="N350" s="215">
        <f>IF(D350&gt;1500000,Budgeting!$B$13,(IF(D350&gt;500000,Budgeting!$C$13,Budgeting!$D$13)))</f>
        <v>26.27408568212417</v>
      </c>
      <c r="O350" s="216">
        <f t="shared" si="36"/>
        <v>1106176.2484852257</v>
      </c>
      <c r="P350" s="217">
        <f>IF(D350&gt;1500000,Budgeting!$B$15,(IF(D350&gt;500000,Budgeting!$C$15,Budgeting!$D$15)))</f>
        <v>7.6279603593263765</v>
      </c>
      <c r="Q350" s="218">
        <f t="shared" si="37"/>
        <v>321147.94310861413</v>
      </c>
    </row>
    <row r="351" spans="1:17">
      <c r="A351" s="222">
        <v>12</v>
      </c>
      <c r="B351" s="191" t="s">
        <v>120</v>
      </c>
      <c r="C351" s="191">
        <v>2027</v>
      </c>
      <c r="D351" s="208">
        <f>Population!L13</f>
        <v>145882.62252674557</v>
      </c>
      <c r="E351" s="209" t="str">
        <f t="shared" si="38"/>
        <v>Medium</v>
      </c>
      <c r="F351" s="208"/>
      <c r="G351" s="210">
        <f>Variables!$C$3*POWER(SUM(1,Variables!$C$2/100),C351-2017)</f>
        <v>12962.782855344198</v>
      </c>
      <c r="H351" s="210">
        <f t="shared" si="33"/>
        <v>330.79311493028354</v>
      </c>
      <c r="I351" s="211">
        <f>VLOOKUP(B351,'Waste per capita'!$B$2:$F$48,4,FALSE)*(H351/Variables!$C$6)</f>
        <v>280.76586697018632</v>
      </c>
      <c r="J351" s="210">
        <f t="shared" si="34"/>
        <v>40958.860989606153</v>
      </c>
      <c r="K351" s="212">
        <f>Variables!$C$13</f>
        <v>1</v>
      </c>
      <c r="L351" s="213">
        <f t="shared" si="35"/>
        <v>40958.860989606153</v>
      </c>
      <c r="N351" s="215">
        <f>IF(D351&gt;1500000,Budgeting!$B$13,(IF(D351&gt;500000,Budgeting!$C$13,Budgeting!$D$13)))</f>
        <v>26.27408568212417</v>
      </c>
      <c r="O351" s="216">
        <f t="shared" si="36"/>
        <v>1076156.6230831253</v>
      </c>
      <c r="P351" s="217">
        <f>IF(D351&gt;1500000,Budgeting!$B$15,(IF(D351&gt;500000,Budgeting!$C$15,Budgeting!$D$15)))</f>
        <v>7.6279603593263765</v>
      </c>
      <c r="Q351" s="218">
        <f t="shared" si="37"/>
        <v>312432.56799187529</v>
      </c>
    </row>
    <row r="352" spans="1:17">
      <c r="A352" s="222">
        <v>13</v>
      </c>
      <c r="B352" s="191" t="s">
        <v>121</v>
      </c>
      <c r="C352" s="191">
        <v>2027</v>
      </c>
      <c r="D352" s="208">
        <f>Population!L14</f>
        <v>9792505.230035305</v>
      </c>
      <c r="E352" s="209" t="str">
        <f t="shared" si="38"/>
        <v>Large</v>
      </c>
      <c r="F352" s="208"/>
      <c r="G352" s="210">
        <f>Variables!$C$3*POWER(SUM(1,Variables!$C$2/100),C352-2017)</f>
        <v>12962.782855344198</v>
      </c>
      <c r="H352" s="210">
        <f t="shared" si="33"/>
        <v>330.79311493028354</v>
      </c>
      <c r="I352" s="211">
        <f>VLOOKUP(B352,'Waste per capita'!$B$2:$F$48,4,FALSE)*(H352/Variables!$C$6)</f>
        <v>363.54146121637677</v>
      </c>
      <c r="J352" s="210">
        <f t="shared" si="34"/>
        <v>3559981.6602960466</v>
      </c>
      <c r="K352" s="212">
        <f>Variables!$C$13</f>
        <v>1</v>
      </c>
      <c r="L352" s="213">
        <f t="shared" si="35"/>
        <v>3559981.6602960466</v>
      </c>
      <c r="N352" s="215">
        <f>IF(D352&gt;1500000,Budgeting!$B$13,(IF(D352&gt;500000,Budgeting!$C$13,Budgeting!$D$13)))</f>
        <v>25.956254000485576</v>
      </c>
      <c r="O352" s="216">
        <f t="shared" si="36"/>
        <v>92403788.211714536</v>
      </c>
      <c r="P352" s="217">
        <f>IF(D352&gt;1500000,Budgeting!$B$15,(IF(D352&gt;500000,Budgeting!$C$15,Budgeting!$D$15)))</f>
        <v>3.7080362857836535</v>
      </c>
      <c r="Q352" s="218">
        <f t="shared" si="37"/>
        <v>13200541.173102077</v>
      </c>
    </row>
    <row r="353" spans="1:17">
      <c r="A353" s="222">
        <v>14</v>
      </c>
      <c r="B353" s="191" t="s">
        <v>122</v>
      </c>
      <c r="C353" s="191">
        <v>2027</v>
      </c>
      <c r="D353" s="208">
        <f>Population!L15</f>
        <v>390203.9398763717</v>
      </c>
      <c r="E353" s="209" t="str">
        <f t="shared" si="38"/>
        <v>Medium</v>
      </c>
      <c r="F353" s="208"/>
      <c r="G353" s="210">
        <f>Variables!$C$3*POWER(SUM(1,Variables!$C$2/100),C353-2017)</f>
        <v>12962.782855344198</v>
      </c>
      <c r="H353" s="210">
        <f t="shared" si="33"/>
        <v>330.79311493028354</v>
      </c>
      <c r="I353" s="211">
        <f>VLOOKUP(B353,'Waste per capita'!$B$2:$F$48,4,FALSE)*(H353/Variables!$C$6)</f>
        <v>121.36691859069808</v>
      </c>
      <c r="J353" s="210">
        <f t="shared" si="34"/>
        <v>47357.849804745252</v>
      </c>
      <c r="K353" s="212">
        <f>Variables!$C$13</f>
        <v>1</v>
      </c>
      <c r="L353" s="213">
        <f t="shared" si="35"/>
        <v>47357.849804745252</v>
      </c>
      <c r="N353" s="215">
        <f>IF(D353&gt;1500000,Budgeting!$B$13,(IF(D353&gt;500000,Budgeting!$C$13,Budgeting!$D$13)))</f>
        <v>26.27408568212417</v>
      </c>
      <c r="O353" s="216">
        <f t="shared" si="36"/>
        <v>1244284.2034910442</v>
      </c>
      <c r="P353" s="217">
        <f>IF(D353&gt;1500000,Budgeting!$B$15,(IF(D353&gt;500000,Budgeting!$C$15,Budgeting!$D$15)))</f>
        <v>7.6279603593263765</v>
      </c>
      <c r="Q353" s="218">
        <f t="shared" si="37"/>
        <v>361243.80101352918</v>
      </c>
    </row>
    <row r="354" spans="1:17">
      <c r="A354" s="222">
        <v>15</v>
      </c>
      <c r="B354" s="191" t="s">
        <v>123</v>
      </c>
      <c r="C354" s="191">
        <v>2027</v>
      </c>
      <c r="D354" s="208">
        <f>Population!L16</f>
        <v>86538.07325166119</v>
      </c>
      <c r="E354" s="209" t="str">
        <f t="shared" si="38"/>
        <v>Small</v>
      </c>
      <c r="F354" s="208"/>
      <c r="G354" s="210">
        <f>Variables!$C$3*POWER(SUM(1,Variables!$C$2/100),C354-2017)</f>
        <v>12962.782855344198</v>
      </c>
      <c r="H354" s="210">
        <f t="shared" si="33"/>
        <v>330.79311493028354</v>
      </c>
      <c r="I354" s="211">
        <f>VLOOKUP(B354,'Waste per capita'!$B$2:$F$48,4,FALSE)*(H354/Variables!$C$6)</f>
        <v>217.00628761839104</v>
      </c>
      <c r="J354" s="210">
        <f t="shared" si="34"/>
        <v>18779.306013991383</v>
      </c>
      <c r="K354" s="212">
        <f>Variables!$C$13</f>
        <v>1</v>
      </c>
      <c r="L354" s="213">
        <f t="shared" si="35"/>
        <v>18779.306013991383</v>
      </c>
      <c r="N354" s="215">
        <f>IF(D354&gt;1500000,Budgeting!$B$13,(IF(D354&gt;500000,Budgeting!$C$13,Budgeting!$D$13)))</f>
        <v>26.27408568212417</v>
      </c>
      <c r="O354" s="216">
        <f t="shared" si="36"/>
        <v>493409.09526243934</v>
      </c>
      <c r="P354" s="217">
        <f>IF(D354&gt;1500000,Budgeting!$B$15,(IF(D354&gt;500000,Budgeting!$C$15,Budgeting!$D$15)))</f>
        <v>7.6279603593263765</v>
      </c>
      <c r="Q354" s="218">
        <f t="shared" si="37"/>
        <v>143247.8018503857</v>
      </c>
    </row>
    <row r="355" spans="1:17">
      <c r="A355" s="222">
        <v>16</v>
      </c>
      <c r="B355" s="191" t="s">
        <v>124</v>
      </c>
      <c r="C355" s="191">
        <v>2027</v>
      </c>
      <c r="D355" s="208">
        <f>Population!L17</f>
        <v>4431149.3836022858</v>
      </c>
      <c r="E355" s="209" t="str">
        <f t="shared" si="38"/>
        <v>Large</v>
      </c>
      <c r="F355" s="208"/>
      <c r="G355" s="210">
        <f>Variables!$C$3*POWER(SUM(1,Variables!$C$2/100),C355-2017)</f>
        <v>12962.782855344198</v>
      </c>
      <c r="H355" s="210">
        <f t="shared" si="33"/>
        <v>330.79311493028354</v>
      </c>
      <c r="I355" s="211">
        <f>VLOOKUP(B355,'Waste per capita'!$B$2:$F$48,4,FALSE)*(H355/Variables!$C$6)</f>
        <v>248.8860772942887</v>
      </c>
      <c r="J355" s="210">
        <f t="shared" si="34"/>
        <v>1102851.3879897783</v>
      </c>
      <c r="K355" s="212">
        <f>Variables!$C$13</f>
        <v>1</v>
      </c>
      <c r="L355" s="213">
        <f t="shared" si="35"/>
        <v>1102851.3879897783</v>
      </c>
      <c r="N355" s="215">
        <f>IF(D355&gt;1500000,Budgeting!$B$13,(IF(D355&gt;500000,Budgeting!$C$13,Budgeting!$D$13)))</f>
        <v>25.956254000485576</v>
      </c>
      <c r="O355" s="216">
        <f t="shared" si="36"/>
        <v>28625890.751450751</v>
      </c>
      <c r="P355" s="217">
        <f>IF(D355&gt;1500000,Budgeting!$B$15,(IF(D355&gt;500000,Budgeting!$C$15,Budgeting!$D$15)))</f>
        <v>3.7080362857836535</v>
      </c>
      <c r="Q355" s="218">
        <f t="shared" si="37"/>
        <v>4089412.9644929646</v>
      </c>
    </row>
    <row r="356" spans="1:17">
      <c r="A356" s="222">
        <v>17</v>
      </c>
      <c r="B356" s="191" t="s">
        <v>125</v>
      </c>
      <c r="C356" s="191">
        <v>2027</v>
      </c>
      <c r="D356" s="208">
        <f>Population!L18</f>
        <v>16306.804524308656</v>
      </c>
      <c r="E356" s="209" t="str">
        <f t="shared" si="38"/>
        <v>Small</v>
      </c>
      <c r="F356" s="208"/>
      <c r="G356" s="210">
        <f>Variables!$C$3*POWER(SUM(1,Variables!$C$2/100),C356-2017)</f>
        <v>12962.782855344198</v>
      </c>
      <c r="H356" s="210">
        <f t="shared" si="33"/>
        <v>330.79311493028354</v>
      </c>
      <c r="I356" s="211">
        <f>VLOOKUP(B356,'Waste per capita'!$B$2:$F$48,4,FALSE)*(H356/Variables!$C$6)</f>
        <v>191.53923141010367</v>
      </c>
      <c r="J356" s="210">
        <f t="shared" si="34"/>
        <v>3123.3928053408808</v>
      </c>
      <c r="K356" s="212">
        <f>Variables!$C$13</f>
        <v>1</v>
      </c>
      <c r="L356" s="213">
        <f t="shared" si="35"/>
        <v>3123.3928053408808</v>
      </c>
      <c r="N356" s="215">
        <f>IF(D356&gt;1500000,Budgeting!$B$13,(IF(D356&gt;500000,Budgeting!$C$13,Budgeting!$D$13)))</f>
        <v>26.27408568212417</v>
      </c>
      <c r="O356" s="216">
        <f t="shared" si="36"/>
        <v>82064.290186456477</v>
      </c>
      <c r="P356" s="217">
        <f>IF(D356&gt;1500000,Budgeting!$B$15,(IF(D356&gt;500000,Budgeting!$C$15,Budgeting!$D$15)))</f>
        <v>7.6279603593263765</v>
      </c>
      <c r="Q356" s="218">
        <f t="shared" si="37"/>
        <v>23825.116505745445</v>
      </c>
    </row>
    <row r="357" spans="1:17">
      <c r="A357" s="222">
        <v>18</v>
      </c>
      <c r="B357" s="191" t="s">
        <v>126</v>
      </c>
      <c r="C357" s="191">
        <v>2027</v>
      </c>
      <c r="D357" s="208">
        <f>Population!L19</f>
        <v>144068.65417332784</v>
      </c>
      <c r="E357" s="209" t="str">
        <f t="shared" si="38"/>
        <v>Medium</v>
      </c>
      <c r="F357" s="208"/>
      <c r="G357" s="210">
        <f>Variables!$C$3*POWER(SUM(1,Variables!$C$2/100),C357-2017)</f>
        <v>12962.782855344198</v>
      </c>
      <c r="H357" s="210">
        <f t="shared" si="33"/>
        <v>330.79311493028354</v>
      </c>
      <c r="I357" s="211">
        <f>VLOOKUP(B357,'Waste per capita'!$B$2:$F$48,4,FALSE)*(H357/Variables!$C$6)</f>
        <v>108.50314380919552</v>
      </c>
      <c r="J357" s="210">
        <f t="shared" si="34"/>
        <v>15631.901902165848</v>
      </c>
      <c r="K357" s="212">
        <f>Variables!$C$13</f>
        <v>1</v>
      </c>
      <c r="L357" s="213">
        <f t="shared" si="35"/>
        <v>15631.901902165848</v>
      </c>
      <c r="N357" s="215">
        <f>IF(D357&gt;1500000,Budgeting!$B$13,(IF(D357&gt;500000,Budgeting!$C$13,Budgeting!$D$13)))</f>
        <v>26.27408568212417</v>
      </c>
      <c r="O357" s="216">
        <f t="shared" si="36"/>
        <v>410713.92995206529</v>
      </c>
      <c r="P357" s="217">
        <f>IF(D357&gt;1500000,Budgeting!$B$15,(IF(D357&gt;500000,Budgeting!$C$15,Budgeting!$D$15)))</f>
        <v>7.6279603593263765</v>
      </c>
      <c r="Q357" s="218">
        <f t="shared" si="37"/>
        <v>119239.52805059966</v>
      </c>
    </row>
    <row r="358" spans="1:17">
      <c r="A358" s="222">
        <v>19</v>
      </c>
      <c r="B358" s="191" t="s">
        <v>127</v>
      </c>
      <c r="C358" s="191">
        <v>2027</v>
      </c>
      <c r="D358" s="208">
        <f>Population!L20</f>
        <v>6541187.3384149494</v>
      </c>
      <c r="E358" s="209" t="str">
        <f t="shared" si="38"/>
        <v>Large</v>
      </c>
      <c r="F358" s="208"/>
      <c r="G358" s="210">
        <f>Variables!$C$3*POWER(SUM(1,Variables!$C$2/100),C358-2017)</f>
        <v>12962.782855344198</v>
      </c>
      <c r="H358" s="210">
        <f t="shared" si="33"/>
        <v>330.79311493028354</v>
      </c>
      <c r="I358" s="211">
        <f>VLOOKUP(B358,'Waste per capita'!$B$2:$F$48,4,FALSE)*(H358/Variables!$C$6)</f>
        <v>370.25299588498683</v>
      </c>
      <c r="J358" s="210">
        <f t="shared" si="34"/>
        <v>2421894.2086930783</v>
      </c>
      <c r="K358" s="212">
        <f>Variables!$C$13</f>
        <v>1</v>
      </c>
      <c r="L358" s="213">
        <f t="shared" si="35"/>
        <v>2421894.2086930783</v>
      </c>
      <c r="N358" s="215">
        <f>IF(D358&gt;1500000,Budgeting!$B$13,(IF(D358&gt;500000,Budgeting!$C$13,Budgeting!$D$13)))</f>
        <v>25.956254000485576</v>
      </c>
      <c r="O358" s="216">
        <f t="shared" si="36"/>
        <v>62863301.24314256</v>
      </c>
      <c r="P358" s="217">
        <f>IF(D358&gt;1500000,Budgeting!$B$15,(IF(D358&gt;500000,Budgeting!$C$15,Budgeting!$D$15)))</f>
        <v>3.7080362857836535</v>
      </c>
      <c r="Q358" s="218">
        <f t="shared" si="37"/>
        <v>8980471.6061632223</v>
      </c>
    </row>
    <row r="359" spans="1:17">
      <c r="A359" s="222">
        <v>20</v>
      </c>
      <c r="B359" s="191" t="s">
        <v>128</v>
      </c>
      <c r="C359" s="191">
        <v>2027</v>
      </c>
      <c r="D359" s="208">
        <f>Population!L21</f>
        <v>4097946.5262669525</v>
      </c>
      <c r="E359" s="209" t="str">
        <f t="shared" si="38"/>
        <v>Large</v>
      </c>
      <c r="F359" s="208"/>
      <c r="G359" s="210">
        <f>Variables!$C$3*POWER(SUM(1,Variables!$C$2/100),C359-2017)</f>
        <v>12962.782855344198</v>
      </c>
      <c r="H359" s="210">
        <f t="shared" si="33"/>
        <v>330.79311493028354</v>
      </c>
      <c r="I359" s="211">
        <f>VLOOKUP(B359,'Waste per capita'!$B$2:$F$48,4,FALSE)*(H359/Variables!$C$6)</f>
        <v>140.38293348509316</v>
      </c>
      <c r="J359" s="210">
        <f t="shared" si="34"/>
        <v>575281.75462240214</v>
      </c>
      <c r="K359" s="212">
        <f>Variables!$C$13</f>
        <v>1</v>
      </c>
      <c r="L359" s="213">
        <f t="shared" si="35"/>
        <v>575281.75462240214</v>
      </c>
      <c r="N359" s="215">
        <f>IF(D359&gt;1500000,Budgeting!$B$13,(IF(D359&gt;500000,Budgeting!$C$13,Budgeting!$D$13)))</f>
        <v>25.956254000485576</v>
      </c>
      <c r="O359" s="216">
        <f t="shared" si="36"/>
        <v>14932159.344824087</v>
      </c>
      <c r="P359" s="217">
        <f>IF(D359&gt;1500000,Budgeting!$B$15,(IF(D359&gt;500000,Budgeting!$C$15,Budgeting!$D$15)))</f>
        <v>3.7080362857836535</v>
      </c>
      <c r="Q359" s="218">
        <f t="shared" si="37"/>
        <v>2133165.6206891551</v>
      </c>
    </row>
    <row r="360" spans="1:17">
      <c r="A360" s="222">
        <v>21</v>
      </c>
      <c r="B360" s="222" t="s">
        <v>129</v>
      </c>
      <c r="C360" s="191">
        <v>2027</v>
      </c>
      <c r="D360" s="208">
        <f>Population!L22</f>
        <v>18099495.479887232</v>
      </c>
      <c r="E360" s="209" t="str">
        <f t="shared" si="38"/>
        <v>Large</v>
      </c>
      <c r="F360" s="208"/>
      <c r="G360" s="210">
        <f>Variables!$C$3*POWER(SUM(1,Variables!$C$2/100),C360-2017)</f>
        <v>12962.782855344198</v>
      </c>
      <c r="H360" s="210">
        <f t="shared" si="33"/>
        <v>330.79311493028354</v>
      </c>
      <c r="I360" s="211">
        <f>VLOOKUP(B360,'Waste per capita'!$B$2:$F$48,4,FALSE)*(H360/Variables!$C$6)</f>
        <v>287.47740163879644</v>
      </c>
      <c r="J360" s="210">
        <f t="shared" si="34"/>
        <v>5203195.931531122</v>
      </c>
      <c r="K360" s="212">
        <f>Variables!$C$13</f>
        <v>1</v>
      </c>
      <c r="L360" s="213">
        <f t="shared" si="35"/>
        <v>5203195.931531122</v>
      </c>
      <c r="N360" s="215">
        <f>IF(D360&gt;1500000,Budgeting!$B$13,(IF(D360&gt;500000,Budgeting!$C$13,Budgeting!$D$13)))</f>
        <v>25.956254000485576</v>
      </c>
      <c r="O360" s="216">
        <f t="shared" si="36"/>
        <v>135055475.21311495</v>
      </c>
      <c r="P360" s="217">
        <f>IF(D360&gt;1500000,Budgeting!$B$15,(IF(D360&gt;500000,Budgeting!$C$15,Budgeting!$D$15)))</f>
        <v>3.7080362857836535</v>
      </c>
      <c r="Q360" s="218">
        <f t="shared" si="37"/>
        <v>19293639.316159278</v>
      </c>
    </row>
    <row r="361" spans="1:17">
      <c r="A361" s="222">
        <v>22</v>
      </c>
      <c r="B361" s="191" t="s">
        <v>130</v>
      </c>
      <c r="C361" s="191">
        <v>2027</v>
      </c>
      <c r="D361" s="208">
        <f>Population!L23</f>
        <v>16051590.668843238</v>
      </c>
      <c r="E361" s="209" t="str">
        <f t="shared" si="38"/>
        <v>Large</v>
      </c>
      <c r="F361" s="208"/>
      <c r="G361" s="210">
        <f>Variables!$C$3*POWER(SUM(1,Variables!$C$2/100),C361-2017)</f>
        <v>12962.782855344198</v>
      </c>
      <c r="H361" s="210">
        <f t="shared" si="33"/>
        <v>330.79311493028354</v>
      </c>
      <c r="I361" s="211">
        <f>VLOOKUP(B361,'Waste per capita'!$B$2:$F$48,4,FALSE)*(H361/Variables!$C$6)</f>
        <v>363.54146121637677</v>
      </c>
      <c r="J361" s="210">
        <f t="shared" si="34"/>
        <v>5835418.7265984295</v>
      </c>
      <c r="K361" s="212">
        <f>Variables!$C$13</f>
        <v>1</v>
      </c>
      <c r="L361" s="213">
        <f t="shared" si="35"/>
        <v>5835418.7265984295</v>
      </c>
      <c r="N361" s="215">
        <f>IF(D361&gt;1500000,Budgeting!$B$13,(IF(D361&gt;500000,Budgeting!$C$13,Budgeting!$D$13)))</f>
        <v>25.956254000485576</v>
      </c>
      <c r="O361" s="216">
        <f t="shared" si="36"/>
        <v>151465610.66677892</v>
      </c>
      <c r="P361" s="217">
        <f>IF(D361&gt;1500000,Budgeting!$B$15,(IF(D361&gt;500000,Budgeting!$C$15,Budgeting!$D$15)))</f>
        <v>3.7080362857836535</v>
      </c>
      <c r="Q361" s="218">
        <f t="shared" si="37"/>
        <v>21637944.380968418</v>
      </c>
    </row>
    <row r="362" spans="1:17">
      <c r="A362" s="222">
        <v>23</v>
      </c>
      <c r="B362" s="191" t="s">
        <v>131</v>
      </c>
      <c r="C362" s="191">
        <v>2027</v>
      </c>
      <c r="D362" s="208">
        <f>Population!L24</f>
        <v>58211.364553903608</v>
      </c>
      <c r="E362" s="209" t="str">
        <f t="shared" si="38"/>
        <v>Small</v>
      </c>
      <c r="F362" s="208"/>
      <c r="G362" s="210">
        <f>Variables!$C$3*POWER(SUM(1,Variables!$C$2/100),C362-2017)</f>
        <v>12962.782855344198</v>
      </c>
      <c r="H362" s="210">
        <f t="shared" si="33"/>
        <v>330.79311493028354</v>
      </c>
      <c r="I362" s="211">
        <f>VLOOKUP(B362,'Waste per capita'!$B$2:$F$48,4,FALSE)*(H362/Variables!$C$6)</f>
        <v>344.52544632198163</v>
      </c>
      <c r="J362" s="210">
        <f t="shared" si="34"/>
        <v>20055.296353945221</v>
      </c>
      <c r="K362" s="212">
        <f>Variables!$C$13</f>
        <v>1</v>
      </c>
      <c r="L362" s="213">
        <f t="shared" si="35"/>
        <v>20055.296353945221</v>
      </c>
      <c r="N362" s="215">
        <f>IF(D362&gt;1500000,Budgeting!$B$13,(IF(D362&gt;500000,Budgeting!$C$13,Budgeting!$D$13)))</f>
        <v>26.27408568212417</v>
      </c>
      <c r="O362" s="216">
        <f t="shared" si="36"/>
        <v>526934.57478394918</v>
      </c>
      <c r="P362" s="217">
        <f>IF(D362&gt;1500000,Budgeting!$B$15,(IF(D362&gt;500000,Budgeting!$C$15,Budgeting!$D$15)))</f>
        <v>7.6279603593263765</v>
      </c>
      <c r="Q362" s="218">
        <f t="shared" si="37"/>
        <v>152981.00558243695</v>
      </c>
    </row>
    <row r="363" spans="1:17">
      <c r="A363" s="222">
        <v>24</v>
      </c>
      <c r="B363" s="191" t="s">
        <v>132</v>
      </c>
      <c r="C363" s="191">
        <v>2027</v>
      </c>
      <c r="D363" s="208">
        <f>Population!L25</f>
        <v>2449980.2791739674</v>
      </c>
      <c r="E363" s="209" t="str">
        <f t="shared" si="38"/>
        <v>Large</v>
      </c>
      <c r="F363" s="208"/>
      <c r="G363" s="210">
        <f>Variables!$C$3*POWER(SUM(1,Variables!$C$2/100),C363-2017)</f>
        <v>12962.782855344198</v>
      </c>
      <c r="H363" s="210">
        <f t="shared" si="33"/>
        <v>330.79311493028354</v>
      </c>
      <c r="I363" s="211">
        <f>VLOOKUP(B363,'Waste per capita'!$B$2:$F$48,4,FALSE)*(H363/Variables!$C$6)</f>
        <v>236.02230251278615</v>
      </c>
      <c r="J363" s="210">
        <f t="shared" si="34"/>
        <v>578249.9866015584</v>
      </c>
      <c r="K363" s="212">
        <f>Variables!$C$13</f>
        <v>1</v>
      </c>
      <c r="L363" s="213">
        <f t="shared" si="35"/>
        <v>578249.9866015584</v>
      </c>
      <c r="N363" s="215">
        <f>IF(D363&gt;1500000,Budgeting!$B$13,(IF(D363&gt;500000,Budgeting!$C$13,Budgeting!$D$13)))</f>
        <v>25.956254000485576</v>
      </c>
      <c r="O363" s="216">
        <f t="shared" si="36"/>
        <v>15009203.528007431</v>
      </c>
      <c r="P363" s="217">
        <f>IF(D363&gt;1500000,Budgeting!$B$15,(IF(D363&gt;500000,Budgeting!$C$15,Budgeting!$D$15)))</f>
        <v>3.7080362857836535</v>
      </c>
      <c r="Q363" s="218">
        <f t="shared" si="37"/>
        <v>2144171.9325724901</v>
      </c>
    </row>
    <row r="364" spans="1:17">
      <c r="A364" s="222">
        <v>25</v>
      </c>
      <c r="B364" s="191" t="s">
        <v>133</v>
      </c>
      <c r="C364" s="191">
        <v>2027</v>
      </c>
      <c r="D364" s="208">
        <f>Population!L26</f>
        <v>351698.93401031906</v>
      </c>
      <c r="E364" s="209" t="str">
        <f t="shared" si="38"/>
        <v>Medium</v>
      </c>
      <c r="F364" s="208"/>
      <c r="G364" s="210">
        <f>Variables!$C$3*POWER(SUM(1,Variables!$C$2/100),C364-2017)</f>
        <v>12962.782855344198</v>
      </c>
      <c r="H364" s="210">
        <f t="shared" si="33"/>
        <v>330.79311493028354</v>
      </c>
      <c r="I364" s="211">
        <f>VLOOKUP(B364,'Waste per capita'!$B$2:$F$48,4,FALSE)*(H364/Variables!$C$6)</f>
        <v>376.40523599787934</v>
      </c>
      <c r="J364" s="210">
        <f t="shared" si="34"/>
        <v>132381.32025635673</v>
      </c>
      <c r="K364" s="212">
        <f>Variables!$C$13</f>
        <v>1</v>
      </c>
      <c r="L364" s="213">
        <f t="shared" si="35"/>
        <v>132381.32025635673</v>
      </c>
      <c r="N364" s="215">
        <f>IF(D364&gt;1500000,Budgeting!$B$13,(IF(D364&gt;500000,Budgeting!$C$13,Budgeting!$D$13)))</f>
        <v>26.27408568212417</v>
      </c>
      <c r="O364" s="216">
        <f t="shared" si="36"/>
        <v>3478198.1511282367</v>
      </c>
      <c r="P364" s="217">
        <f>IF(D364&gt;1500000,Budgeting!$B$15,(IF(D364&gt;500000,Budgeting!$C$15,Budgeting!$D$15)))</f>
        <v>7.6279603593263765</v>
      </c>
      <c r="Q364" s="218">
        <f t="shared" si="37"/>
        <v>1009799.463230779</v>
      </c>
    </row>
    <row r="365" spans="1:17">
      <c r="A365" s="222">
        <v>26</v>
      </c>
      <c r="B365" s="191" t="s">
        <v>134</v>
      </c>
      <c r="C365" s="191">
        <v>2027</v>
      </c>
      <c r="D365" s="208">
        <f>Population!L27</f>
        <v>145737.15593866076</v>
      </c>
      <c r="E365" s="209" t="str">
        <f t="shared" si="38"/>
        <v>Medium</v>
      </c>
      <c r="F365" s="208"/>
      <c r="G365" s="210">
        <f>Variables!$C$3*POWER(SUM(1,Variables!$C$2/100),C365-2017)</f>
        <v>12962.782855344198</v>
      </c>
      <c r="H365" s="210">
        <f t="shared" si="33"/>
        <v>330.79311493028354</v>
      </c>
      <c r="I365" s="211">
        <f>VLOOKUP(B365,'Waste per capita'!$B$2:$F$48,4,FALSE)*(H365/Variables!$C$6)</f>
        <v>484.90837980707482</v>
      </c>
      <c r="J365" s="210">
        <f t="shared" si="34"/>
        <v>70669.168163907001</v>
      </c>
      <c r="K365" s="212">
        <f>Variables!$C$13</f>
        <v>1</v>
      </c>
      <c r="L365" s="213">
        <f t="shared" si="35"/>
        <v>70669.168163907001</v>
      </c>
      <c r="N365" s="215">
        <f>IF(D365&gt;1500000,Budgeting!$B$13,(IF(D365&gt;500000,Budgeting!$C$13,Budgeting!$D$13)))</f>
        <v>26.27408568212417</v>
      </c>
      <c r="O365" s="216">
        <f t="shared" si="36"/>
        <v>1856767.7794229342</v>
      </c>
      <c r="P365" s="217">
        <f>IF(D365&gt;1500000,Budgeting!$B$15,(IF(D365&gt;500000,Budgeting!$C$15,Budgeting!$D$15)))</f>
        <v>7.6279603593263765</v>
      </c>
      <c r="Q365" s="218">
        <f t="shared" si="37"/>
        <v>539061.61338085216</v>
      </c>
    </row>
    <row r="366" spans="1:17">
      <c r="A366" s="222">
        <v>27</v>
      </c>
      <c r="B366" s="191" t="s">
        <v>135</v>
      </c>
      <c r="C366" s="191">
        <v>2027</v>
      </c>
      <c r="D366" s="208">
        <f>Population!L28</f>
        <v>1469842.4099831195</v>
      </c>
      <c r="E366" s="209" t="str">
        <f t="shared" si="38"/>
        <v>Large</v>
      </c>
      <c r="F366" s="208"/>
      <c r="G366" s="210">
        <f>Variables!$C$3*POWER(SUM(1,Variables!$C$2/100),C366-2017)</f>
        <v>12962.782855344198</v>
      </c>
      <c r="H366" s="210">
        <f t="shared" si="33"/>
        <v>330.79311493028354</v>
      </c>
      <c r="I366" s="211">
        <f>VLOOKUP(B366,'Waste per capita'!$B$2:$F$48,4,FALSE)*(H366/Variables!$C$6)</f>
        <v>191.27873805538593</v>
      </c>
      <c r="J366" s="210">
        <f t="shared" si="34"/>
        <v>281149.6013218583</v>
      </c>
      <c r="K366" s="212">
        <f>Variables!$C$13</f>
        <v>1</v>
      </c>
      <c r="L366" s="213">
        <f t="shared" si="35"/>
        <v>281149.6013218583</v>
      </c>
      <c r="N366" s="215">
        <f>IF(D366&gt;1500000,Budgeting!$B$13,(IF(D366&gt;500000,Budgeting!$C$13,Budgeting!$D$13)))</f>
        <v>26.132827156951464</v>
      </c>
      <c r="O366" s="216">
        <f t="shared" si="36"/>
        <v>7347233.9365899358</v>
      </c>
      <c r="P366" s="217">
        <f>IF(D366&gt;1500000,Budgeting!$B$15,(IF(D366&gt;500000,Budgeting!$C$15,Budgeting!$D$15)))</f>
        <v>2.1188778775906578</v>
      </c>
      <c r="Q366" s="218">
        <f t="shared" si="37"/>
        <v>595721.67053431866</v>
      </c>
    </row>
    <row r="367" spans="1:17">
      <c r="A367" s="222">
        <v>28</v>
      </c>
      <c r="B367" s="191" t="s">
        <v>136</v>
      </c>
      <c r="C367" s="191">
        <v>2027</v>
      </c>
      <c r="D367" s="208">
        <f>Population!L29</f>
        <v>1561477.6324812728</v>
      </c>
      <c r="E367" s="209" t="str">
        <f t="shared" si="38"/>
        <v>Large</v>
      </c>
      <c r="F367" s="208"/>
      <c r="G367" s="210">
        <f>Variables!$C$3*POWER(SUM(1,Variables!$C$2/100),C367-2017)</f>
        <v>12962.782855344198</v>
      </c>
      <c r="H367" s="210">
        <f t="shared" si="33"/>
        <v>330.79311493028354</v>
      </c>
      <c r="I367" s="211">
        <f>VLOOKUP(B367,'Waste per capita'!$B$2:$F$48,4,FALSE)*(H367/Variables!$C$6)</f>
        <v>159.39894837948827</v>
      </c>
      <c r="J367" s="210">
        <f t="shared" si="34"/>
        <v>248897.89253560797</v>
      </c>
      <c r="K367" s="212">
        <f>Variables!$C$13</f>
        <v>1</v>
      </c>
      <c r="L367" s="213">
        <f t="shared" si="35"/>
        <v>248897.89253560797</v>
      </c>
      <c r="N367" s="215">
        <f>IF(D367&gt;1500000,Budgeting!$B$13,(IF(D367&gt;500000,Budgeting!$C$13,Budgeting!$D$13)))</f>
        <v>25.956254000485576</v>
      </c>
      <c r="O367" s="216">
        <f t="shared" si="36"/>
        <v>6460456.918839803</v>
      </c>
      <c r="P367" s="217">
        <f>IF(D367&gt;1500000,Budgeting!$B$15,(IF(D367&gt;500000,Budgeting!$C$15,Budgeting!$D$15)))</f>
        <v>3.7080362857836535</v>
      </c>
      <c r="Q367" s="218">
        <f t="shared" si="37"/>
        <v>922922.41697711474</v>
      </c>
    </row>
    <row r="368" spans="1:17">
      <c r="A368" s="222">
        <v>29</v>
      </c>
      <c r="B368" s="191" t="s">
        <v>137</v>
      </c>
      <c r="C368" s="191">
        <v>2027</v>
      </c>
      <c r="D368" s="208">
        <f>Population!L30</f>
        <v>208350.3394480111</v>
      </c>
      <c r="E368" s="209" t="str">
        <f t="shared" si="38"/>
        <v>Medium</v>
      </c>
      <c r="F368" s="208"/>
      <c r="G368" s="210">
        <f>Variables!$C$3*POWER(SUM(1,Variables!$C$2/100),C368-2017)</f>
        <v>12962.782855344198</v>
      </c>
      <c r="H368" s="210">
        <f t="shared" si="33"/>
        <v>330.79311493028354</v>
      </c>
      <c r="I368" s="211">
        <f>VLOOKUP(B368,'Waste per capita'!$B$2:$F$48,4,FALSE)*(H368/Variables!$C$6)</f>
        <v>217.00628761839104</v>
      </c>
      <c r="J368" s="210">
        <f t="shared" si="34"/>
        <v>45213.333687644503</v>
      </c>
      <c r="K368" s="212">
        <f>Variables!$C$13</f>
        <v>1</v>
      </c>
      <c r="L368" s="213">
        <f t="shared" si="35"/>
        <v>45213.333687644503</v>
      </c>
      <c r="N368" s="215">
        <f>IF(D368&gt;1500000,Budgeting!$B$13,(IF(D368&gt;500000,Budgeting!$C$13,Budgeting!$D$13)))</f>
        <v>26.27408568212417</v>
      </c>
      <c r="O368" s="216">
        <f t="shared" si="36"/>
        <v>1187939.0032836429</v>
      </c>
      <c r="P368" s="217">
        <f>IF(D368&gt;1500000,Budgeting!$B$15,(IF(D368&gt;500000,Budgeting!$C$15,Budgeting!$D$15)))</f>
        <v>7.6279603593263765</v>
      </c>
      <c r="Q368" s="218">
        <f t="shared" si="37"/>
        <v>344885.51708234812</v>
      </c>
    </row>
    <row r="369" spans="1:17">
      <c r="A369" s="222">
        <v>30</v>
      </c>
      <c r="B369" s="191" t="s">
        <v>138</v>
      </c>
      <c r="C369" s="191">
        <v>2027</v>
      </c>
      <c r="D369" s="208">
        <f>Population!L31</f>
        <v>142942.74278155129</v>
      </c>
      <c r="E369" s="209" t="str">
        <f t="shared" si="38"/>
        <v>Medium</v>
      </c>
      <c r="F369" s="208"/>
      <c r="G369" s="210">
        <f>Variables!$C$3*POWER(SUM(1,Variables!$C$2/100),C369-2017)</f>
        <v>12962.782855344198</v>
      </c>
      <c r="H369" s="210">
        <f t="shared" si="33"/>
        <v>330.79311493028354</v>
      </c>
      <c r="I369" s="211">
        <f>VLOOKUP(B369,'Waste per capita'!$B$2:$F$48,4,FALSE)*(H369/Variables!$C$6)</f>
        <v>204.1425128368885</v>
      </c>
      <c r="J369" s="210">
        <f t="shared" si="34"/>
        <v>29180.690703222885</v>
      </c>
      <c r="K369" s="212">
        <f>Variables!$C$13</f>
        <v>1</v>
      </c>
      <c r="L369" s="213">
        <f t="shared" si="35"/>
        <v>29180.690703222885</v>
      </c>
      <c r="N369" s="215">
        <f>IF(D369&gt;1500000,Budgeting!$B$13,(IF(D369&gt;500000,Budgeting!$C$13,Budgeting!$D$13)))</f>
        <v>26.27408568212417</v>
      </c>
      <c r="O369" s="216">
        <f t="shared" si="36"/>
        <v>766695.96780004224</v>
      </c>
      <c r="P369" s="217">
        <f>IF(D369&gt;1500000,Budgeting!$B$15,(IF(D369&gt;500000,Budgeting!$C$15,Budgeting!$D$15)))</f>
        <v>7.6279603593263765</v>
      </c>
      <c r="Q369" s="218">
        <f t="shared" si="37"/>
        <v>222589.1519419479</v>
      </c>
    </row>
    <row r="370" spans="1:17">
      <c r="A370" s="222">
        <v>31</v>
      </c>
      <c r="B370" s="191" t="s">
        <v>139</v>
      </c>
      <c r="C370" s="191">
        <v>2027</v>
      </c>
      <c r="D370" s="208">
        <f>Population!L32</f>
        <v>246679.33074248111</v>
      </c>
      <c r="E370" s="209" t="str">
        <f t="shared" si="38"/>
        <v>Medium</v>
      </c>
      <c r="F370" s="208"/>
      <c r="G370" s="210">
        <f>Variables!$C$3*POWER(SUM(1,Variables!$C$2/100),C370-2017)</f>
        <v>12962.782855344198</v>
      </c>
      <c r="H370" s="210">
        <f t="shared" si="33"/>
        <v>330.79311493028354</v>
      </c>
      <c r="I370" s="211">
        <f>VLOOKUP(B370,'Waste per capita'!$B$2:$F$48,4,FALSE)*(H370/Variables!$C$6)</f>
        <v>226.99901701387708</v>
      </c>
      <c r="J370" s="210">
        <f t="shared" si="34"/>
        <v>55995.96559618428</v>
      </c>
      <c r="K370" s="212">
        <f>Variables!$C$13</f>
        <v>1</v>
      </c>
      <c r="L370" s="213">
        <f t="shared" si="35"/>
        <v>55995.96559618428</v>
      </c>
      <c r="N370" s="215">
        <f>IF(D370&gt;1500000,Budgeting!$B$13,(IF(D370&gt;500000,Budgeting!$C$13,Budgeting!$D$13)))</f>
        <v>26.27408568212417</v>
      </c>
      <c r="O370" s="216">
        <f t="shared" si="36"/>
        <v>1471242.7979274229</v>
      </c>
      <c r="P370" s="217">
        <f>IF(D370&gt;1500000,Budgeting!$B$15,(IF(D370&gt;500000,Budgeting!$C$15,Budgeting!$D$15)))</f>
        <v>7.6279603593263765</v>
      </c>
      <c r="Q370" s="218">
        <f t="shared" si="37"/>
        <v>427135.00584989728</v>
      </c>
    </row>
    <row r="371" spans="1:17">
      <c r="A371" s="222">
        <v>32</v>
      </c>
      <c r="B371" s="191" t="s">
        <v>140</v>
      </c>
      <c r="C371" s="191">
        <v>2027</v>
      </c>
      <c r="D371" s="208">
        <f>Population!L33</f>
        <v>1717334.8989529947</v>
      </c>
      <c r="E371" s="209" t="str">
        <f t="shared" si="38"/>
        <v>Large</v>
      </c>
      <c r="F371" s="208"/>
      <c r="G371" s="210">
        <f>Variables!$C$3*POWER(SUM(1,Variables!$C$2/100),C371-2017)</f>
        <v>12962.782855344198</v>
      </c>
      <c r="H371" s="210">
        <f t="shared" si="33"/>
        <v>330.79311493028354</v>
      </c>
      <c r="I371" s="211">
        <f>VLOOKUP(B371,'Waste per capita'!$B$2:$F$48,4,FALSE)*(H371/Variables!$C$6)</f>
        <v>306.49341653319146</v>
      </c>
      <c r="J371" s="210">
        <f t="shared" si="34"/>
        <v>526351.84051178652</v>
      </c>
      <c r="K371" s="212">
        <f>Variables!$C$13</f>
        <v>1</v>
      </c>
      <c r="L371" s="213">
        <f t="shared" si="35"/>
        <v>526351.84051178652</v>
      </c>
      <c r="N371" s="215">
        <f>IF(D371&gt;1500000,Budgeting!$B$13,(IF(D371&gt;500000,Budgeting!$C$13,Budgeting!$D$13)))</f>
        <v>25.956254000485576</v>
      </c>
      <c r="O371" s="216">
        <f t="shared" si="36"/>
        <v>13662122.065947004</v>
      </c>
      <c r="P371" s="217">
        <f>IF(D371&gt;1500000,Budgeting!$B$15,(IF(D371&gt;500000,Budgeting!$C$15,Budgeting!$D$15)))</f>
        <v>3.7080362857836535</v>
      </c>
      <c r="Q371" s="218">
        <f t="shared" si="37"/>
        <v>1951731.7237067148</v>
      </c>
    </row>
    <row r="372" spans="1:17">
      <c r="A372" s="222">
        <v>33</v>
      </c>
      <c r="B372" s="191" t="s">
        <v>141</v>
      </c>
      <c r="C372" s="191">
        <v>2027</v>
      </c>
      <c r="D372" s="208">
        <f>Population!L34</f>
        <v>1081821.9235939009</v>
      </c>
      <c r="E372" s="209" t="str">
        <f t="shared" si="38"/>
        <v>Large</v>
      </c>
      <c r="F372" s="208"/>
      <c r="G372" s="210">
        <f>Variables!$C$3*POWER(SUM(1,Variables!$C$2/100),C372-2017)</f>
        <v>12962.782855344198</v>
      </c>
      <c r="H372" s="210">
        <f t="shared" ref="H372:H435" si="39">1647.41-417.73*LN(G372)+29.43*(LN(G372))^2</f>
        <v>330.79311493028354</v>
      </c>
      <c r="I372" s="211">
        <f>VLOOKUP(B372,'Waste per capita'!$B$2:$F$48,4,FALSE)*(H372/Variables!$C$6)</f>
        <v>146.53517359798573</v>
      </c>
      <c r="J372" s="210">
        <f t="shared" ref="J372:J435" si="40">I372*D372/1000</f>
        <v>158524.96337593914</v>
      </c>
      <c r="K372" s="212">
        <f>Variables!$C$13</f>
        <v>1</v>
      </c>
      <c r="L372" s="213">
        <f t="shared" ref="L372:L435" si="41">J372*K372</f>
        <v>158524.96337593914</v>
      </c>
      <c r="N372" s="215">
        <f>IF(D372&gt;1500000,Budgeting!$B$13,(IF(D372&gt;500000,Budgeting!$C$13,Budgeting!$D$13)))</f>
        <v>26.132827156951464</v>
      </c>
      <c r="O372" s="216">
        <f t="shared" ref="O372:O435" si="42">N372*L372</f>
        <v>4142705.4679654785</v>
      </c>
      <c r="P372" s="217">
        <f>IF(D372&gt;1500000,Budgeting!$B$15,(IF(D372&gt;500000,Budgeting!$C$15,Budgeting!$D$15)))</f>
        <v>2.1188778775906578</v>
      </c>
      <c r="Q372" s="218">
        <f t="shared" ref="Q372:Q435" si="43">P372*J372</f>
        <v>335895.03794314672</v>
      </c>
    </row>
    <row r="373" spans="1:17">
      <c r="A373" s="222">
        <v>34</v>
      </c>
      <c r="B373" s="191" t="s">
        <v>142</v>
      </c>
      <c r="C373" s="191">
        <v>2027</v>
      </c>
      <c r="D373" s="208">
        <f>Population!L35</f>
        <v>625817.62726324028</v>
      </c>
      <c r="E373" s="209" t="str">
        <f t="shared" si="38"/>
        <v>Medium</v>
      </c>
      <c r="F373" s="208"/>
      <c r="G373" s="210">
        <f>Variables!$C$3*POWER(SUM(1,Variables!$C$2/100),C373-2017)</f>
        <v>12962.782855344198</v>
      </c>
      <c r="H373" s="210">
        <f t="shared" si="39"/>
        <v>330.79311493028354</v>
      </c>
      <c r="I373" s="211">
        <f>VLOOKUP(B373,'Waste per capita'!$B$2:$F$48,4,FALSE)*(H373/Variables!$C$6)</f>
        <v>262.86844118722627</v>
      </c>
      <c r="J373" s="210">
        <f t="shared" si="40"/>
        <v>164507.70414617658</v>
      </c>
      <c r="K373" s="212">
        <f>Variables!$C$13</f>
        <v>1</v>
      </c>
      <c r="L373" s="213">
        <f t="shared" si="41"/>
        <v>164507.70414617658</v>
      </c>
      <c r="N373" s="215">
        <f>IF(D373&gt;1500000,Budgeting!$B$13,(IF(D373&gt;500000,Budgeting!$C$13,Budgeting!$D$13)))</f>
        <v>26.132827156951464</v>
      </c>
      <c r="O373" s="216">
        <f t="shared" si="42"/>
        <v>4299051.3984389398</v>
      </c>
      <c r="P373" s="217">
        <f>IF(D373&gt;1500000,Budgeting!$B$15,(IF(D373&gt;500000,Budgeting!$C$15,Budgeting!$D$15)))</f>
        <v>2.1188778775906578</v>
      </c>
      <c r="Q373" s="218">
        <f t="shared" si="43"/>
        <v>348571.73500856251</v>
      </c>
    </row>
    <row r="374" spans="1:17">
      <c r="A374" s="222">
        <v>35</v>
      </c>
      <c r="B374" s="191" t="s">
        <v>143</v>
      </c>
      <c r="C374" s="191">
        <v>2027</v>
      </c>
      <c r="D374" s="208">
        <f>Population!L36</f>
        <v>266614.07197362528</v>
      </c>
      <c r="E374" s="209" t="str">
        <f t="shared" si="38"/>
        <v>Medium</v>
      </c>
      <c r="F374" s="208"/>
      <c r="G374" s="210">
        <f>Variables!$C$3*POWER(SUM(1,Variables!$C$2/100),C374-2017)</f>
        <v>12962.782855344198</v>
      </c>
      <c r="H374" s="210">
        <f t="shared" si="39"/>
        <v>330.79311493028354</v>
      </c>
      <c r="I374" s="211">
        <f>VLOOKUP(B374,'Waste per capita'!$B$2:$F$48,4,FALSE)*(H374/Variables!$C$6)</f>
        <v>224.8364113984361</v>
      </c>
      <c r="J374" s="210">
        <f t="shared" si="40"/>
        <v>59944.551170874271</v>
      </c>
      <c r="K374" s="212">
        <f>Variables!$C$13</f>
        <v>1</v>
      </c>
      <c r="L374" s="213">
        <f t="shared" si="41"/>
        <v>59944.551170874271</v>
      </c>
      <c r="N374" s="215">
        <f>IF(D374&gt;1500000,Budgeting!$B$13,(IF(D374&gt;500000,Budgeting!$C$13,Budgeting!$D$13)))</f>
        <v>26.27408568212417</v>
      </c>
      <c r="O374" s="216">
        <f t="shared" si="42"/>
        <v>1574988.2736400273</v>
      </c>
      <c r="P374" s="217">
        <f>IF(D374&gt;1500000,Budgeting!$B$15,(IF(D374&gt;500000,Budgeting!$C$15,Budgeting!$D$15)))</f>
        <v>7.6279603593263765</v>
      </c>
      <c r="Q374" s="218">
        <f t="shared" si="43"/>
        <v>457254.66008904047</v>
      </c>
    </row>
    <row r="375" spans="1:17">
      <c r="A375" s="222">
        <v>36</v>
      </c>
      <c r="B375" s="191" t="s">
        <v>144</v>
      </c>
      <c r="C375" s="191">
        <v>2027</v>
      </c>
      <c r="D375" s="208">
        <f>Population!L37</f>
        <v>1709401.1512388485</v>
      </c>
      <c r="E375" s="209" t="str">
        <f t="shared" si="38"/>
        <v>Large</v>
      </c>
      <c r="F375" s="208"/>
      <c r="G375" s="210">
        <f>Variables!$C$3*POWER(SUM(1,Variables!$C$2/100),C375-2017)</f>
        <v>12962.782855344198</v>
      </c>
      <c r="H375" s="210">
        <f t="shared" si="39"/>
        <v>330.79311493028354</v>
      </c>
      <c r="I375" s="211">
        <f>VLOOKUP(B375,'Waste per capita'!$B$2:$F$48,4,FALSE)*(H375/Variables!$C$6)</f>
        <v>318.79789675897655</v>
      </c>
      <c r="J375" s="210">
        <f t="shared" si="40"/>
        <v>544953.49173231807</v>
      </c>
      <c r="K375" s="212">
        <f>Variables!$C$13</f>
        <v>1</v>
      </c>
      <c r="L375" s="213">
        <f t="shared" si="41"/>
        <v>544953.49173231807</v>
      </c>
      <c r="N375" s="215">
        <f>IF(D375&gt;1500000,Budgeting!$B$13,(IF(D375&gt;500000,Budgeting!$C$13,Budgeting!$D$13)))</f>
        <v>25.956254000485576</v>
      </c>
      <c r="O375" s="216">
        <f t="shared" si="42"/>
        <v>14144951.249855563</v>
      </c>
      <c r="P375" s="217">
        <f>IF(D375&gt;1500000,Budgeting!$B$15,(IF(D375&gt;500000,Budgeting!$C$15,Budgeting!$D$15)))</f>
        <v>3.7080362857836535</v>
      </c>
      <c r="Q375" s="218">
        <f t="shared" si="43"/>
        <v>2020707.3214079377</v>
      </c>
    </row>
    <row r="376" spans="1:17">
      <c r="A376" s="222">
        <v>37</v>
      </c>
      <c r="B376" s="191" t="s">
        <v>145</v>
      </c>
      <c r="C376" s="191">
        <v>2027</v>
      </c>
      <c r="D376" s="208">
        <f>Population!L38</f>
        <v>285197.4286014614</v>
      </c>
      <c r="E376" s="209" t="str">
        <f t="shared" si="38"/>
        <v>Medium</v>
      </c>
      <c r="F376" s="208"/>
      <c r="G376" s="210">
        <f>Variables!$C$3*POWER(SUM(1,Variables!$C$2/100),C376-2017)</f>
        <v>12962.782855344198</v>
      </c>
      <c r="H376" s="210">
        <f t="shared" si="39"/>
        <v>330.79311493028354</v>
      </c>
      <c r="I376" s="211">
        <f>VLOOKUP(B376,'Waste per capita'!$B$2:$F$48,4,FALSE)*(H376/Variables!$C$6)</f>
        <v>224.8364113984361</v>
      </c>
      <c r="J376" s="210">
        <f t="shared" si="40"/>
        <v>64122.766386814284</v>
      </c>
      <c r="K376" s="212">
        <f>Variables!$C$13</f>
        <v>1</v>
      </c>
      <c r="L376" s="213">
        <f t="shared" si="41"/>
        <v>64122.766386814284</v>
      </c>
      <c r="N376" s="215">
        <f>IF(D376&gt;1500000,Budgeting!$B$13,(IF(D376&gt;500000,Budgeting!$C$13,Budgeting!$D$13)))</f>
        <v>26.27408568212417</v>
      </c>
      <c r="O376" s="216">
        <f t="shared" si="42"/>
        <v>1684767.0582219902</v>
      </c>
      <c r="P376" s="217">
        <f>IF(D376&gt;1500000,Budgeting!$B$15,(IF(D376&gt;500000,Budgeting!$C$15,Budgeting!$D$15)))</f>
        <v>7.6279603593263765</v>
      </c>
      <c r="Q376" s="218">
        <f t="shared" si="43"/>
        <v>489125.92012896517</v>
      </c>
    </row>
    <row r="377" spans="1:17">
      <c r="A377" s="222">
        <v>38</v>
      </c>
      <c r="B377" s="191" t="s">
        <v>146</v>
      </c>
      <c r="C377" s="191">
        <v>2027</v>
      </c>
      <c r="D377" s="208">
        <f>Population!L39</f>
        <v>1254207.1038038204</v>
      </c>
      <c r="E377" s="209" t="str">
        <f t="shared" si="38"/>
        <v>Large</v>
      </c>
      <c r="F377" s="208"/>
      <c r="G377" s="210">
        <f>Variables!$C$3*POWER(SUM(1,Variables!$C$2/100),C377-2017)</f>
        <v>12962.782855344198</v>
      </c>
      <c r="H377" s="210">
        <f t="shared" si="39"/>
        <v>330.79311493028354</v>
      </c>
      <c r="I377" s="211">
        <f>VLOOKUP(B377,'Waste per capita'!$B$2:$F$48,4,FALSE)*(H377/Variables!$C$6)</f>
        <v>314.58403366795426</v>
      </c>
      <c r="J377" s="210">
        <f t="shared" si="40"/>
        <v>394553.52976960846</v>
      </c>
      <c r="K377" s="212">
        <f>Variables!$C$13</f>
        <v>1</v>
      </c>
      <c r="L377" s="213">
        <f t="shared" si="41"/>
        <v>394553.52976960846</v>
      </c>
      <c r="N377" s="215">
        <f>IF(D377&gt;1500000,Budgeting!$B$13,(IF(D377&gt;500000,Budgeting!$C$13,Budgeting!$D$13)))</f>
        <v>26.132827156951464</v>
      </c>
      <c r="O377" s="216">
        <f t="shared" si="42"/>
        <v>10310799.197634282</v>
      </c>
      <c r="P377" s="217">
        <f>IF(D377&gt;1500000,Budgeting!$B$15,(IF(D377&gt;500000,Budgeting!$C$15,Budgeting!$D$15)))</f>
        <v>2.1188778775906578</v>
      </c>
      <c r="Q377" s="218">
        <f t="shared" si="43"/>
        <v>836010.74575413042</v>
      </c>
    </row>
    <row r="378" spans="1:17">
      <c r="A378" s="222">
        <v>39</v>
      </c>
      <c r="B378" s="191" t="s">
        <v>147</v>
      </c>
      <c r="C378" s="191">
        <v>2027</v>
      </c>
      <c r="D378" s="208">
        <f>Population!L40</f>
        <v>103252.18422260735</v>
      </c>
      <c r="E378" s="209" t="str">
        <f t="shared" si="38"/>
        <v>Medium</v>
      </c>
      <c r="F378" s="208"/>
      <c r="G378" s="210">
        <f>Variables!$C$3*POWER(SUM(1,Variables!$C$2/100),C378-2017)</f>
        <v>12962.782855344198</v>
      </c>
      <c r="H378" s="210">
        <f t="shared" si="39"/>
        <v>330.79311493028354</v>
      </c>
      <c r="I378" s="211">
        <f>VLOOKUP(B378,'Waste per capita'!$B$2:$F$48,4,FALSE)*(H378/Variables!$C$6)</f>
        <v>255.24326438479002</v>
      </c>
      <c r="J378" s="210">
        <f t="shared" si="40"/>
        <v>26354.42455583801</v>
      </c>
      <c r="K378" s="212">
        <f>Variables!$C$13</f>
        <v>1</v>
      </c>
      <c r="L378" s="213">
        <f t="shared" si="41"/>
        <v>26354.42455583801</v>
      </c>
      <c r="N378" s="215">
        <f>IF(D378&gt;1500000,Budgeting!$B$13,(IF(D378&gt;500000,Budgeting!$C$13,Budgeting!$D$13)))</f>
        <v>26.27408568212417</v>
      </c>
      <c r="O378" s="216">
        <f t="shared" si="42"/>
        <v>692438.4088831651</v>
      </c>
      <c r="P378" s="217">
        <f>IF(D378&gt;1500000,Budgeting!$B$15,(IF(D378&gt;500000,Budgeting!$C$15,Budgeting!$D$15)))</f>
        <v>7.6279603593263765</v>
      </c>
      <c r="Q378" s="218">
        <f t="shared" si="43"/>
        <v>201030.50580478998</v>
      </c>
    </row>
    <row r="379" spans="1:17">
      <c r="A379" s="222">
        <v>40</v>
      </c>
      <c r="B379" s="191" t="s">
        <v>148</v>
      </c>
      <c r="C379" s="191">
        <v>2027</v>
      </c>
      <c r="D379" s="208">
        <f>Population!L41</f>
        <v>184358.53507518125</v>
      </c>
      <c r="E379" s="209" t="str">
        <f t="shared" si="38"/>
        <v>Medium</v>
      </c>
      <c r="F379" s="208"/>
      <c r="G379" s="210">
        <f>Variables!$C$3*POWER(SUM(1,Variables!$C$2/100),C379-2017)</f>
        <v>12962.782855344198</v>
      </c>
      <c r="H379" s="210">
        <f t="shared" si="39"/>
        <v>330.79311493028354</v>
      </c>
      <c r="I379" s="211">
        <f>VLOOKUP(B379,'Waste per capita'!$B$2:$F$48,4,FALSE)*(H379/Variables!$C$6)</f>
        <v>226.99901701387708</v>
      </c>
      <c r="J379" s="210">
        <f t="shared" si="40"/>
        <v>41849.206240184525</v>
      </c>
      <c r="K379" s="212">
        <f>Variables!$C$13</f>
        <v>1</v>
      </c>
      <c r="L379" s="213">
        <f t="shared" si="41"/>
        <v>41849.206240184525</v>
      </c>
      <c r="N379" s="215">
        <f>IF(D379&gt;1500000,Budgeting!$B$13,(IF(D379&gt;500000,Budgeting!$C$13,Budgeting!$D$13)))</f>
        <v>26.27408568212417</v>
      </c>
      <c r="O379" s="216">
        <f t="shared" si="42"/>
        <v>1099549.6304834937</v>
      </c>
      <c r="P379" s="217">
        <f>IF(D379&gt;1500000,Budgeting!$B$15,(IF(D379&gt;500000,Budgeting!$C$15,Budgeting!$D$15)))</f>
        <v>7.6279603593263765</v>
      </c>
      <c r="Q379" s="218">
        <f t="shared" si="43"/>
        <v>319224.0862694016</v>
      </c>
    </row>
    <row r="380" spans="1:17">
      <c r="A380" s="222">
        <v>41</v>
      </c>
      <c r="B380" s="191" t="s">
        <v>149</v>
      </c>
      <c r="C380" s="191">
        <v>2027</v>
      </c>
      <c r="D380" s="208">
        <f>Population!L42</f>
        <v>88734.618731742012</v>
      </c>
      <c r="E380" s="209" t="str">
        <f t="shared" si="38"/>
        <v>Small</v>
      </c>
      <c r="F380" s="208"/>
      <c r="G380" s="210">
        <f>Variables!$C$3*POWER(SUM(1,Variables!$C$2/100),C380-2017)</f>
        <v>12962.782855344198</v>
      </c>
      <c r="H380" s="210">
        <f t="shared" si="39"/>
        <v>330.79311493028354</v>
      </c>
      <c r="I380" s="211">
        <f>VLOOKUP(B380,'Waste per capita'!$B$2:$F$48,4,FALSE)*(H380/Variables!$C$6)</f>
        <v>255.24326438479002</v>
      </c>
      <c r="J380" s="210">
        <f t="shared" si="40"/>
        <v>22648.913749029569</v>
      </c>
      <c r="K380" s="212">
        <f>Variables!$C$13</f>
        <v>1</v>
      </c>
      <c r="L380" s="213">
        <f t="shared" si="41"/>
        <v>22648.913749029569</v>
      </c>
      <c r="N380" s="215">
        <f>IF(D380&gt;1500000,Budgeting!$B$13,(IF(D380&gt;500000,Budgeting!$C$13,Budgeting!$D$13)))</f>
        <v>26.27408568212417</v>
      </c>
      <c r="O380" s="216">
        <f t="shared" si="42"/>
        <v>595079.500449043</v>
      </c>
      <c r="P380" s="217">
        <f>IF(D380&gt;1500000,Budgeting!$B$15,(IF(D380&gt;500000,Budgeting!$C$15,Budgeting!$D$15)))</f>
        <v>7.6279603593263765</v>
      </c>
      <c r="Q380" s="218">
        <f t="shared" si="43"/>
        <v>172765.01625939971</v>
      </c>
    </row>
    <row r="381" spans="1:17">
      <c r="A381" s="222">
        <v>42</v>
      </c>
      <c r="B381" s="191" t="s">
        <v>150</v>
      </c>
      <c r="C381" s="191">
        <v>2027</v>
      </c>
      <c r="D381" s="208">
        <f>Population!L43</f>
        <v>109885.46063927528</v>
      </c>
      <c r="E381" s="209" t="str">
        <f t="shared" si="38"/>
        <v>Medium</v>
      </c>
      <c r="F381" s="208"/>
      <c r="G381" s="210">
        <f>Variables!$C$3*POWER(SUM(1,Variables!$C$2/100),C381-2017)</f>
        <v>12962.782855344198</v>
      </c>
      <c r="H381" s="210">
        <f t="shared" si="39"/>
        <v>330.79311493028354</v>
      </c>
      <c r="I381" s="211">
        <f>VLOOKUP(B381,'Waste per capita'!$B$2:$F$48,4,FALSE)*(H381/Variables!$C$6)</f>
        <v>255.24326438479002</v>
      </c>
      <c r="J381" s="210">
        <f t="shared" si="40"/>
        <v>28047.523681994979</v>
      </c>
      <c r="K381" s="212">
        <f>Variables!$C$13</f>
        <v>1</v>
      </c>
      <c r="L381" s="213">
        <f t="shared" si="41"/>
        <v>28047.523681994979</v>
      </c>
      <c r="N381" s="215">
        <f>IF(D381&gt;1500000,Budgeting!$B$13,(IF(D381&gt;500000,Budgeting!$C$13,Budgeting!$D$13)))</f>
        <v>26.27408568212417</v>
      </c>
      <c r="O381" s="216">
        <f t="shared" si="42"/>
        <v>736923.04039214284</v>
      </c>
      <c r="P381" s="217">
        <f>IF(D381&gt;1500000,Budgeting!$B$15,(IF(D381&gt;500000,Budgeting!$C$15,Budgeting!$D$15)))</f>
        <v>7.6279603593263765</v>
      </c>
      <c r="Q381" s="218">
        <f t="shared" si="43"/>
        <v>213945.39882352547</v>
      </c>
    </row>
    <row r="382" spans="1:17">
      <c r="A382" s="222">
        <v>1</v>
      </c>
      <c r="B382" s="191" t="s">
        <v>109</v>
      </c>
      <c r="C382" s="191">
        <v>2028</v>
      </c>
      <c r="D382" s="208">
        <f>Population!M2</f>
        <v>595662.54145558202</v>
      </c>
      <c r="E382" s="209" t="str">
        <f t="shared" si="38"/>
        <v>Medium</v>
      </c>
      <c r="F382" s="208"/>
      <c r="G382" s="210">
        <f>Variables!$C$3*POWER(SUM(1,Variables!$C$2/100),C382-2017)</f>
        <v>13885.732994644701</v>
      </c>
      <c r="H382" s="210">
        <f t="shared" si="39"/>
        <v>340.53840376009839</v>
      </c>
      <c r="I382" s="211">
        <f>VLOOKUP(B382,'Waste per capita'!$B$2:$F$48,4,FALSE)*(H382/Variables!$C$6)</f>
        <v>262.55184158173</v>
      </c>
      <c r="J382" s="210">
        <f t="shared" si="40"/>
        <v>156392.29722041663</v>
      </c>
      <c r="K382" s="212">
        <f>Variables!$C$13</f>
        <v>1</v>
      </c>
      <c r="L382" s="213">
        <f t="shared" si="41"/>
        <v>156392.29722041663</v>
      </c>
      <c r="N382" s="215">
        <f>IF(D382&gt;1500000,Budgeting!$B$13,(IF(D382&gt;500000,Budgeting!$C$13,Budgeting!$D$13)))</f>
        <v>26.132827156951464</v>
      </c>
      <c r="O382" s="216">
        <f t="shared" si="42"/>
        <v>4086972.8719397285</v>
      </c>
      <c r="P382" s="217">
        <f>IF(D382&gt;1500000,Budgeting!$B$15,(IF(D382&gt;500000,Budgeting!$C$15,Budgeting!$D$15)))</f>
        <v>2.1188778775906578</v>
      </c>
      <c r="Q382" s="218">
        <f t="shared" si="43"/>
        <v>331376.17880592373</v>
      </c>
    </row>
    <row r="383" spans="1:17">
      <c r="A383" s="222">
        <v>2</v>
      </c>
      <c r="B383" s="191" t="s">
        <v>110</v>
      </c>
      <c r="C383" s="191">
        <v>2028</v>
      </c>
      <c r="D383" s="208">
        <f>Population!M3</f>
        <v>436937.93128001486</v>
      </c>
      <c r="E383" s="209" t="str">
        <f t="shared" si="38"/>
        <v>Medium</v>
      </c>
      <c r="F383" s="208"/>
      <c r="G383" s="210">
        <f>Variables!$C$3*POWER(SUM(1,Variables!$C$2/100),C383-2017)</f>
        <v>13885.732994644701</v>
      </c>
      <c r="H383" s="210">
        <f t="shared" si="39"/>
        <v>340.53840376009839</v>
      </c>
      <c r="I383" s="211">
        <f>VLOOKUP(B383,'Waste per capita'!$B$2:$F$48,4,FALSE)*(H383/Variables!$C$6)</f>
        <v>164.09490098858126</v>
      </c>
      <c r="J383" s="210">
        <f t="shared" si="40"/>
        <v>71699.286571549572</v>
      </c>
      <c r="K383" s="212">
        <f>Variables!$C$13</f>
        <v>1</v>
      </c>
      <c r="L383" s="213">
        <f t="shared" si="41"/>
        <v>71699.286571549572</v>
      </c>
      <c r="N383" s="215">
        <f>IF(D383&gt;1500000,Budgeting!$B$13,(IF(D383&gt;500000,Budgeting!$C$13,Budgeting!$D$13)))</f>
        <v>26.27408568212417</v>
      </c>
      <c r="O383" s="216">
        <f t="shared" si="42"/>
        <v>1883833.1987280683</v>
      </c>
      <c r="P383" s="217">
        <f>IF(D383&gt;1500000,Budgeting!$B$15,(IF(D383&gt;500000,Budgeting!$C$15,Budgeting!$D$15)))</f>
        <v>7.6279603593263765</v>
      </c>
      <c r="Q383" s="218">
        <f t="shared" si="43"/>
        <v>546919.31575976207</v>
      </c>
    </row>
    <row r="384" spans="1:17">
      <c r="A384" s="222">
        <v>3</v>
      </c>
      <c r="B384" s="191" t="s">
        <v>111</v>
      </c>
      <c r="C384" s="191">
        <v>2028</v>
      </c>
      <c r="D384" s="208">
        <f>Population!M4</f>
        <v>12573826.536047043</v>
      </c>
      <c r="E384" s="209" t="str">
        <f t="shared" si="38"/>
        <v>Large</v>
      </c>
      <c r="F384" s="208"/>
      <c r="G384" s="210">
        <f>Variables!$C$3*POWER(SUM(1,Variables!$C$2/100),C384-2017)</f>
        <v>13885.732994644701</v>
      </c>
      <c r="H384" s="210">
        <f t="shared" si="39"/>
        <v>340.53840376009839</v>
      </c>
      <c r="I384" s="211">
        <f>VLOOKUP(B384,'Waste per capita'!$B$2:$F$48,4,FALSE)*(H384/Variables!$C$6)</f>
        <v>424.33576895869606</v>
      </c>
      <c r="J384" s="210">
        <f t="shared" si="40"/>
        <v>5335524.3519267794</v>
      </c>
      <c r="K384" s="212">
        <f>Variables!$C$13</f>
        <v>1</v>
      </c>
      <c r="L384" s="213">
        <f t="shared" si="41"/>
        <v>5335524.3519267794</v>
      </c>
      <c r="N384" s="215">
        <f>IF(D384&gt;1500000,Budgeting!$B$13,(IF(D384&gt;500000,Budgeting!$C$13,Budgeting!$D$13)))</f>
        <v>25.956254000485576</v>
      </c>
      <c r="O384" s="216">
        <f t="shared" si="42"/>
        <v>138490225.30438769</v>
      </c>
      <c r="P384" s="217">
        <f>IF(D384&gt;1500000,Budgeting!$B$15,(IF(D384&gt;500000,Budgeting!$C$15,Budgeting!$D$15)))</f>
        <v>3.7080362857836535</v>
      </c>
      <c r="Q384" s="218">
        <f t="shared" si="43"/>
        <v>19784317.900626808</v>
      </c>
    </row>
    <row r="385" spans="1:17">
      <c r="A385" s="222">
        <v>4</v>
      </c>
      <c r="B385" s="191" t="s">
        <v>112</v>
      </c>
      <c r="C385" s="191">
        <v>2028</v>
      </c>
      <c r="D385" s="208">
        <f>Population!M5</f>
        <v>2677800.9819181152</v>
      </c>
      <c r="E385" s="209" t="str">
        <f t="shared" si="38"/>
        <v>Large</v>
      </c>
      <c r="F385" s="208"/>
      <c r="G385" s="210">
        <f>Variables!$C$3*POWER(SUM(1,Variables!$C$2/100),C385-2017)</f>
        <v>13885.732994644701</v>
      </c>
      <c r="H385" s="210">
        <f t="shared" si="39"/>
        <v>340.53840376009839</v>
      </c>
      <c r="I385" s="211">
        <f>VLOOKUP(B385,'Waste per capita'!$B$2:$F$48,4,FALSE)*(H385/Variables!$C$6)</f>
        <v>262.55184158173</v>
      </c>
      <c r="J385" s="210">
        <f t="shared" si="40"/>
        <v>703061.5791919661</v>
      </c>
      <c r="K385" s="212">
        <f>Variables!$C$13</f>
        <v>1</v>
      </c>
      <c r="L385" s="213">
        <f t="shared" si="41"/>
        <v>703061.5791919661</v>
      </c>
      <c r="N385" s="215">
        <f>IF(D385&gt;1500000,Budgeting!$B$13,(IF(D385&gt;500000,Budgeting!$C$13,Budgeting!$D$13)))</f>
        <v>25.956254000485576</v>
      </c>
      <c r="O385" s="216">
        <f t="shared" si="42"/>
        <v>18248844.927489176</v>
      </c>
      <c r="P385" s="217">
        <f>IF(D385&gt;1500000,Budgeting!$B$15,(IF(D385&gt;500000,Budgeting!$C$15,Budgeting!$D$15)))</f>
        <v>3.7080362857836535</v>
      </c>
      <c r="Q385" s="218">
        <f t="shared" si="43"/>
        <v>2606977.8467841679</v>
      </c>
    </row>
    <row r="386" spans="1:17">
      <c r="A386" s="222">
        <v>5</v>
      </c>
      <c r="B386" s="191" t="s">
        <v>113</v>
      </c>
      <c r="C386" s="191">
        <v>2028</v>
      </c>
      <c r="D386" s="208">
        <f>Population!M6</f>
        <v>1255944.8875229268</v>
      </c>
      <c r="E386" s="209" t="str">
        <f t="shared" si="38"/>
        <v>Large</v>
      </c>
      <c r="F386" s="208"/>
      <c r="G386" s="210">
        <f>Variables!$C$3*POWER(SUM(1,Variables!$C$2/100),C386-2017)</f>
        <v>13885.732994644701</v>
      </c>
      <c r="H386" s="210">
        <f t="shared" si="39"/>
        <v>340.53840376009839</v>
      </c>
      <c r="I386" s="211">
        <f>VLOOKUP(B386,'Waste per capita'!$B$2:$F$48,4,FALSE)*(H386/Variables!$C$6)</f>
        <v>262.55184158173</v>
      </c>
      <c r="J386" s="210">
        <f t="shared" si="40"/>
        <v>329750.64314430318</v>
      </c>
      <c r="K386" s="212">
        <f>Variables!$C$13</f>
        <v>1</v>
      </c>
      <c r="L386" s="213">
        <f t="shared" si="41"/>
        <v>329750.64314430318</v>
      </c>
      <c r="N386" s="215">
        <f>IF(D386&gt;1500000,Budgeting!$B$13,(IF(D386&gt;500000,Budgeting!$C$13,Budgeting!$D$13)))</f>
        <v>26.132827156951464</v>
      </c>
      <c r="O386" s="216">
        <f t="shared" si="42"/>
        <v>8617316.5621836577</v>
      </c>
      <c r="P386" s="217">
        <f>IF(D386&gt;1500000,Budgeting!$B$15,(IF(D386&gt;500000,Budgeting!$C$15,Budgeting!$D$15)))</f>
        <v>2.1188778775906578</v>
      </c>
      <c r="Q386" s="218">
        <f t="shared" si="43"/>
        <v>698701.34287975554</v>
      </c>
    </row>
    <row r="387" spans="1:17">
      <c r="A387" s="222">
        <v>6</v>
      </c>
      <c r="B387" s="191" t="s">
        <v>114</v>
      </c>
      <c r="C387" s="191">
        <v>2028</v>
      </c>
      <c r="D387" s="208">
        <f>Population!M7</f>
        <v>1431939.0712359096</v>
      </c>
      <c r="E387" s="209" t="str">
        <f t="shared" si="38"/>
        <v>Large</v>
      </c>
      <c r="F387" s="208"/>
      <c r="G387" s="210">
        <f>Variables!$C$3*POWER(SUM(1,Variables!$C$2/100),C387-2017)</f>
        <v>13885.732994644701</v>
      </c>
      <c r="H387" s="210">
        <f t="shared" si="39"/>
        <v>340.53840376009839</v>
      </c>
      <c r="I387" s="211">
        <f>VLOOKUP(B387,'Waste per capita'!$B$2:$F$48,4,FALSE)*(H387/Variables!$C$6)</f>
        <v>262.55184158173</v>
      </c>
      <c r="J387" s="210">
        <f t="shared" si="40"/>
        <v>375958.24018582009</v>
      </c>
      <c r="K387" s="212">
        <f>Variables!$C$13</f>
        <v>1</v>
      </c>
      <c r="L387" s="213">
        <f t="shared" si="41"/>
        <v>375958.24018582009</v>
      </c>
      <c r="N387" s="215">
        <f>IF(D387&gt;1500000,Budgeting!$B$13,(IF(D387&gt;500000,Budgeting!$C$13,Budgeting!$D$13)))</f>
        <v>26.132827156951464</v>
      </c>
      <c r="O387" s="216">
        <f t="shared" si="42"/>
        <v>9824851.7090076804</v>
      </c>
      <c r="P387" s="217">
        <f>IF(D387&gt;1500000,Budgeting!$B$15,(IF(D387&gt;500000,Budgeting!$C$15,Budgeting!$D$15)))</f>
        <v>2.1188778775906578</v>
      </c>
      <c r="Q387" s="218">
        <f t="shared" si="43"/>
        <v>796609.59802764922</v>
      </c>
    </row>
    <row r="388" spans="1:17">
      <c r="A388" s="222">
        <v>7</v>
      </c>
      <c r="B388" s="191" t="s">
        <v>115</v>
      </c>
      <c r="C388" s="191">
        <v>2028</v>
      </c>
      <c r="D388" s="208">
        <f>Population!M8</f>
        <v>6919641.2850445984</v>
      </c>
      <c r="E388" s="209" t="str">
        <f t="shared" si="38"/>
        <v>Large</v>
      </c>
      <c r="F388" s="208"/>
      <c r="G388" s="210">
        <f>Variables!$C$3*POWER(SUM(1,Variables!$C$2/100),C388-2017)</f>
        <v>13885.732994644701</v>
      </c>
      <c r="H388" s="210">
        <f t="shared" si="39"/>
        <v>340.53840376009839</v>
      </c>
      <c r="I388" s="211">
        <f>VLOOKUP(B388,'Waste per capita'!$B$2:$F$48,4,FALSE)*(H388/Variables!$C$6)</f>
        <v>407.64628035058081</v>
      </c>
      <c r="J388" s="210">
        <f t="shared" si="40"/>
        <v>2820766.0312087433</v>
      </c>
      <c r="K388" s="212">
        <f>Variables!$C$13</f>
        <v>1</v>
      </c>
      <c r="L388" s="213">
        <f t="shared" si="41"/>
        <v>2820766.0312087433</v>
      </c>
      <c r="N388" s="215">
        <f>IF(D388&gt;1500000,Budgeting!$B$13,(IF(D388&gt;500000,Budgeting!$C$13,Budgeting!$D$13)))</f>
        <v>25.956254000485576</v>
      </c>
      <c r="O388" s="216">
        <f t="shared" si="42"/>
        <v>73216519.58199577</v>
      </c>
      <c r="P388" s="217">
        <f>IF(D388&gt;1500000,Budgeting!$B$15,(IF(D388&gt;500000,Budgeting!$C$15,Budgeting!$D$15)))</f>
        <v>3.7080362857836535</v>
      </c>
      <c r="Q388" s="218">
        <f t="shared" si="43"/>
        <v>10459502.797427965</v>
      </c>
    </row>
    <row r="389" spans="1:17">
      <c r="A389" s="222">
        <v>8</v>
      </c>
      <c r="B389" s="191" t="s">
        <v>116</v>
      </c>
      <c r="C389" s="191">
        <v>2028</v>
      </c>
      <c r="D389" s="208">
        <f>Population!M9</f>
        <v>65942.162230217902</v>
      </c>
      <c r="E389" s="209" t="str">
        <f t="shared" ref="E389:E452" si="44">IF(D389&lt;100000,"Small",IF(D389&lt;1000000,"Medium","Large"))</f>
        <v>Small</v>
      </c>
      <c r="F389" s="208"/>
      <c r="G389" s="210">
        <f>Variables!$C$3*POWER(SUM(1,Variables!$C$2/100),C389-2017)</f>
        <v>13885.732994644701</v>
      </c>
      <c r="H389" s="210">
        <f t="shared" si="39"/>
        <v>340.53840376009839</v>
      </c>
      <c r="I389" s="211">
        <f>VLOOKUP(B389,'Waste per capita'!$B$2:$F$48,4,FALSE)*(H389/Variables!$C$6)</f>
        <v>275.79458797729967</v>
      </c>
      <c r="J389" s="210">
        <f t="shared" si="40"/>
        <v>18186.491462615199</v>
      </c>
      <c r="K389" s="212">
        <f>Variables!$C$13</f>
        <v>1</v>
      </c>
      <c r="L389" s="213">
        <f t="shared" si="41"/>
        <v>18186.491462615199</v>
      </c>
      <c r="N389" s="215">
        <f>IF(D389&gt;1500000,Budgeting!$B$13,(IF(D389&gt;500000,Budgeting!$C$13,Budgeting!$D$13)))</f>
        <v>26.27408568212417</v>
      </c>
      <c r="O389" s="216">
        <f t="shared" si="42"/>
        <v>477833.43494597141</v>
      </c>
      <c r="P389" s="217">
        <f>IF(D389&gt;1500000,Budgeting!$B$15,(IF(D389&gt;500000,Budgeting!$C$15,Budgeting!$D$15)))</f>
        <v>7.6279603593263765</v>
      </c>
      <c r="Q389" s="218">
        <f t="shared" si="43"/>
        <v>138725.83595205631</v>
      </c>
    </row>
    <row r="390" spans="1:17">
      <c r="A390" s="222">
        <v>9</v>
      </c>
      <c r="B390" s="191" t="s">
        <v>117</v>
      </c>
      <c r="C390" s="191">
        <v>2028</v>
      </c>
      <c r="D390" s="208">
        <f>Population!M10</f>
        <v>848182.21577081108</v>
      </c>
      <c r="E390" s="209" t="str">
        <f t="shared" si="44"/>
        <v>Medium</v>
      </c>
      <c r="F390" s="208"/>
      <c r="G390" s="210">
        <f>Variables!$C$3*POWER(SUM(1,Variables!$C$2/100),C390-2017)</f>
        <v>13885.732994644701</v>
      </c>
      <c r="H390" s="210">
        <f t="shared" si="39"/>
        <v>340.53840376009839</v>
      </c>
      <c r="I390" s="211">
        <f>VLOOKUP(B390,'Waste per capita'!$B$2:$F$48,4,FALSE)*(H390/Variables!$C$6)</f>
        <v>203.8231401752904</v>
      </c>
      <c r="J390" s="210">
        <f t="shared" si="40"/>
        <v>172879.16265924246</v>
      </c>
      <c r="K390" s="212">
        <f>Variables!$C$13</f>
        <v>1</v>
      </c>
      <c r="L390" s="213">
        <f t="shared" si="41"/>
        <v>172879.16265924246</v>
      </c>
      <c r="N390" s="215">
        <f>IF(D390&gt;1500000,Budgeting!$B$13,(IF(D390&gt;500000,Budgeting!$C$13,Budgeting!$D$13)))</f>
        <v>26.132827156951464</v>
      </c>
      <c r="O390" s="216">
        <f t="shared" si="42"/>
        <v>4517821.2768124808</v>
      </c>
      <c r="P390" s="217">
        <f>IF(D390&gt;1500000,Budgeting!$B$15,(IF(D390&gt;500000,Budgeting!$C$15,Budgeting!$D$15)))</f>
        <v>2.1188778775906578</v>
      </c>
      <c r="Q390" s="218">
        <f t="shared" si="43"/>
        <v>366309.83325506578</v>
      </c>
    </row>
    <row r="391" spans="1:17">
      <c r="A391" s="222">
        <v>10</v>
      </c>
      <c r="B391" s="191" t="s">
        <v>118</v>
      </c>
      <c r="C391" s="191">
        <v>2028</v>
      </c>
      <c r="D391" s="208">
        <f>Population!M11</f>
        <v>787105.07869768003</v>
      </c>
      <c r="E391" s="209" t="str">
        <f t="shared" si="44"/>
        <v>Medium</v>
      </c>
      <c r="F391" s="208"/>
      <c r="G391" s="210">
        <f>Variables!$C$3*POWER(SUM(1,Variables!$C$2/100),C391-2017)</f>
        <v>13885.732994644701</v>
      </c>
      <c r="H391" s="210">
        <f t="shared" si="39"/>
        <v>340.53840376009839</v>
      </c>
      <c r="I391" s="211">
        <f>VLOOKUP(B391,'Waste per capita'!$B$2:$F$48,4,FALSE)*(H391/Variables!$C$6)</f>
        <v>233.68649291660415</v>
      </c>
      <c r="J391" s="210">
        <f t="shared" si="40"/>
        <v>183935.82539770857</v>
      </c>
      <c r="K391" s="212">
        <f>Variables!$C$13</f>
        <v>1</v>
      </c>
      <c r="L391" s="213">
        <f t="shared" si="41"/>
        <v>183935.82539770857</v>
      </c>
      <c r="N391" s="215">
        <f>IF(D391&gt;1500000,Budgeting!$B$13,(IF(D391&gt;500000,Budgeting!$C$13,Budgeting!$D$13)))</f>
        <v>26.132827156951464</v>
      </c>
      <c r="O391" s="216">
        <f t="shared" si="42"/>
        <v>4806763.133089521</v>
      </c>
      <c r="P391" s="217">
        <f>IF(D391&gt;1500000,Budgeting!$B$15,(IF(D391&gt;500000,Budgeting!$C$15,Budgeting!$D$15)))</f>
        <v>2.1188778775906578</v>
      </c>
      <c r="Q391" s="218">
        <f t="shared" si="43"/>
        <v>389737.55133158254</v>
      </c>
    </row>
    <row r="392" spans="1:17">
      <c r="A392" s="222">
        <v>11</v>
      </c>
      <c r="B392" s="191" t="s">
        <v>119</v>
      </c>
      <c r="C392" s="191">
        <v>2028</v>
      </c>
      <c r="D392" s="208">
        <f>Population!M12</f>
        <v>307011.82784240402</v>
      </c>
      <c r="E392" s="209" t="str">
        <f t="shared" si="44"/>
        <v>Medium</v>
      </c>
      <c r="F392" s="208"/>
      <c r="G392" s="210">
        <f>Variables!$C$3*POWER(SUM(1,Variables!$C$2/100),C392-2017)</f>
        <v>13885.732994644701</v>
      </c>
      <c r="H392" s="210">
        <f t="shared" si="39"/>
        <v>340.53840376009839</v>
      </c>
      <c r="I392" s="211">
        <f>VLOOKUP(B392,'Waste per capita'!$B$2:$F$48,4,FALSE)*(H392/Variables!$C$6)</f>
        <v>144.51866718643473</v>
      </c>
      <c r="J392" s="210">
        <f t="shared" si="40"/>
        <v>44368.940170255381</v>
      </c>
      <c r="K392" s="212">
        <f>Variables!$C$13</f>
        <v>1</v>
      </c>
      <c r="L392" s="213">
        <f t="shared" si="41"/>
        <v>44368.940170255381</v>
      </c>
      <c r="N392" s="215">
        <f>IF(D392&gt;1500000,Budgeting!$B$13,(IF(D392&gt;500000,Budgeting!$C$13,Budgeting!$D$13)))</f>
        <v>26.27408568212417</v>
      </c>
      <c r="O392" s="216">
        <f t="shared" si="42"/>
        <v>1165753.3356583309</v>
      </c>
      <c r="P392" s="217">
        <f>IF(D392&gt;1500000,Budgeting!$B$15,(IF(D392&gt;500000,Budgeting!$C$15,Budgeting!$D$15)))</f>
        <v>7.6279603593263765</v>
      </c>
      <c r="Q392" s="218">
        <f t="shared" si="43"/>
        <v>338444.51680403174</v>
      </c>
    </row>
    <row r="393" spans="1:17">
      <c r="A393" s="222">
        <v>12</v>
      </c>
      <c r="B393" s="191" t="s">
        <v>120</v>
      </c>
      <c r="C393" s="191">
        <v>2028</v>
      </c>
      <c r="D393" s="208">
        <f>Population!M13</f>
        <v>149340.04068062943</v>
      </c>
      <c r="E393" s="209" t="str">
        <f t="shared" si="44"/>
        <v>Medium</v>
      </c>
      <c r="F393" s="208"/>
      <c r="G393" s="210">
        <f>Variables!$C$3*POWER(SUM(1,Variables!$C$2/100),C393-2017)</f>
        <v>13885.732994644701</v>
      </c>
      <c r="H393" s="210">
        <f t="shared" si="39"/>
        <v>340.53840376009839</v>
      </c>
      <c r="I393" s="211">
        <f>VLOOKUP(B393,'Waste per capita'!$B$2:$F$48,4,FALSE)*(H393/Variables!$C$6)</f>
        <v>289.03733437286945</v>
      </c>
      <c r="J393" s="210">
        <f t="shared" si="40"/>
        <v>43164.847273465013</v>
      </c>
      <c r="K393" s="212">
        <f>Variables!$C$13</f>
        <v>1</v>
      </c>
      <c r="L393" s="213">
        <f t="shared" si="41"/>
        <v>43164.847273465013</v>
      </c>
      <c r="N393" s="215">
        <f>IF(D393&gt;1500000,Budgeting!$B$13,(IF(D393&gt;500000,Budgeting!$C$13,Budgeting!$D$13)))</f>
        <v>26.27408568212417</v>
      </c>
      <c r="O393" s="216">
        <f t="shared" si="42"/>
        <v>1134116.8957188237</v>
      </c>
      <c r="P393" s="217">
        <f>IF(D393&gt;1500000,Budgeting!$B$15,(IF(D393&gt;500000,Budgeting!$C$15,Budgeting!$D$15)))</f>
        <v>7.6279603593263765</v>
      </c>
      <c r="Q393" s="218">
        <f t="shared" si="43"/>
        <v>329259.74391836836</v>
      </c>
    </row>
    <row r="394" spans="1:17">
      <c r="A394" s="222">
        <v>13</v>
      </c>
      <c r="B394" s="191" t="s">
        <v>121</v>
      </c>
      <c r="C394" s="191">
        <v>2028</v>
      </c>
      <c r="D394" s="208">
        <f>Population!M14</f>
        <v>10024587.603987142</v>
      </c>
      <c r="E394" s="209" t="str">
        <f t="shared" si="44"/>
        <v>Large</v>
      </c>
      <c r="F394" s="208"/>
      <c r="G394" s="210">
        <f>Variables!$C$3*POWER(SUM(1,Variables!$C$2/100),C394-2017)</f>
        <v>13885.732994644701</v>
      </c>
      <c r="H394" s="210">
        <f t="shared" si="39"/>
        <v>340.53840376009839</v>
      </c>
      <c r="I394" s="211">
        <f>VLOOKUP(B394,'Waste per capita'!$B$2:$F$48,4,FALSE)*(H394/Variables!$C$6)</f>
        <v>374.2515285704485</v>
      </c>
      <c r="J394" s="210">
        <f t="shared" si="40"/>
        <v>3751717.2340805577</v>
      </c>
      <c r="K394" s="212">
        <f>Variables!$C$13</f>
        <v>1</v>
      </c>
      <c r="L394" s="213">
        <f t="shared" si="41"/>
        <v>3751717.2340805577</v>
      </c>
      <c r="N394" s="215">
        <f>IF(D394&gt;1500000,Budgeting!$B$13,(IF(D394&gt;500000,Budgeting!$C$13,Budgeting!$D$13)))</f>
        <v>25.956254000485576</v>
      </c>
      <c r="O394" s="216">
        <f t="shared" si="42"/>
        <v>97380525.465794161</v>
      </c>
      <c r="P394" s="217">
        <f>IF(D394&gt;1500000,Budgeting!$B$15,(IF(D394&gt;500000,Budgeting!$C$15,Budgeting!$D$15)))</f>
        <v>3.7080362857836535</v>
      </c>
      <c r="Q394" s="218">
        <f t="shared" si="43"/>
        <v>13911503.637970593</v>
      </c>
    </row>
    <row r="395" spans="1:17">
      <c r="A395" s="222">
        <v>14</v>
      </c>
      <c r="B395" s="191" t="s">
        <v>122</v>
      </c>
      <c r="C395" s="191">
        <v>2028</v>
      </c>
      <c r="D395" s="208">
        <f>Population!M15</f>
        <v>399451.77325144171</v>
      </c>
      <c r="E395" s="209" t="str">
        <f t="shared" si="44"/>
        <v>Medium</v>
      </c>
      <c r="F395" s="208"/>
      <c r="G395" s="210">
        <f>Variables!$C$3*POWER(SUM(1,Variables!$C$2/100),C395-2017)</f>
        <v>13885.732994644701</v>
      </c>
      <c r="H395" s="210">
        <f t="shared" si="39"/>
        <v>340.53840376009839</v>
      </c>
      <c r="I395" s="211">
        <f>VLOOKUP(B395,'Waste per capita'!$B$2:$F$48,4,FALSE)*(H395/Variables!$C$6)</f>
        <v>124.94243338428818</v>
      </c>
      <c r="J395" s="210">
        <f t="shared" si="40"/>
        <v>49908.476569704042</v>
      </c>
      <c r="K395" s="212">
        <f>Variables!$C$13</f>
        <v>1</v>
      </c>
      <c r="L395" s="213">
        <f t="shared" si="41"/>
        <v>49908.476569704042</v>
      </c>
      <c r="N395" s="215">
        <f>IF(D395&gt;1500000,Budgeting!$B$13,(IF(D395&gt;500000,Budgeting!$C$13,Budgeting!$D$13)))</f>
        <v>26.27408568212417</v>
      </c>
      <c r="O395" s="216">
        <f t="shared" si="42"/>
        <v>1311299.5896566906</v>
      </c>
      <c r="P395" s="217">
        <f>IF(D395&gt;1500000,Budgeting!$B$15,(IF(D395&gt;500000,Budgeting!$C$15,Budgeting!$D$15)))</f>
        <v>7.6279603593263765</v>
      </c>
      <c r="Q395" s="218">
        <f t="shared" si="43"/>
        <v>380699.88086807169</v>
      </c>
    </row>
    <row r="396" spans="1:17">
      <c r="A396" s="222">
        <v>15</v>
      </c>
      <c r="B396" s="191" t="s">
        <v>123</v>
      </c>
      <c r="C396" s="191">
        <v>2028</v>
      </c>
      <c r="D396" s="208">
        <f>Population!M16</f>
        <v>88589.025587725555</v>
      </c>
      <c r="E396" s="209" t="str">
        <f t="shared" si="44"/>
        <v>Small</v>
      </c>
      <c r="F396" s="208"/>
      <c r="G396" s="210">
        <f>Variables!$C$3*POWER(SUM(1,Variables!$C$2/100),C396-2017)</f>
        <v>13885.732994644701</v>
      </c>
      <c r="H396" s="210">
        <f t="shared" si="39"/>
        <v>340.53840376009839</v>
      </c>
      <c r="I396" s="211">
        <f>VLOOKUP(B396,'Waste per capita'!$B$2:$F$48,4,FALSE)*(H396/Variables!$C$6)</f>
        <v>223.39937397743694</v>
      </c>
      <c r="J396" s="210">
        <f t="shared" si="40"/>
        <v>19790.73285756903</v>
      </c>
      <c r="K396" s="212">
        <f>Variables!$C$13</f>
        <v>1</v>
      </c>
      <c r="L396" s="213">
        <f t="shared" si="41"/>
        <v>19790.73285756903</v>
      </c>
      <c r="N396" s="215">
        <f>IF(D396&gt;1500000,Budgeting!$B$13,(IF(D396&gt;500000,Budgeting!$C$13,Budgeting!$D$13)))</f>
        <v>26.27408568212417</v>
      </c>
      <c r="O396" s="216">
        <f t="shared" si="42"/>
        <v>519983.41081179882</v>
      </c>
      <c r="P396" s="217">
        <f>IF(D396&gt;1500000,Budgeting!$B$15,(IF(D396&gt;500000,Budgeting!$C$15,Budgeting!$D$15)))</f>
        <v>7.6279603593263765</v>
      </c>
      <c r="Q396" s="218">
        <f t="shared" si="43"/>
        <v>150962.92571955459</v>
      </c>
    </row>
    <row r="397" spans="1:17">
      <c r="A397" s="222">
        <v>16</v>
      </c>
      <c r="B397" s="191" t="s">
        <v>124</v>
      </c>
      <c r="C397" s="191">
        <v>2028</v>
      </c>
      <c r="D397" s="208">
        <f>Population!M17</f>
        <v>4536167.6239936603</v>
      </c>
      <c r="E397" s="209" t="str">
        <f t="shared" si="44"/>
        <v>Large</v>
      </c>
      <c r="F397" s="208"/>
      <c r="G397" s="210">
        <f>Variables!$C$3*POWER(SUM(1,Variables!$C$2/100),C397-2017)</f>
        <v>13885.732994644701</v>
      </c>
      <c r="H397" s="210">
        <f t="shared" si="39"/>
        <v>340.53840376009839</v>
      </c>
      <c r="I397" s="211">
        <f>VLOOKUP(B397,'Waste per capita'!$B$2:$F$48,4,FALSE)*(H397/Variables!$C$6)</f>
        <v>256.21835417515319</v>
      </c>
      <c r="J397" s="210">
        <f t="shared" si="40"/>
        <v>1162249.4028822707</v>
      </c>
      <c r="K397" s="212">
        <f>Variables!$C$13</f>
        <v>1</v>
      </c>
      <c r="L397" s="213">
        <f t="shared" si="41"/>
        <v>1162249.4028822707</v>
      </c>
      <c r="N397" s="215">
        <f>IF(D397&gt;1500000,Budgeting!$B$13,(IF(D397&gt;500000,Budgeting!$C$13,Budgeting!$D$13)))</f>
        <v>25.956254000485576</v>
      </c>
      <c r="O397" s="216">
        <f t="shared" si="42"/>
        <v>30167640.713124912</v>
      </c>
      <c r="P397" s="217">
        <f>IF(D397&gt;1500000,Budgeting!$B$15,(IF(D397&gt;500000,Budgeting!$C$15,Budgeting!$D$15)))</f>
        <v>3.7080362857836535</v>
      </c>
      <c r="Q397" s="218">
        <f t="shared" si="43"/>
        <v>4309662.9590178439</v>
      </c>
    </row>
    <row r="398" spans="1:17">
      <c r="A398" s="222">
        <v>17</v>
      </c>
      <c r="B398" s="191" t="s">
        <v>125</v>
      </c>
      <c r="C398" s="191">
        <v>2028</v>
      </c>
      <c r="D398" s="208">
        <f>Population!M18</f>
        <v>16693.275791534772</v>
      </c>
      <c r="E398" s="209" t="str">
        <f t="shared" si="44"/>
        <v>Small</v>
      </c>
      <c r="F398" s="208"/>
      <c r="G398" s="210">
        <f>Variables!$C$3*POWER(SUM(1,Variables!$C$2/100),C398-2017)</f>
        <v>13885.732994644701</v>
      </c>
      <c r="H398" s="210">
        <f t="shared" si="39"/>
        <v>340.53840376009839</v>
      </c>
      <c r="I398" s="211">
        <f>VLOOKUP(B398,'Waste per capita'!$B$2:$F$48,4,FALSE)*(H398/Variables!$C$6)</f>
        <v>197.18204877262832</v>
      </c>
      <c r="J398" s="210">
        <f t="shared" si="40"/>
        <v>3291.6143213013452</v>
      </c>
      <c r="K398" s="212">
        <f>Variables!$C$13</f>
        <v>1</v>
      </c>
      <c r="L398" s="213">
        <f t="shared" si="41"/>
        <v>3291.6143213013452</v>
      </c>
      <c r="N398" s="215">
        <f>IF(D398&gt;1500000,Budgeting!$B$13,(IF(D398&gt;500000,Budgeting!$C$13,Budgeting!$D$13)))</f>
        <v>26.27408568212417</v>
      </c>
      <c r="O398" s="216">
        <f t="shared" si="42"/>
        <v>86484.156710378535</v>
      </c>
      <c r="P398" s="217">
        <f>IF(D398&gt;1500000,Budgeting!$B$15,(IF(D398&gt;500000,Budgeting!$C$15,Budgeting!$D$15)))</f>
        <v>7.6279603593263765</v>
      </c>
      <c r="Q398" s="218">
        <f t="shared" si="43"/>
        <v>25108.303561077657</v>
      </c>
    </row>
    <row r="399" spans="1:17">
      <c r="A399" s="222">
        <v>18</v>
      </c>
      <c r="B399" s="191" t="s">
        <v>126</v>
      </c>
      <c r="C399" s="191">
        <v>2028</v>
      </c>
      <c r="D399" s="208">
        <f>Population!M19</f>
        <v>147483.0812772357</v>
      </c>
      <c r="E399" s="209" t="str">
        <f t="shared" si="44"/>
        <v>Medium</v>
      </c>
      <c r="F399" s="208"/>
      <c r="G399" s="210">
        <f>Variables!$C$3*POWER(SUM(1,Variables!$C$2/100),C399-2017)</f>
        <v>13885.732994644701</v>
      </c>
      <c r="H399" s="210">
        <f t="shared" si="39"/>
        <v>340.53840376009839</v>
      </c>
      <c r="I399" s="211">
        <f>VLOOKUP(B399,'Waste per capita'!$B$2:$F$48,4,FALSE)*(H399/Variables!$C$6)</f>
        <v>111.69968698871847</v>
      </c>
      <c r="J399" s="210">
        <f t="shared" si="40"/>
        <v>16473.814014798951</v>
      </c>
      <c r="K399" s="212">
        <f>Variables!$C$13</f>
        <v>1</v>
      </c>
      <c r="L399" s="213">
        <f t="shared" si="41"/>
        <v>16473.814014798951</v>
      </c>
      <c r="N399" s="215">
        <f>IF(D399&gt;1500000,Budgeting!$B$13,(IF(D399&gt;500000,Budgeting!$C$13,Budgeting!$D$13)))</f>
        <v>26.27408568212417</v>
      </c>
      <c r="O399" s="216">
        <f t="shared" si="42"/>
        <v>432834.40093620558</v>
      </c>
      <c r="P399" s="217">
        <f>IF(D399&gt;1500000,Budgeting!$B$15,(IF(D399&gt;500000,Budgeting!$C$15,Budgeting!$D$15)))</f>
        <v>7.6279603593263765</v>
      </c>
      <c r="Q399" s="218">
        <f t="shared" si="43"/>
        <v>125661.6002718017</v>
      </c>
    </row>
    <row r="400" spans="1:17">
      <c r="A400" s="222">
        <v>19</v>
      </c>
      <c r="B400" s="191" t="s">
        <v>127</v>
      </c>
      <c r="C400" s="191">
        <v>2028</v>
      </c>
      <c r="D400" s="208">
        <f>Population!M20</f>
        <v>6696213.4783353843</v>
      </c>
      <c r="E400" s="209" t="str">
        <f t="shared" si="44"/>
        <v>Large</v>
      </c>
      <c r="F400" s="208"/>
      <c r="G400" s="210">
        <f>Variables!$C$3*POWER(SUM(1,Variables!$C$2/100),C400-2017)</f>
        <v>13885.732994644701</v>
      </c>
      <c r="H400" s="210">
        <f t="shared" si="39"/>
        <v>340.53840376009839</v>
      </c>
      <c r="I400" s="211">
        <f>VLOOKUP(B400,'Waste per capita'!$B$2:$F$48,4,FALSE)*(H400/Variables!$C$6)</f>
        <v>381.16078755944142</v>
      </c>
      <c r="J400" s="210">
        <f t="shared" si="40"/>
        <v>2552334.003068462</v>
      </c>
      <c r="K400" s="212">
        <f>Variables!$C$13</f>
        <v>1</v>
      </c>
      <c r="L400" s="213">
        <f t="shared" si="41"/>
        <v>2552334.003068462</v>
      </c>
      <c r="N400" s="215">
        <f>IF(D400&gt;1500000,Budgeting!$B$13,(IF(D400&gt;500000,Budgeting!$C$13,Budgeting!$D$13)))</f>
        <v>25.956254000485576</v>
      </c>
      <c r="O400" s="216">
        <f t="shared" si="42"/>
        <v>66249029.677721128</v>
      </c>
      <c r="P400" s="217">
        <f>IF(D400&gt;1500000,Budgeting!$B$15,(IF(D400&gt;500000,Budgeting!$C$15,Budgeting!$D$15)))</f>
        <v>3.7080362857836535</v>
      </c>
      <c r="Q400" s="218">
        <f t="shared" si="43"/>
        <v>9464147.0968173034</v>
      </c>
    </row>
    <row r="401" spans="1:17">
      <c r="A401" s="222">
        <v>20</v>
      </c>
      <c r="B401" s="191" t="s">
        <v>128</v>
      </c>
      <c r="C401" s="191">
        <v>2028</v>
      </c>
      <c r="D401" s="208">
        <f>Population!M21</f>
        <v>4195067.8589394791</v>
      </c>
      <c r="E401" s="209" t="str">
        <f t="shared" si="44"/>
        <v>Large</v>
      </c>
      <c r="F401" s="208"/>
      <c r="G401" s="210">
        <f>Variables!$C$3*POWER(SUM(1,Variables!$C$2/100),C401-2017)</f>
        <v>13885.732994644701</v>
      </c>
      <c r="H401" s="210">
        <f t="shared" si="39"/>
        <v>340.53840376009839</v>
      </c>
      <c r="I401" s="211">
        <f>VLOOKUP(B401,'Waste per capita'!$B$2:$F$48,4,FALSE)*(H401/Variables!$C$6)</f>
        <v>144.51866718643473</v>
      </c>
      <c r="J401" s="210">
        <f t="shared" si="40"/>
        <v>606265.6157305839</v>
      </c>
      <c r="K401" s="212">
        <f>Variables!$C$13</f>
        <v>1</v>
      </c>
      <c r="L401" s="213">
        <f t="shared" si="41"/>
        <v>606265.6157305839</v>
      </c>
      <c r="N401" s="215">
        <f>IF(D401&gt;1500000,Budgeting!$B$13,(IF(D401&gt;500000,Budgeting!$C$13,Budgeting!$D$13)))</f>
        <v>25.956254000485576</v>
      </c>
      <c r="O401" s="216">
        <f t="shared" si="42"/>
        <v>15736384.31366382</v>
      </c>
      <c r="P401" s="217">
        <f>IF(D401&gt;1500000,Budgeting!$B$15,(IF(D401&gt;500000,Budgeting!$C$15,Budgeting!$D$15)))</f>
        <v>3.7080362857836535</v>
      </c>
      <c r="Q401" s="218">
        <f t="shared" si="43"/>
        <v>2248054.9019519743</v>
      </c>
    </row>
    <row r="402" spans="1:17">
      <c r="A402" s="222">
        <v>21</v>
      </c>
      <c r="B402" s="222" t="s">
        <v>129</v>
      </c>
      <c r="C402" s="191">
        <v>2028</v>
      </c>
      <c r="D402" s="208">
        <f>Population!M22</f>
        <v>18528453.522760559</v>
      </c>
      <c r="E402" s="209" t="str">
        <f t="shared" si="44"/>
        <v>Large</v>
      </c>
      <c r="F402" s="208"/>
      <c r="G402" s="210">
        <f>Variables!$C$3*POWER(SUM(1,Variables!$C$2/100),C402-2017)</f>
        <v>13885.732994644701</v>
      </c>
      <c r="H402" s="210">
        <f t="shared" si="39"/>
        <v>340.53840376009839</v>
      </c>
      <c r="I402" s="211">
        <f>VLOOKUP(B402,'Waste per capita'!$B$2:$F$48,4,FALSE)*(H402/Variables!$C$6)</f>
        <v>295.94659336186237</v>
      </c>
      <c r="J402" s="210">
        <f t="shared" si="40"/>
        <v>5483432.7003245857</v>
      </c>
      <c r="K402" s="212">
        <f>Variables!$C$13</f>
        <v>1</v>
      </c>
      <c r="L402" s="213">
        <f t="shared" si="41"/>
        <v>5483432.7003245857</v>
      </c>
      <c r="N402" s="215">
        <f>IF(D402&gt;1500000,Budgeting!$B$13,(IF(D402&gt;500000,Budgeting!$C$13,Budgeting!$D$13)))</f>
        <v>25.956254000485576</v>
      </c>
      <c r="O402" s="216">
        <f t="shared" si="42"/>
        <v>142329371.96419346</v>
      </c>
      <c r="P402" s="217">
        <f>IF(D402&gt;1500000,Budgeting!$B$15,(IF(D402&gt;500000,Budgeting!$C$15,Budgeting!$D$15)))</f>
        <v>3.7080362857836535</v>
      </c>
      <c r="Q402" s="218">
        <f t="shared" si="43"/>
        <v>20332767.423456207</v>
      </c>
    </row>
    <row r="403" spans="1:17">
      <c r="A403" s="222">
        <v>22</v>
      </c>
      <c r="B403" s="191" t="s">
        <v>130</v>
      </c>
      <c r="C403" s="191">
        <v>2028</v>
      </c>
      <c r="D403" s="208">
        <f>Population!M23</f>
        <v>16432013.367694823</v>
      </c>
      <c r="E403" s="209" t="str">
        <f t="shared" si="44"/>
        <v>Large</v>
      </c>
      <c r="F403" s="208"/>
      <c r="G403" s="210">
        <f>Variables!$C$3*POWER(SUM(1,Variables!$C$2/100),C403-2017)</f>
        <v>13885.732994644701</v>
      </c>
      <c r="H403" s="210">
        <f t="shared" si="39"/>
        <v>340.53840376009839</v>
      </c>
      <c r="I403" s="211">
        <f>VLOOKUP(B403,'Waste per capita'!$B$2:$F$48,4,FALSE)*(H403/Variables!$C$6)</f>
        <v>374.2515285704485</v>
      </c>
      <c r="J403" s="210">
        <f t="shared" si="40"/>
        <v>6149706.1203498309</v>
      </c>
      <c r="K403" s="212">
        <f>Variables!$C$13</f>
        <v>1</v>
      </c>
      <c r="L403" s="213">
        <f t="shared" si="41"/>
        <v>6149706.1203498309</v>
      </c>
      <c r="N403" s="215">
        <f>IF(D403&gt;1500000,Budgeting!$B$13,(IF(D403&gt;500000,Budgeting!$C$13,Budgeting!$D$13)))</f>
        <v>25.956254000485576</v>
      </c>
      <c r="O403" s="216">
        <f t="shared" si="42"/>
        <v>159623334.08814093</v>
      </c>
      <c r="P403" s="217">
        <f>IF(D403&gt;1500000,Budgeting!$B$15,(IF(D403&gt;500000,Budgeting!$C$15,Budgeting!$D$15)))</f>
        <v>3.7080362857836535</v>
      </c>
      <c r="Q403" s="218">
        <f t="shared" si="43"/>
        <v>22803333.441162989</v>
      </c>
    </row>
    <row r="404" spans="1:17">
      <c r="A404" s="222">
        <v>23</v>
      </c>
      <c r="B404" s="191" t="s">
        <v>131</v>
      </c>
      <c r="C404" s="191">
        <v>2028</v>
      </c>
      <c r="D404" s="208">
        <f>Population!M24</f>
        <v>59590.973893831127</v>
      </c>
      <c r="E404" s="209" t="str">
        <f t="shared" si="44"/>
        <v>Small</v>
      </c>
      <c r="F404" s="208"/>
      <c r="G404" s="210">
        <f>Variables!$C$3*POWER(SUM(1,Variables!$C$2/100),C404-2017)</f>
        <v>13885.732994644701</v>
      </c>
      <c r="H404" s="210">
        <f t="shared" si="39"/>
        <v>340.53840376009839</v>
      </c>
      <c r="I404" s="211">
        <f>VLOOKUP(B404,'Waste per capita'!$B$2:$F$48,4,FALSE)*(H404/Variables!$C$6)</f>
        <v>354.67529476830191</v>
      </c>
      <c r="J404" s="210">
        <f t="shared" si="40"/>
        <v>21135.446231324739</v>
      </c>
      <c r="K404" s="212">
        <f>Variables!$C$13</f>
        <v>1</v>
      </c>
      <c r="L404" s="213">
        <f t="shared" si="41"/>
        <v>21135.446231324739</v>
      </c>
      <c r="N404" s="215">
        <f>IF(D404&gt;1500000,Budgeting!$B$13,(IF(D404&gt;500000,Budgeting!$C$13,Budgeting!$D$13)))</f>
        <v>26.27408568212417</v>
      </c>
      <c r="O404" s="216">
        <f t="shared" si="42"/>
        <v>555314.5252117546</v>
      </c>
      <c r="P404" s="217">
        <f>IF(D404&gt;1500000,Budgeting!$B$15,(IF(D404&gt;500000,Budgeting!$C$15,Budgeting!$D$15)))</f>
        <v>7.6279603593263765</v>
      </c>
      <c r="Q404" s="218">
        <f t="shared" si="43"/>
        <v>161220.34602921916</v>
      </c>
    </row>
    <row r="405" spans="1:17">
      <c r="A405" s="222">
        <v>24</v>
      </c>
      <c r="B405" s="191" t="s">
        <v>132</v>
      </c>
      <c r="C405" s="191">
        <v>2028</v>
      </c>
      <c r="D405" s="208">
        <f>Population!M25</f>
        <v>2508044.8117903904</v>
      </c>
      <c r="E405" s="209" t="str">
        <f t="shared" si="44"/>
        <v>Large</v>
      </c>
      <c r="F405" s="208"/>
      <c r="G405" s="210">
        <f>Variables!$C$3*POWER(SUM(1,Variables!$C$2/100),C405-2017)</f>
        <v>13885.732994644701</v>
      </c>
      <c r="H405" s="210">
        <f t="shared" si="39"/>
        <v>340.53840376009839</v>
      </c>
      <c r="I405" s="211">
        <f>VLOOKUP(B405,'Waste per capita'!$B$2:$F$48,4,FALSE)*(H405/Variables!$C$6)</f>
        <v>242.9756077795835</v>
      </c>
      <c r="J405" s="210">
        <f t="shared" si="40"/>
        <v>609393.71248320129</v>
      </c>
      <c r="K405" s="212">
        <f>Variables!$C$13</f>
        <v>1</v>
      </c>
      <c r="L405" s="213">
        <f t="shared" si="41"/>
        <v>609393.71248320129</v>
      </c>
      <c r="N405" s="215">
        <f>IF(D405&gt;1500000,Budgeting!$B$13,(IF(D405&gt;500000,Budgeting!$C$13,Budgeting!$D$13)))</f>
        <v>25.956254000485576</v>
      </c>
      <c r="O405" s="216">
        <f t="shared" si="42"/>
        <v>15817577.987512849</v>
      </c>
      <c r="P405" s="217">
        <f>IF(D405&gt;1500000,Budgeting!$B$15,(IF(D405&gt;500000,Budgeting!$C$15,Budgeting!$D$15)))</f>
        <v>3.7080362857836535</v>
      </c>
      <c r="Q405" s="218">
        <f t="shared" si="43"/>
        <v>2259653.9982161215</v>
      </c>
    </row>
    <row r="406" spans="1:17">
      <c r="A406" s="222">
        <v>25</v>
      </c>
      <c r="B406" s="191" t="s">
        <v>133</v>
      </c>
      <c r="C406" s="191">
        <v>2028</v>
      </c>
      <c r="D406" s="208">
        <f>Population!M26</f>
        <v>360034.19874636363</v>
      </c>
      <c r="E406" s="209" t="str">
        <f t="shared" si="44"/>
        <v>Medium</v>
      </c>
      <c r="F406" s="208"/>
      <c r="G406" s="210">
        <f>Variables!$C$3*POWER(SUM(1,Variables!$C$2/100),C406-2017)</f>
        <v>13885.732994644701</v>
      </c>
      <c r="H406" s="210">
        <f t="shared" si="39"/>
        <v>340.53840376009839</v>
      </c>
      <c r="I406" s="211">
        <f>VLOOKUP(B406,'Waste per capita'!$B$2:$F$48,4,FALSE)*(H406/Variables!$C$6)</f>
        <v>387.49427496601822</v>
      </c>
      <c r="J406" s="210">
        <f t="shared" si="40"/>
        <v>139511.19080619348</v>
      </c>
      <c r="K406" s="212">
        <f>Variables!$C$13</f>
        <v>1</v>
      </c>
      <c r="L406" s="213">
        <f t="shared" si="41"/>
        <v>139511.19080619348</v>
      </c>
      <c r="N406" s="215">
        <f>IF(D406&gt;1500000,Budgeting!$B$13,(IF(D406&gt;500000,Budgeting!$C$13,Budgeting!$D$13)))</f>
        <v>26.27408568212417</v>
      </c>
      <c r="O406" s="216">
        <f t="shared" si="42"/>
        <v>3665528.9808571013</v>
      </c>
      <c r="P406" s="217">
        <f>IF(D406&gt;1500000,Budgeting!$B$15,(IF(D406&gt;500000,Budgeting!$C$15,Budgeting!$D$15)))</f>
        <v>7.6279603593263765</v>
      </c>
      <c r="Q406" s="218">
        <f t="shared" si="43"/>
        <v>1064185.8331520623</v>
      </c>
    </row>
    <row r="407" spans="1:17">
      <c r="A407" s="222">
        <v>26</v>
      </c>
      <c r="B407" s="191" t="s">
        <v>134</v>
      </c>
      <c r="C407" s="191">
        <v>2028</v>
      </c>
      <c r="D407" s="208">
        <f>Population!M27</f>
        <v>149191.126534407</v>
      </c>
      <c r="E407" s="209" t="str">
        <f t="shared" si="44"/>
        <v>Medium</v>
      </c>
      <c r="F407" s="208"/>
      <c r="G407" s="210">
        <f>Variables!$C$3*POWER(SUM(1,Variables!$C$2/100),C407-2017)</f>
        <v>13885.732994644701</v>
      </c>
      <c r="H407" s="210">
        <f t="shared" si="39"/>
        <v>340.53840376009839</v>
      </c>
      <c r="I407" s="211">
        <f>VLOOKUP(B407,'Waste per capita'!$B$2:$F$48,4,FALSE)*(H407/Variables!$C$6)</f>
        <v>499.19396195473666</v>
      </c>
      <c r="J407" s="210">
        <f t="shared" si="40"/>
        <v>74475.309543201074</v>
      </c>
      <c r="K407" s="212">
        <f>Variables!$C$13</f>
        <v>1</v>
      </c>
      <c r="L407" s="213">
        <f t="shared" si="41"/>
        <v>74475.309543201074</v>
      </c>
      <c r="N407" s="215">
        <f>IF(D407&gt;1500000,Budgeting!$B$13,(IF(D407&gt;500000,Budgeting!$C$13,Budgeting!$D$13)))</f>
        <v>26.27408568212417</v>
      </c>
      <c r="O407" s="216">
        <f t="shared" si="42"/>
        <v>1956770.6641407849</v>
      </c>
      <c r="P407" s="217">
        <f>IF(D407&gt;1500000,Budgeting!$B$15,(IF(D407&gt;500000,Budgeting!$C$15,Budgeting!$D$15)))</f>
        <v>7.6279603593263765</v>
      </c>
      <c r="Q407" s="218">
        <f t="shared" si="43"/>
        <v>568094.70894409914</v>
      </c>
    </row>
    <row r="408" spans="1:17">
      <c r="A408" s="222">
        <v>27</v>
      </c>
      <c r="B408" s="191" t="s">
        <v>135</v>
      </c>
      <c r="C408" s="191">
        <v>2028</v>
      </c>
      <c r="D408" s="208">
        <f>Population!M28</f>
        <v>1504677.6750997193</v>
      </c>
      <c r="E408" s="209" t="str">
        <f t="shared" si="44"/>
        <v>Large</v>
      </c>
      <c r="F408" s="208"/>
      <c r="G408" s="210">
        <f>Variables!$C$3*POWER(SUM(1,Variables!$C$2/100),C408-2017)</f>
        <v>13885.732994644701</v>
      </c>
      <c r="H408" s="210">
        <f t="shared" si="39"/>
        <v>340.53840376009839</v>
      </c>
      <c r="I408" s="211">
        <f>VLOOKUP(B408,'Waste per capita'!$B$2:$F$48,4,FALSE)*(H408/Variables!$C$6)</f>
        <v>196.91388118629752</v>
      </c>
      <c r="J408" s="210">
        <f t="shared" si="40"/>
        <v>296291.9209382605</v>
      </c>
      <c r="K408" s="212">
        <f>Variables!$C$13</f>
        <v>1</v>
      </c>
      <c r="L408" s="213">
        <f t="shared" si="41"/>
        <v>296291.9209382605</v>
      </c>
      <c r="N408" s="215">
        <f>IF(D408&gt;1500000,Budgeting!$B$13,(IF(D408&gt;500000,Budgeting!$C$13,Budgeting!$D$13)))</f>
        <v>25.956254000485576</v>
      </c>
      <c r="O408" s="216">
        <f t="shared" si="42"/>
        <v>7690628.35816528</v>
      </c>
      <c r="P408" s="217">
        <f>IF(D408&gt;1500000,Budgeting!$B$15,(IF(D408&gt;500000,Budgeting!$C$15,Budgeting!$D$15)))</f>
        <v>3.7080362857836535</v>
      </c>
      <c r="Q408" s="218">
        <f t="shared" si="43"/>
        <v>1098661.1940236115</v>
      </c>
    </row>
    <row r="409" spans="1:17">
      <c r="A409" s="222">
        <v>28</v>
      </c>
      <c r="B409" s="191" t="s">
        <v>136</v>
      </c>
      <c r="C409" s="191">
        <v>2028</v>
      </c>
      <c r="D409" s="208">
        <f>Population!M29</f>
        <v>1598484.652371079</v>
      </c>
      <c r="E409" s="209" t="str">
        <f t="shared" si="44"/>
        <v>Large</v>
      </c>
      <c r="F409" s="208"/>
      <c r="G409" s="210">
        <f>Variables!$C$3*POWER(SUM(1,Variables!$C$2/100),C409-2017)</f>
        <v>13885.732994644701</v>
      </c>
      <c r="H409" s="210">
        <f t="shared" si="39"/>
        <v>340.53840376009839</v>
      </c>
      <c r="I409" s="211">
        <f>VLOOKUP(B409,'Waste per capita'!$B$2:$F$48,4,FALSE)*(H409/Variables!$C$6)</f>
        <v>164.09490098858126</v>
      </c>
      <c r="J409" s="210">
        <f t="shared" si="40"/>
        <v>262303.18076259893</v>
      </c>
      <c r="K409" s="212">
        <f>Variables!$C$13</f>
        <v>1</v>
      </c>
      <c r="L409" s="213">
        <f t="shared" si="41"/>
        <v>262303.18076259893</v>
      </c>
      <c r="N409" s="215">
        <f>IF(D409&gt;1500000,Budgeting!$B$13,(IF(D409&gt;500000,Budgeting!$C$13,Budgeting!$D$13)))</f>
        <v>25.956254000485576</v>
      </c>
      <c r="O409" s="216">
        <f t="shared" si="42"/>
        <v>6808407.9850092996</v>
      </c>
      <c r="P409" s="217">
        <f>IF(D409&gt;1500000,Budgeting!$B$15,(IF(D409&gt;500000,Budgeting!$C$15,Budgeting!$D$15)))</f>
        <v>3.7080362857836535</v>
      </c>
      <c r="Q409" s="218">
        <f t="shared" si="43"/>
        <v>972629.71214418567</v>
      </c>
    </row>
    <row r="410" spans="1:17">
      <c r="A410" s="222">
        <v>29</v>
      </c>
      <c r="B410" s="191" t="s">
        <v>137</v>
      </c>
      <c r="C410" s="191">
        <v>2028</v>
      </c>
      <c r="D410" s="208">
        <f>Population!M30</f>
        <v>213288.24249292898</v>
      </c>
      <c r="E410" s="209" t="str">
        <f t="shared" si="44"/>
        <v>Medium</v>
      </c>
      <c r="F410" s="208"/>
      <c r="G410" s="210">
        <f>Variables!$C$3*POWER(SUM(1,Variables!$C$2/100),C410-2017)</f>
        <v>13885.732994644701</v>
      </c>
      <c r="H410" s="210">
        <f t="shared" si="39"/>
        <v>340.53840376009839</v>
      </c>
      <c r="I410" s="211">
        <f>VLOOKUP(B410,'Waste per capita'!$B$2:$F$48,4,FALSE)*(H410/Variables!$C$6)</f>
        <v>223.39937397743694</v>
      </c>
      <c r="J410" s="210">
        <f t="shared" si="40"/>
        <v>47648.459849668099</v>
      </c>
      <c r="K410" s="212">
        <f>Variables!$C$13</f>
        <v>1</v>
      </c>
      <c r="L410" s="213">
        <f t="shared" si="41"/>
        <v>47648.459849668099</v>
      </c>
      <c r="N410" s="215">
        <f>IF(D410&gt;1500000,Budgeting!$B$13,(IF(D410&gt;500000,Budgeting!$C$13,Budgeting!$D$13)))</f>
        <v>26.27408568212417</v>
      </c>
      <c r="O410" s="216">
        <f t="shared" si="42"/>
        <v>1251919.7167114329</v>
      </c>
      <c r="P410" s="217">
        <f>IF(D410&gt;1500000,Budgeting!$B$15,(IF(D410&gt;500000,Budgeting!$C$15,Budgeting!$D$15)))</f>
        <v>7.6279603593263765</v>
      </c>
      <c r="Q410" s="218">
        <f t="shared" si="43"/>
        <v>363460.56291622267</v>
      </c>
    </row>
    <row r="411" spans="1:17">
      <c r="A411" s="222">
        <v>30</v>
      </c>
      <c r="B411" s="191" t="s">
        <v>138</v>
      </c>
      <c r="C411" s="191">
        <v>2028</v>
      </c>
      <c r="D411" s="208">
        <f>Population!M31</f>
        <v>146330.48578547407</v>
      </c>
      <c r="E411" s="209" t="str">
        <f t="shared" si="44"/>
        <v>Medium</v>
      </c>
      <c r="F411" s="208"/>
      <c r="G411" s="210">
        <f>Variables!$C$3*POWER(SUM(1,Variables!$C$2/100),C411-2017)</f>
        <v>13885.732994644701</v>
      </c>
      <c r="H411" s="210">
        <f t="shared" si="39"/>
        <v>340.53840376009839</v>
      </c>
      <c r="I411" s="211">
        <f>VLOOKUP(B411,'Waste per capita'!$B$2:$F$48,4,FALSE)*(H411/Variables!$C$6)</f>
        <v>210.15662758186724</v>
      </c>
      <c r="J411" s="210">
        <f t="shared" si="40"/>
        <v>30752.321405091592</v>
      </c>
      <c r="K411" s="212">
        <f>Variables!$C$13</f>
        <v>1</v>
      </c>
      <c r="L411" s="213">
        <f t="shared" si="41"/>
        <v>30752.321405091592</v>
      </c>
      <c r="N411" s="215">
        <f>IF(D411&gt;1500000,Budgeting!$B$13,(IF(D411&gt;500000,Budgeting!$C$13,Budgeting!$D$13)))</f>
        <v>26.27408568212417</v>
      </c>
      <c r="O411" s="216">
        <f t="shared" si="42"/>
        <v>807989.12752159766</v>
      </c>
      <c r="P411" s="217">
        <f>IF(D411&gt;1500000,Budgeting!$B$15,(IF(D411&gt;500000,Budgeting!$C$15,Budgeting!$D$15)))</f>
        <v>7.6279603593263765</v>
      </c>
      <c r="Q411" s="218">
        <f t="shared" si="43"/>
        <v>234577.48863530267</v>
      </c>
    </row>
    <row r="412" spans="1:17">
      <c r="A412" s="222">
        <v>31</v>
      </c>
      <c r="B412" s="191" t="s">
        <v>139</v>
      </c>
      <c r="C412" s="191">
        <v>2028</v>
      </c>
      <c r="D412" s="208">
        <f>Population!M32</f>
        <v>252525.63088107793</v>
      </c>
      <c r="E412" s="209" t="str">
        <f t="shared" si="44"/>
        <v>Medium</v>
      </c>
      <c r="F412" s="208"/>
      <c r="G412" s="210">
        <f>Variables!$C$3*POWER(SUM(1,Variables!$C$2/100),C412-2017)</f>
        <v>13885.732994644701</v>
      </c>
      <c r="H412" s="210">
        <f t="shared" si="39"/>
        <v>340.53840376009839</v>
      </c>
      <c r="I412" s="211">
        <f>VLOOKUP(B412,'Waste per capita'!$B$2:$F$48,4,FALSE)*(H412/Variables!$C$6)</f>
        <v>233.68649291660415</v>
      </c>
      <c r="J412" s="210">
        <f t="shared" si="40"/>
        <v>59011.829052152018</v>
      </c>
      <c r="K412" s="212">
        <f>Variables!$C$13</f>
        <v>1</v>
      </c>
      <c r="L412" s="213">
        <f t="shared" si="41"/>
        <v>59011.829052152018</v>
      </c>
      <c r="N412" s="215">
        <f>IF(D412&gt;1500000,Budgeting!$B$13,(IF(D412&gt;500000,Budgeting!$C$13,Budgeting!$D$13)))</f>
        <v>26.27408568212417</v>
      </c>
      <c r="O412" s="216">
        <f t="shared" si="42"/>
        <v>1550481.8527751064</v>
      </c>
      <c r="P412" s="217">
        <f>IF(D412&gt;1500000,Budgeting!$B$15,(IF(D412&gt;500000,Budgeting!$C$15,Budgeting!$D$15)))</f>
        <v>7.6279603593263765</v>
      </c>
      <c r="Q412" s="218">
        <f t="shared" si="43"/>
        <v>450139.89274116023</v>
      </c>
    </row>
    <row r="413" spans="1:17">
      <c r="A413" s="222">
        <v>32</v>
      </c>
      <c r="B413" s="191" t="s">
        <v>140</v>
      </c>
      <c r="C413" s="191">
        <v>2028</v>
      </c>
      <c r="D413" s="208">
        <f>Population!M33</f>
        <v>1758035.7360581807</v>
      </c>
      <c r="E413" s="209" t="str">
        <f t="shared" si="44"/>
        <v>Large</v>
      </c>
      <c r="F413" s="208"/>
      <c r="G413" s="210">
        <f>Variables!$C$3*POWER(SUM(1,Variables!$C$2/100),C413-2017)</f>
        <v>13885.732994644701</v>
      </c>
      <c r="H413" s="210">
        <f t="shared" si="39"/>
        <v>340.53840376009839</v>
      </c>
      <c r="I413" s="211">
        <f>VLOOKUP(B413,'Waste per capita'!$B$2:$F$48,4,FALSE)*(H413/Variables!$C$6)</f>
        <v>315.5228271640089</v>
      </c>
      <c r="J413" s="210">
        <f t="shared" si="40"/>
        <v>554700.40569643653</v>
      </c>
      <c r="K413" s="212">
        <f>Variables!$C$13</f>
        <v>1</v>
      </c>
      <c r="L413" s="213">
        <f t="shared" si="41"/>
        <v>554700.40569643653</v>
      </c>
      <c r="N413" s="215">
        <f>IF(D413&gt;1500000,Budgeting!$B$13,(IF(D413&gt;500000,Budgeting!$C$13,Budgeting!$D$13)))</f>
        <v>25.956254000485576</v>
      </c>
      <c r="O413" s="216">
        <f t="shared" si="42"/>
        <v>14397944.624429103</v>
      </c>
      <c r="P413" s="217">
        <f>IF(D413&gt;1500000,Budgeting!$B$15,(IF(D413&gt;500000,Budgeting!$C$15,Budgeting!$D$15)))</f>
        <v>3.7080362857836535</v>
      </c>
      <c r="Q413" s="218">
        <f t="shared" si="43"/>
        <v>2056849.2320613002</v>
      </c>
    </row>
    <row r="414" spans="1:17">
      <c r="A414" s="222">
        <v>33</v>
      </c>
      <c r="B414" s="191" t="s">
        <v>141</v>
      </c>
      <c r="C414" s="191">
        <v>2028</v>
      </c>
      <c r="D414" s="208">
        <f>Population!M34</f>
        <v>1107461.1031830763</v>
      </c>
      <c r="E414" s="209" t="str">
        <f t="shared" si="44"/>
        <v>Large</v>
      </c>
      <c r="F414" s="208"/>
      <c r="G414" s="210">
        <f>Variables!$C$3*POWER(SUM(1,Variables!$C$2/100),C414-2017)</f>
        <v>13885.732994644701</v>
      </c>
      <c r="H414" s="210">
        <f t="shared" si="39"/>
        <v>340.53840376009839</v>
      </c>
      <c r="I414" s="211">
        <f>VLOOKUP(B414,'Waste per capita'!$B$2:$F$48,4,FALSE)*(H414/Variables!$C$6)</f>
        <v>150.85215459301156</v>
      </c>
      <c r="J414" s="210">
        <f t="shared" si="40"/>
        <v>167062.89354312053</v>
      </c>
      <c r="K414" s="212">
        <f>Variables!$C$13</f>
        <v>1</v>
      </c>
      <c r="L414" s="213">
        <f t="shared" si="41"/>
        <v>167062.89354312053</v>
      </c>
      <c r="N414" s="215">
        <f>IF(D414&gt;1500000,Budgeting!$B$13,(IF(D414&gt;500000,Budgeting!$C$13,Budgeting!$D$13)))</f>
        <v>26.132827156951464</v>
      </c>
      <c r="O414" s="216">
        <f t="shared" si="42"/>
        <v>4365825.7213025512</v>
      </c>
      <c r="P414" s="217">
        <f>IF(D414&gt;1500000,Budgeting!$B$15,(IF(D414&gt;500000,Budgeting!$C$15,Budgeting!$D$15)))</f>
        <v>2.1188778775906578</v>
      </c>
      <c r="Q414" s="218">
        <f t="shared" si="43"/>
        <v>353985.86929480126</v>
      </c>
    </row>
    <row r="415" spans="1:17">
      <c r="A415" s="222">
        <v>34</v>
      </c>
      <c r="B415" s="191" t="s">
        <v>142</v>
      </c>
      <c r="C415" s="191">
        <v>2028</v>
      </c>
      <c r="D415" s="208">
        <f>Population!M35</f>
        <v>640649.50502937916</v>
      </c>
      <c r="E415" s="209" t="str">
        <f t="shared" si="44"/>
        <v>Medium</v>
      </c>
      <c r="F415" s="208"/>
      <c r="G415" s="210">
        <f>Variables!$C$3*POWER(SUM(1,Variables!$C$2/100),C415-2017)</f>
        <v>13885.732994644701</v>
      </c>
      <c r="H415" s="210">
        <f t="shared" si="39"/>
        <v>340.53840376009839</v>
      </c>
      <c r="I415" s="211">
        <f>VLOOKUP(B415,'Waste per capita'!$B$2:$F$48,4,FALSE)*(H415/Variables!$C$6)</f>
        <v>270.61264373555503</v>
      </c>
      <c r="J415" s="210">
        <f t="shared" si="40"/>
        <v>173367.85626387503</v>
      </c>
      <c r="K415" s="212">
        <f>Variables!$C$13</f>
        <v>1</v>
      </c>
      <c r="L415" s="213">
        <f t="shared" si="41"/>
        <v>173367.85626387503</v>
      </c>
      <c r="N415" s="215">
        <f>IF(D415&gt;1500000,Budgeting!$B$13,(IF(D415&gt;500000,Budgeting!$C$13,Budgeting!$D$13)))</f>
        <v>26.132827156951464</v>
      </c>
      <c r="O415" s="216">
        <f t="shared" si="42"/>
        <v>4530592.2223150516</v>
      </c>
      <c r="P415" s="217">
        <f>IF(D415&gt;1500000,Budgeting!$B$15,(IF(D415&gt;500000,Budgeting!$C$15,Budgeting!$D$15)))</f>
        <v>2.1188778775906578</v>
      </c>
      <c r="Q415" s="218">
        <f t="shared" si="43"/>
        <v>367345.31532284175</v>
      </c>
    </row>
    <row r="416" spans="1:17">
      <c r="A416" s="222">
        <v>35</v>
      </c>
      <c r="B416" s="191" t="s">
        <v>143</v>
      </c>
      <c r="C416" s="191">
        <v>2028</v>
      </c>
      <c r="D416" s="208">
        <f>Population!M36</f>
        <v>272932.82547940017</v>
      </c>
      <c r="E416" s="209" t="str">
        <f t="shared" si="44"/>
        <v>Medium</v>
      </c>
      <c r="F416" s="208"/>
      <c r="G416" s="210">
        <f>Variables!$C$3*POWER(SUM(1,Variables!$C$2/100),C416-2017)</f>
        <v>13885.732994644701</v>
      </c>
      <c r="H416" s="210">
        <f t="shared" si="39"/>
        <v>340.53840376009839</v>
      </c>
      <c r="I416" s="211">
        <f>VLOOKUP(B416,'Waste per capita'!$B$2:$F$48,4,FALSE)*(H416/Variables!$C$6)</f>
        <v>231.46017613126202</v>
      </c>
      <c r="J416" s="210">
        <f t="shared" si="40"/>
        <v>63173.07985746496</v>
      </c>
      <c r="K416" s="212">
        <f>Variables!$C$13</f>
        <v>1</v>
      </c>
      <c r="L416" s="213">
        <f t="shared" si="41"/>
        <v>63173.07985746496</v>
      </c>
      <c r="N416" s="215">
        <f>IF(D416&gt;1500000,Budgeting!$B$13,(IF(D416&gt;500000,Budgeting!$C$13,Budgeting!$D$13)))</f>
        <v>26.27408568212417</v>
      </c>
      <c r="O416" s="216">
        <f t="shared" si="42"/>
        <v>1659814.9129787069</v>
      </c>
      <c r="P416" s="217">
        <f>IF(D416&gt;1500000,Budgeting!$B$15,(IF(D416&gt;500000,Budgeting!$C$15,Budgeting!$D$15)))</f>
        <v>7.6279603593263765</v>
      </c>
      <c r="Q416" s="218">
        <f t="shared" si="43"/>
        <v>481881.74892930227</v>
      </c>
    </row>
    <row r="417" spans="1:17">
      <c r="A417" s="222">
        <v>36</v>
      </c>
      <c r="B417" s="191" t="s">
        <v>144</v>
      </c>
      <c r="C417" s="191">
        <v>2028</v>
      </c>
      <c r="D417" s="208">
        <f>Population!M37</f>
        <v>1749913.9585232092</v>
      </c>
      <c r="E417" s="209" t="str">
        <f t="shared" si="44"/>
        <v>Large</v>
      </c>
      <c r="F417" s="208"/>
      <c r="G417" s="210">
        <f>Variables!$C$3*POWER(SUM(1,Variables!$C$2/100),C417-2017)</f>
        <v>13885.732994644701</v>
      </c>
      <c r="H417" s="210">
        <f t="shared" si="39"/>
        <v>340.53840376009839</v>
      </c>
      <c r="I417" s="211">
        <f>VLOOKUP(B417,'Waste per capita'!$B$2:$F$48,4,FALSE)*(H417/Variables!$C$6)</f>
        <v>328.18980197716252</v>
      </c>
      <c r="J417" s="210">
        <f t="shared" si="40"/>
        <v>574303.91552480462</v>
      </c>
      <c r="K417" s="212">
        <f>Variables!$C$13</f>
        <v>1</v>
      </c>
      <c r="L417" s="213">
        <f t="shared" si="41"/>
        <v>574303.91552480462</v>
      </c>
      <c r="N417" s="215">
        <f>IF(D417&gt;1500000,Budgeting!$B$13,(IF(D417&gt;500000,Budgeting!$C$13,Budgeting!$D$13)))</f>
        <v>25.956254000485576</v>
      </c>
      <c r="O417" s="216">
        <f t="shared" si="42"/>
        <v>14906778.304835239</v>
      </c>
      <c r="P417" s="217">
        <f>IF(D417&gt;1500000,Budgeting!$B$15,(IF(D417&gt;500000,Budgeting!$C$15,Budgeting!$D$15)))</f>
        <v>3.7080362857836535</v>
      </c>
      <c r="Q417" s="218">
        <f t="shared" si="43"/>
        <v>2129539.7578336056</v>
      </c>
    </row>
    <row r="418" spans="1:17">
      <c r="A418" s="222">
        <v>37</v>
      </c>
      <c r="B418" s="191" t="s">
        <v>145</v>
      </c>
      <c r="C418" s="191">
        <v>2028</v>
      </c>
      <c r="D418" s="208">
        <f>Population!M38</f>
        <v>291956.60765931604</v>
      </c>
      <c r="E418" s="209" t="str">
        <f t="shared" si="44"/>
        <v>Medium</v>
      </c>
      <c r="F418" s="208"/>
      <c r="G418" s="210">
        <f>Variables!$C$3*POWER(SUM(1,Variables!$C$2/100),C418-2017)</f>
        <v>13885.732994644701</v>
      </c>
      <c r="H418" s="210">
        <f t="shared" si="39"/>
        <v>340.53840376009839</v>
      </c>
      <c r="I418" s="211">
        <f>VLOOKUP(B418,'Waste per capita'!$B$2:$F$48,4,FALSE)*(H418/Variables!$C$6)</f>
        <v>231.46017613126202</v>
      </c>
      <c r="J418" s="210">
        <f t="shared" si="40"/>
        <v>67576.327831511051</v>
      </c>
      <c r="K418" s="212">
        <f>Variables!$C$13</f>
        <v>1</v>
      </c>
      <c r="L418" s="213">
        <f t="shared" si="41"/>
        <v>67576.327831511051</v>
      </c>
      <c r="N418" s="215">
        <f>IF(D418&gt;1500000,Budgeting!$B$13,(IF(D418&gt;500000,Budgeting!$C$13,Budgeting!$D$13)))</f>
        <v>26.27408568212417</v>
      </c>
      <c r="O418" s="216">
        <f t="shared" si="42"/>
        <v>1775506.2275284335</v>
      </c>
      <c r="P418" s="217">
        <f>IF(D418&gt;1500000,Budgeting!$B$15,(IF(D418&gt;500000,Budgeting!$C$15,Budgeting!$D$15)))</f>
        <v>7.6279603593263765</v>
      </c>
      <c r="Q418" s="218">
        <f t="shared" si="43"/>
        <v>515469.54992761003</v>
      </c>
    </row>
    <row r="419" spans="1:17">
      <c r="A419" s="222">
        <v>38</v>
      </c>
      <c r="B419" s="191" t="s">
        <v>146</v>
      </c>
      <c r="C419" s="191">
        <v>2028</v>
      </c>
      <c r="D419" s="208">
        <f>Population!M39</f>
        <v>1283931.8121639709</v>
      </c>
      <c r="E419" s="209" t="str">
        <f t="shared" si="44"/>
        <v>Large</v>
      </c>
      <c r="F419" s="208"/>
      <c r="G419" s="210">
        <f>Variables!$C$3*POWER(SUM(1,Variables!$C$2/100),C419-2017)</f>
        <v>13885.732994644701</v>
      </c>
      <c r="H419" s="210">
        <f t="shared" si="39"/>
        <v>340.53840376009839</v>
      </c>
      <c r="I419" s="211">
        <f>VLOOKUP(B419,'Waste per capita'!$B$2:$F$48,4,FALSE)*(H419/Variables!$C$6)</f>
        <v>323.8517969041647</v>
      </c>
      <c r="J419" s="210">
        <f t="shared" si="40"/>
        <v>415803.6244717224</v>
      </c>
      <c r="K419" s="212">
        <f>Variables!$C$13</f>
        <v>1</v>
      </c>
      <c r="L419" s="213">
        <f t="shared" si="41"/>
        <v>415803.6244717224</v>
      </c>
      <c r="N419" s="215">
        <f>IF(D419&gt;1500000,Budgeting!$B$13,(IF(D419&gt;500000,Budgeting!$C$13,Budgeting!$D$13)))</f>
        <v>26.132827156951464</v>
      </c>
      <c r="O419" s="216">
        <f t="shared" si="42"/>
        <v>10866124.249553476</v>
      </c>
      <c r="P419" s="217">
        <f>IF(D419&gt;1500000,Budgeting!$B$15,(IF(D419&gt;500000,Budgeting!$C$15,Budgeting!$D$15)))</f>
        <v>2.1188778775906578</v>
      </c>
      <c r="Q419" s="218">
        <f t="shared" si="43"/>
        <v>881037.10131514608</v>
      </c>
    </row>
    <row r="420" spans="1:17">
      <c r="A420" s="222">
        <v>39</v>
      </c>
      <c r="B420" s="191" t="s">
        <v>147</v>
      </c>
      <c r="C420" s="191">
        <v>2028</v>
      </c>
      <c r="D420" s="208">
        <f>Population!M40</f>
        <v>105699.26098868315</v>
      </c>
      <c r="E420" s="209" t="str">
        <f t="shared" si="44"/>
        <v>Medium</v>
      </c>
      <c r="F420" s="208"/>
      <c r="G420" s="210">
        <f>Variables!$C$3*POWER(SUM(1,Variables!$C$2/100),C420-2017)</f>
        <v>13885.732994644701</v>
      </c>
      <c r="H420" s="210">
        <f t="shared" si="39"/>
        <v>340.53840376009839</v>
      </c>
      <c r="I420" s="211">
        <f>VLOOKUP(B420,'Waste per capita'!$B$2:$F$48,4,FALSE)*(H420/Variables!$C$6)</f>
        <v>262.76282637391671</v>
      </c>
      <c r="J420" s="210">
        <f t="shared" si="40"/>
        <v>27773.836563020657</v>
      </c>
      <c r="K420" s="212">
        <f>Variables!$C$13</f>
        <v>1</v>
      </c>
      <c r="L420" s="213">
        <f t="shared" si="41"/>
        <v>27773.836563020657</v>
      </c>
      <c r="N420" s="215">
        <f>IF(D420&gt;1500000,Budgeting!$B$13,(IF(D420&gt;500000,Budgeting!$C$13,Budgeting!$D$13)))</f>
        <v>26.27408568212417</v>
      </c>
      <c r="O420" s="216">
        <f t="shared" si="42"/>
        <v>729732.16157811787</v>
      </c>
      <c r="P420" s="217">
        <f>IF(D420&gt;1500000,Budgeting!$B$15,(IF(D420&gt;500000,Budgeting!$C$15,Budgeting!$D$15)))</f>
        <v>7.6279603593263765</v>
      </c>
      <c r="Q420" s="218">
        <f t="shared" si="43"/>
        <v>211857.7243291311</v>
      </c>
    </row>
    <row r="421" spans="1:17">
      <c r="A421" s="222">
        <v>40</v>
      </c>
      <c r="B421" s="191" t="s">
        <v>148</v>
      </c>
      <c r="C421" s="191">
        <v>2028</v>
      </c>
      <c r="D421" s="208">
        <f>Population!M41</f>
        <v>188727.83235646304</v>
      </c>
      <c r="E421" s="209" t="str">
        <f t="shared" si="44"/>
        <v>Medium</v>
      </c>
      <c r="F421" s="208"/>
      <c r="G421" s="210">
        <f>Variables!$C$3*POWER(SUM(1,Variables!$C$2/100),C421-2017)</f>
        <v>13885.732994644701</v>
      </c>
      <c r="H421" s="210">
        <f t="shared" si="39"/>
        <v>340.53840376009839</v>
      </c>
      <c r="I421" s="211">
        <f>VLOOKUP(B421,'Waste per capita'!$B$2:$F$48,4,FALSE)*(H421/Variables!$C$6)</f>
        <v>233.68649291660415</v>
      </c>
      <c r="J421" s="210">
        <f t="shared" si="40"/>
        <v>44103.145259134661</v>
      </c>
      <c r="K421" s="212">
        <f>Variables!$C$13</f>
        <v>1</v>
      </c>
      <c r="L421" s="213">
        <f t="shared" si="41"/>
        <v>44103.145259134661</v>
      </c>
      <c r="N421" s="215">
        <f>IF(D421&gt;1500000,Budgeting!$B$13,(IF(D421&gt;500000,Budgeting!$C$13,Budgeting!$D$13)))</f>
        <v>26.27408568212417</v>
      </c>
      <c r="O421" s="216">
        <f t="shared" si="42"/>
        <v>1158769.8173896724</v>
      </c>
      <c r="P421" s="217">
        <f>IF(D421&gt;1500000,Budgeting!$B$15,(IF(D421&gt;500000,Budgeting!$C$15,Budgeting!$D$15)))</f>
        <v>7.6279603593263765</v>
      </c>
      <c r="Q421" s="218">
        <f t="shared" si="43"/>
        <v>336417.04375829222</v>
      </c>
    </row>
    <row r="422" spans="1:17">
      <c r="A422" s="222">
        <v>41</v>
      </c>
      <c r="B422" s="191" t="s">
        <v>149</v>
      </c>
      <c r="C422" s="191">
        <v>2028</v>
      </c>
      <c r="D422" s="208">
        <f>Population!M42</f>
        <v>90837.629195684305</v>
      </c>
      <c r="E422" s="209" t="str">
        <f t="shared" si="44"/>
        <v>Small</v>
      </c>
      <c r="F422" s="208"/>
      <c r="G422" s="210">
        <f>Variables!$C$3*POWER(SUM(1,Variables!$C$2/100),C422-2017)</f>
        <v>13885.732994644701</v>
      </c>
      <c r="H422" s="210">
        <f t="shared" si="39"/>
        <v>340.53840376009839</v>
      </c>
      <c r="I422" s="211">
        <f>VLOOKUP(B422,'Waste per capita'!$B$2:$F$48,4,FALSE)*(H422/Variables!$C$6)</f>
        <v>262.76282637391671</v>
      </c>
      <c r="J422" s="210">
        <f t="shared" si="40"/>
        <v>23868.752188563823</v>
      </c>
      <c r="K422" s="212">
        <f>Variables!$C$13</f>
        <v>1</v>
      </c>
      <c r="L422" s="213">
        <f t="shared" si="41"/>
        <v>23868.752188563823</v>
      </c>
      <c r="N422" s="215">
        <f>IF(D422&gt;1500000,Budgeting!$B$13,(IF(D422&gt;500000,Budgeting!$C$13,Budgeting!$D$13)))</f>
        <v>26.27408568212417</v>
      </c>
      <c r="O422" s="216">
        <f t="shared" si="42"/>
        <v>627129.64012771472</v>
      </c>
      <c r="P422" s="217">
        <f>IF(D422&gt;1500000,Budgeting!$B$15,(IF(D422&gt;500000,Budgeting!$C$15,Budgeting!$D$15)))</f>
        <v>7.6279603593263765</v>
      </c>
      <c r="Q422" s="218">
        <f t="shared" si="43"/>
        <v>182069.89552094953</v>
      </c>
    </row>
    <row r="423" spans="1:17">
      <c r="A423" s="222">
        <v>42</v>
      </c>
      <c r="B423" s="191" t="s">
        <v>150</v>
      </c>
      <c r="C423" s="191">
        <v>2028</v>
      </c>
      <c r="D423" s="208">
        <f>Population!M43</f>
        <v>112489.7460564261</v>
      </c>
      <c r="E423" s="209" t="str">
        <f t="shared" si="44"/>
        <v>Medium</v>
      </c>
      <c r="F423" s="208"/>
      <c r="G423" s="210">
        <f>Variables!$C$3*POWER(SUM(1,Variables!$C$2/100),C423-2017)</f>
        <v>13885.732994644701</v>
      </c>
      <c r="H423" s="210">
        <f t="shared" si="39"/>
        <v>340.53840376009839</v>
      </c>
      <c r="I423" s="211">
        <f>VLOOKUP(B423,'Waste per capita'!$B$2:$F$48,4,FALSE)*(H423/Variables!$C$6)</f>
        <v>262.76282637391671</v>
      </c>
      <c r="J423" s="210">
        <f t="shared" si="40"/>
        <v>29558.123611870673</v>
      </c>
      <c r="K423" s="212">
        <f>Variables!$C$13</f>
        <v>1</v>
      </c>
      <c r="L423" s="213">
        <f t="shared" si="41"/>
        <v>29558.123611870673</v>
      </c>
      <c r="N423" s="215">
        <f>IF(D423&gt;1500000,Budgeting!$B$13,(IF(D423&gt;500000,Budgeting!$C$13,Budgeting!$D$13)))</f>
        <v>26.27408568212417</v>
      </c>
      <c r="O423" s="216">
        <f t="shared" si="42"/>
        <v>776612.67238110758</v>
      </c>
      <c r="P423" s="217">
        <f>IF(D423&gt;1500000,Budgeting!$B$15,(IF(D423&gt;500000,Budgeting!$C$15,Budgeting!$D$15)))</f>
        <v>7.6279603593263765</v>
      </c>
      <c r="Q423" s="218">
        <f t="shared" si="43"/>
        <v>225468.19520741847</v>
      </c>
    </row>
    <row r="424" spans="1:17">
      <c r="A424" s="222">
        <v>1</v>
      </c>
      <c r="B424" s="191" t="s">
        <v>109</v>
      </c>
      <c r="C424" s="191">
        <v>2029</v>
      </c>
      <c r="D424" s="208">
        <f>Population!N2</f>
        <v>609779.74368807941</v>
      </c>
      <c r="E424" s="209" t="str">
        <f t="shared" si="44"/>
        <v>Medium</v>
      </c>
      <c r="F424" s="208"/>
      <c r="G424" s="210">
        <f>Variables!$C$3*POWER(SUM(1,Variables!$C$2/100),C424-2017)</f>
        <v>14874.397183863404</v>
      </c>
      <c r="H424" s="210">
        <f t="shared" si="39"/>
        <v>350.56213698540887</v>
      </c>
      <c r="I424" s="211">
        <f>VLOOKUP(B424,'Waste per capita'!$B$2:$F$48,4,FALSE)*(H424/Variables!$C$6)</f>
        <v>270.28004371332639</v>
      </c>
      <c r="J424" s="210">
        <f t="shared" si="40"/>
        <v>164811.29577951506</v>
      </c>
      <c r="K424" s="212">
        <f>Variables!$C$13</f>
        <v>1</v>
      </c>
      <c r="L424" s="213">
        <f t="shared" si="41"/>
        <v>164811.29577951506</v>
      </c>
      <c r="N424" s="215">
        <f>IF(D424&gt;1500000,Budgeting!$B$13,(IF(D424&gt;500000,Budgeting!$C$13,Budgeting!$D$13)))</f>
        <v>26.132827156951464</v>
      </c>
      <c r="O424" s="216">
        <f t="shared" si="42"/>
        <v>4306985.1061192714</v>
      </c>
      <c r="P424" s="217">
        <f>IF(D424&gt;1500000,Budgeting!$B$15,(IF(D424&gt;500000,Budgeting!$C$15,Budgeting!$D$15)))</f>
        <v>2.1188778775906578</v>
      </c>
      <c r="Q424" s="218">
        <f t="shared" si="43"/>
        <v>349215.00860426499</v>
      </c>
    </row>
    <row r="425" spans="1:17">
      <c r="A425" s="222">
        <v>2</v>
      </c>
      <c r="B425" s="191" t="s">
        <v>110</v>
      </c>
      <c r="C425" s="191">
        <v>2029</v>
      </c>
      <c r="D425" s="208">
        <f>Population!N3</f>
        <v>447293.36025135126</v>
      </c>
      <c r="E425" s="209" t="str">
        <f t="shared" si="44"/>
        <v>Medium</v>
      </c>
      <c r="F425" s="208"/>
      <c r="G425" s="210">
        <f>Variables!$C$3*POWER(SUM(1,Variables!$C$2/100),C425-2017)</f>
        <v>14874.397183863404</v>
      </c>
      <c r="H425" s="210">
        <f t="shared" si="39"/>
        <v>350.56213698540887</v>
      </c>
      <c r="I425" s="211">
        <f>VLOOKUP(B425,'Waste per capita'!$B$2:$F$48,4,FALSE)*(H425/Variables!$C$6)</f>
        <v>168.925027320829</v>
      </c>
      <c r="J425" s="210">
        <f t="shared" si="40"/>
        <v>75559.043100884912</v>
      </c>
      <c r="K425" s="212">
        <f>Variables!$C$13</f>
        <v>1</v>
      </c>
      <c r="L425" s="213">
        <f t="shared" si="41"/>
        <v>75559.043100884912</v>
      </c>
      <c r="N425" s="215">
        <f>IF(D425&gt;1500000,Budgeting!$B$13,(IF(D425&gt;500000,Budgeting!$C$13,Budgeting!$D$13)))</f>
        <v>26.27408568212417</v>
      </c>
      <c r="O425" s="216">
        <f t="shared" si="42"/>
        <v>1985244.7724919633</v>
      </c>
      <c r="P425" s="217">
        <f>IF(D425&gt;1500000,Budgeting!$B$15,(IF(D425&gt;500000,Budgeting!$C$15,Budgeting!$D$15)))</f>
        <v>7.6279603593263765</v>
      </c>
      <c r="Q425" s="218">
        <f t="shared" si="43"/>
        <v>576361.38556218322</v>
      </c>
    </row>
    <row r="426" spans="1:17">
      <c r="A426" s="222">
        <v>3</v>
      </c>
      <c r="B426" s="191" t="s">
        <v>111</v>
      </c>
      <c r="C426" s="191">
        <v>2029</v>
      </c>
      <c r="D426" s="208">
        <f>Population!N4</f>
        <v>12871826.22495136</v>
      </c>
      <c r="E426" s="209" t="str">
        <f t="shared" si="44"/>
        <v>Large</v>
      </c>
      <c r="F426" s="208"/>
      <c r="G426" s="210">
        <f>Variables!$C$3*POWER(SUM(1,Variables!$C$2/100),C426-2017)</f>
        <v>14874.397183863404</v>
      </c>
      <c r="H426" s="210">
        <f t="shared" si="39"/>
        <v>350.56213698540887</v>
      </c>
      <c r="I426" s="211">
        <f>VLOOKUP(B426,'Waste per capita'!$B$2:$F$48,4,FALSE)*(H426/Variables!$C$6)</f>
        <v>436.82607401396785</v>
      </c>
      <c r="J426" s="210">
        <f t="shared" si="40"/>
        <v>5622749.3152355356</v>
      </c>
      <c r="K426" s="212">
        <f>Variables!$C$13</f>
        <v>1</v>
      </c>
      <c r="L426" s="213">
        <f t="shared" si="41"/>
        <v>5622749.3152355356</v>
      </c>
      <c r="N426" s="215">
        <f>IF(D426&gt;1500000,Budgeting!$B$13,(IF(D426&gt;500000,Budgeting!$C$13,Budgeting!$D$13)))</f>
        <v>25.956254000485576</v>
      </c>
      <c r="O426" s="216">
        <f t="shared" si="42"/>
        <v>145945509.40730989</v>
      </c>
      <c r="P426" s="217">
        <f>IF(D426&gt;1500000,Budgeting!$B$15,(IF(D426&gt;500000,Budgeting!$C$15,Budgeting!$D$15)))</f>
        <v>3.7080362857836535</v>
      </c>
      <c r="Q426" s="218">
        <f t="shared" si="43"/>
        <v>20849358.486758556</v>
      </c>
    </row>
    <row r="427" spans="1:17">
      <c r="A427" s="222">
        <v>4</v>
      </c>
      <c r="B427" s="191" t="s">
        <v>112</v>
      </c>
      <c r="C427" s="191">
        <v>2029</v>
      </c>
      <c r="D427" s="208">
        <f>Population!N5</f>
        <v>2741264.8651895751</v>
      </c>
      <c r="E427" s="209" t="str">
        <f t="shared" si="44"/>
        <v>Large</v>
      </c>
      <c r="F427" s="208"/>
      <c r="G427" s="210">
        <f>Variables!$C$3*POWER(SUM(1,Variables!$C$2/100),C427-2017)</f>
        <v>14874.397183863404</v>
      </c>
      <c r="H427" s="210">
        <f t="shared" si="39"/>
        <v>350.56213698540887</v>
      </c>
      <c r="I427" s="211">
        <f>VLOOKUP(B427,'Waste per capita'!$B$2:$F$48,4,FALSE)*(H427/Variables!$C$6)</f>
        <v>270.28004371332639</v>
      </c>
      <c r="J427" s="210">
        <f t="shared" si="40"/>
        <v>740909.18759324425</v>
      </c>
      <c r="K427" s="212">
        <f>Variables!$C$13</f>
        <v>1</v>
      </c>
      <c r="L427" s="213">
        <f t="shared" si="41"/>
        <v>740909.18759324425</v>
      </c>
      <c r="N427" s="215">
        <f>IF(D427&gt;1500000,Budgeting!$B$13,(IF(D427&gt;500000,Budgeting!$C$13,Budgeting!$D$13)))</f>
        <v>25.956254000485576</v>
      </c>
      <c r="O427" s="216">
        <f t="shared" si="42"/>
        <v>19231227.064463664</v>
      </c>
      <c r="P427" s="217">
        <f>IF(D427&gt;1500000,Budgeting!$B$15,(IF(D427&gt;500000,Budgeting!$C$15,Budgeting!$D$15)))</f>
        <v>3.7080362857836535</v>
      </c>
      <c r="Q427" s="218">
        <f t="shared" si="43"/>
        <v>2747318.1520662378</v>
      </c>
    </row>
    <row r="428" spans="1:17">
      <c r="A428" s="222">
        <v>5</v>
      </c>
      <c r="B428" s="191" t="s">
        <v>113</v>
      </c>
      <c r="C428" s="191">
        <v>2029</v>
      </c>
      <c r="D428" s="208">
        <f>Population!N6</f>
        <v>1285710.7813572201</v>
      </c>
      <c r="E428" s="209" t="str">
        <f t="shared" si="44"/>
        <v>Large</v>
      </c>
      <c r="F428" s="208"/>
      <c r="G428" s="210">
        <f>Variables!$C$3*POWER(SUM(1,Variables!$C$2/100),C428-2017)</f>
        <v>14874.397183863404</v>
      </c>
      <c r="H428" s="210">
        <f t="shared" si="39"/>
        <v>350.56213698540887</v>
      </c>
      <c r="I428" s="211">
        <f>VLOOKUP(B428,'Waste per capita'!$B$2:$F$48,4,FALSE)*(H428/Variables!$C$6)</f>
        <v>270.28004371332639</v>
      </c>
      <c r="J428" s="210">
        <f t="shared" si="40"/>
        <v>347501.9661879245</v>
      </c>
      <c r="K428" s="212">
        <f>Variables!$C$13</f>
        <v>1</v>
      </c>
      <c r="L428" s="213">
        <f t="shared" si="41"/>
        <v>347501.9661879245</v>
      </c>
      <c r="N428" s="215">
        <f>IF(D428&gt;1500000,Budgeting!$B$13,(IF(D428&gt;500000,Budgeting!$C$13,Budgeting!$D$13)))</f>
        <v>26.132827156951464</v>
      </c>
      <c r="O428" s="216">
        <f t="shared" si="42"/>
        <v>9081208.8190898225</v>
      </c>
      <c r="P428" s="217">
        <f>IF(D428&gt;1500000,Budgeting!$B$15,(IF(D428&gt;500000,Budgeting!$C$15,Budgeting!$D$15)))</f>
        <v>2.1188778775906578</v>
      </c>
      <c r="Q428" s="218">
        <f t="shared" si="43"/>
        <v>736314.22857485001</v>
      </c>
    </row>
    <row r="429" spans="1:17">
      <c r="A429" s="222">
        <v>6</v>
      </c>
      <c r="B429" s="191" t="s">
        <v>114</v>
      </c>
      <c r="C429" s="191">
        <v>2029</v>
      </c>
      <c r="D429" s="208">
        <f>Population!N7</f>
        <v>1465876.0272242008</v>
      </c>
      <c r="E429" s="209" t="str">
        <f t="shared" si="44"/>
        <v>Large</v>
      </c>
      <c r="F429" s="208"/>
      <c r="G429" s="210">
        <f>Variables!$C$3*POWER(SUM(1,Variables!$C$2/100),C429-2017)</f>
        <v>14874.397183863404</v>
      </c>
      <c r="H429" s="210">
        <f t="shared" si="39"/>
        <v>350.56213698540887</v>
      </c>
      <c r="I429" s="211">
        <f>VLOOKUP(B429,'Waste per capita'!$B$2:$F$48,4,FALSE)*(H429/Variables!$C$6)</f>
        <v>270.28004371332639</v>
      </c>
      <c r="J429" s="210">
        <f t="shared" si="40"/>
        <v>396197.03671647422</v>
      </c>
      <c r="K429" s="212">
        <f>Variables!$C$13</f>
        <v>1</v>
      </c>
      <c r="L429" s="213">
        <f t="shared" si="41"/>
        <v>396197.03671647422</v>
      </c>
      <c r="N429" s="215">
        <f>IF(D429&gt;1500000,Budgeting!$B$13,(IF(D429&gt;500000,Budgeting!$C$13,Budgeting!$D$13)))</f>
        <v>26.132827156951464</v>
      </c>
      <c r="O429" s="216">
        <f t="shared" si="42"/>
        <v>10353748.680607975</v>
      </c>
      <c r="P429" s="217">
        <f>IF(D429&gt;1500000,Budgeting!$B$15,(IF(D429&gt;500000,Budgeting!$C$15,Budgeting!$D$15)))</f>
        <v>2.1188778775906578</v>
      </c>
      <c r="Q429" s="218">
        <f t="shared" si="43"/>
        <v>839493.13626551081</v>
      </c>
    </row>
    <row r="430" spans="1:17">
      <c r="A430" s="222">
        <v>7</v>
      </c>
      <c r="B430" s="191" t="s">
        <v>115</v>
      </c>
      <c r="C430" s="191">
        <v>2029</v>
      </c>
      <c r="D430" s="208">
        <f>Population!N8</f>
        <v>7083636.7835001564</v>
      </c>
      <c r="E430" s="209" t="str">
        <f t="shared" si="44"/>
        <v>Large</v>
      </c>
      <c r="F430" s="208"/>
      <c r="G430" s="210">
        <f>Variables!$C$3*POWER(SUM(1,Variables!$C$2/100),C430-2017)</f>
        <v>14874.397183863404</v>
      </c>
      <c r="H430" s="210">
        <f t="shared" si="39"/>
        <v>350.56213698540887</v>
      </c>
      <c r="I430" s="211">
        <f>VLOOKUP(B430,'Waste per capita'!$B$2:$F$48,4,FALSE)*(H430/Variables!$C$6)</f>
        <v>419.6453310285857</v>
      </c>
      <c r="J430" s="210">
        <f t="shared" si="40"/>
        <v>2972615.1028981889</v>
      </c>
      <c r="K430" s="212">
        <f>Variables!$C$13</f>
        <v>1</v>
      </c>
      <c r="L430" s="213">
        <f t="shared" si="41"/>
        <v>2972615.1028981889</v>
      </c>
      <c r="N430" s="215">
        <f>IF(D430&gt;1500000,Budgeting!$B$13,(IF(D430&gt;500000,Budgeting!$C$13,Budgeting!$D$13)))</f>
        <v>25.956254000485576</v>
      </c>
      <c r="O430" s="216">
        <f t="shared" si="42"/>
        <v>77157952.656504959</v>
      </c>
      <c r="P430" s="217">
        <f>IF(D430&gt;1500000,Budgeting!$B$15,(IF(D430&gt;500000,Budgeting!$C$15,Budgeting!$D$15)))</f>
        <v>3.7080362857836535</v>
      </c>
      <c r="Q430" s="218">
        <f t="shared" si="43"/>
        <v>11022564.665214993</v>
      </c>
    </row>
    <row r="431" spans="1:17">
      <c r="A431" s="222">
        <v>8</v>
      </c>
      <c r="B431" s="191" t="s">
        <v>116</v>
      </c>
      <c r="C431" s="191">
        <v>2029</v>
      </c>
      <c r="D431" s="208">
        <f>Population!N9</f>
        <v>67504.991475074072</v>
      </c>
      <c r="E431" s="209" t="str">
        <f t="shared" si="44"/>
        <v>Small</v>
      </c>
      <c r="F431" s="208"/>
      <c r="G431" s="210">
        <f>Variables!$C$3*POWER(SUM(1,Variables!$C$2/100),C431-2017)</f>
        <v>14874.397183863404</v>
      </c>
      <c r="H431" s="210">
        <f t="shared" si="39"/>
        <v>350.56213698540887</v>
      </c>
      <c r="I431" s="211">
        <f>VLOOKUP(B431,'Waste per capita'!$B$2:$F$48,4,FALSE)*(H431/Variables!$C$6)</f>
        <v>283.91258977781433</v>
      </c>
      <c r="J431" s="210">
        <f t="shared" si="40"/>
        <v>19165.51695261756</v>
      </c>
      <c r="K431" s="212">
        <f>Variables!$C$13</f>
        <v>1</v>
      </c>
      <c r="L431" s="213">
        <f t="shared" si="41"/>
        <v>19165.51695261756</v>
      </c>
      <c r="N431" s="215">
        <f>IF(D431&gt;1500000,Budgeting!$B$13,(IF(D431&gt;500000,Budgeting!$C$13,Budgeting!$D$13)))</f>
        <v>26.27408568212417</v>
      </c>
      <c r="O431" s="216">
        <f t="shared" si="42"/>
        <v>503556.43455527705</v>
      </c>
      <c r="P431" s="217">
        <f>IF(D431&gt;1500000,Budgeting!$B$15,(IF(D431&gt;500000,Budgeting!$C$15,Budgeting!$D$15)))</f>
        <v>7.6279603593263765</v>
      </c>
      <c r="Q431" s="218">
        <f t="shared" si="43"/>
        <v>146193.80358056439</v>
      </c>
    </row>
    <row r="432" spans="1:17">
      <c r="A432" s="222">
        <v>9</v>
      </c>
      <c r="B432" s="191" t="s">
        <v>117</v>
      </c>
      <c r="C432" s="191">
        <v>2029</v>
      </c>
      <c r="D432" s="208">
        <f>Population!N10</f>
        <v>868284.13428457931</v>
      </c>
      <c r="E432" s="209" t="str">
        <f t="shared" si="44"/>
        <v>Medium</v>
      </c>
      <c r="F432" s="208"/>
      <c r="G432" s="210">
        <f>Variables!$C$3*POWER(SUM(1,Variables!$C$2/100),C432-2017)</f>
        <v>14874.397183863404</v>
      </c>
      <c r="H432" s="210">
        <f t="shared" si="39"/>
        <v>350.56213698540887</v>
      </c>
      <c r="I432" s="211">
        <f>VLOOKUP(B432,'Waste per capita'!$B$2:$F$48,4,FALSE)*(H432/Variables!$C$6)</f>
        <v>209.82266551429285</v>
      </c>
      <c r="J432" s="210">
        <f t="shared" si="40"/>
        <v>182185.6914793606</v>
      </c>
      <c r="K432" s="212">
        <f>Variables!$C$13</f>
        <v>1</v>
      </c>
      <c r="L432" s="213">
        <f t="shared" si="41"/>
        <v>182185.6914793606</v>
      </c>
      <c r="N432" s="215">
        <f>IF(D432&gt;1500000,Budgeting!$B$13,(IF(D432&gt;500000,Budgeting!$C$13,Budgeting!$D$13)))</f>
        <v>26.132827156951464</v>
      </c>
      <c r="O432" s="216">
        <f t="shared" si="42"/>
        <v>4761027.1858998155</v>
      </c>
      <c r="P432" s="217">
        <f>IF(D432&gt;1500000,Budgeting!$B$15,(IF(D432&gt;500000,Budgeting!$C$15,Budgeting!$D$15)))</f>
        <v>2.1188778775906578</v>
      </c>
      <c r="Q432" s="218">
        <f t="shared" si="43"/>
        <v>386029.231289174</v>
      </c>
    </row>
    <row r="433" spans="1:17">
      <c r="A433" s="222">
        <v>10</v>
      </c>
      <c r="B433" s="191" t="s">
        <v>118</v>
      </c>
      <c r="C433" s="191">
        <v>2029</v>
      </c>
      <c r="D433" s="208">
        <f>Population!N11</f>
        <v>805759.46906281519</v>
      </c>
      <c r="E433" s="209" t="str">
        <f t="shared" si="44"/>
        <v>Medium</v>
      </c>
      <c r="F433" s="208"/>
      <c r="G433" s="210">
        <f>Variables!$C$3*POWER(SUM(1,Variables!$C$2/100),C433-2017)</f>
        <v>14874.397183863404</v>
      </c>
      <c r="H433" s="210">
        <f t="shared" si="39"/>
        <v>350.56213698540887</v>
      </c>
      <c r="I433" s="211">
        <f>VLOOKUP(B433,'Waste per capita'!$B$2:$F$48,4,FALSE)*(H433/Variables!$C$6)</f>
        <v>240.56504475537005</v>
      </c>
      <c r="J433" s="210">
        <f t="shared" si="40"/>
        <v>193837.56273715934</v>
      </c>
      <c r="K433" s="212">
        <f>Variables!$C$13</f>
        <v>1</v>
      </c>
      <c r="L433" s="213">
        <f t="shared" si="41"/>
        <v>193837.56273715934</v>
      </c>
      <c r="N433" s="215">
        <f>IF(D433&gt;1500000,Budgeting!$B$13,(IF(D433&gt;500000,Budgeting!$C$13,Budgeting!$D$13)))</f>
        <v>26.132827156951464</v>
      </c>
      <c r="O433" s="216">
        <f t="shared" si="42"/>
        <v>5065523.523534921</v>
      </c>
      <c r="P433" s="217">
        <f>IF(D433&gt;1500000,Budgeting!$B$15,(IF(D433&gt;500000,Budgeting!$C$15,Budgeting!$D$15)))</f>
        <v>2.1188778775906578</v>
      </c>
      <c r="Q433" s="218">
        <f t="shared" si="43"/>
        <v>410718.12352985819</v>
      </c>
    </row>
    <row r="434" spans="1:17">
      <c r="A434" s="222">
        <v>11</v>
      </c>
      <c r="B434" s="191" t="s">
        <v>119</v>
      </c>
      <c r="C434" s="191">
        <v>2029</v>
      </c>
      <c r="D434" s="208">
        <f>Population!N12</f>
        <v>314288.00816226902</v>
      </c>
      <c r="E434" s="209" t="str">
        <f t="shared" si="44"/>
        <v>Medium</v>
      </c>
      <c r="F434" s="208"/>
      <c r="G434" s="210">
        <f>Variables!$C$3*POWER(SUM(1,Variables!$C$2/100),C434-2017)</f>
        <v>14874.397183863404</v>
      </c>
      <c r="H434" s="210">
        <f t="shared" si="39"/>
        <v>350.56213698540887</v>
      </c>
      <c r="I434" s="211">
        <f>VLOOKUP(B434,'Waste per capita'!$B$2:$F$48,4,FALSE)*(H434/Variables!$C$6)</f>
        <v>148.77256792115116</v>
      </c>
      <c r="J434" s="210">
        <f t="shared" si="40"/>
        <v>46757.434041124478</v>
      </c>
      <c r="K434" s="212">
        <f>Variables!$C$13</f>
        <v>1</v>
      </c>
      <c r="L434" s="213">
        <f t="shared" si="41"/>
        <v>46757.434041124478</v>
      </c>
      <c r="N434" s="215">
        <f>IF(D434&gt;1500000,Budgeting!$B$13,(IF(D434&gt;500000,Budgeting!$C$13,Budgeting!$D$13)))</f>
        <v>26.27408568212417</v>
      </c>
      <c r="O434" s="216">
        <f t="shared" si="42"/>
        <v>1228508.8282727739</v>
      </c>
      <c r="P434" s="217">
        <f>IF(D434&gt;1500000,Budgeting!$B$15,(IF(D434&gt;500000,Budgeting!$C$15,Budgeting!$D$15)))</f>
        <v>7.6279603593263765</v>
      </c>
      <c r="Q434" s="218">
        <f t="shared" si="43"/>
        <v>356663.85336951521</v>
      </c>
    </row>
    <row r="435" spans="1:17">
      <c r="A435" s="222">
        <v>12</v>
      </c>
      <c r="B435" s="191" t="s">
        <v>120</v>
      </c>
      <c r="C435" s="191">
        <v>2029</v>
      </c>
      <c r="D435" s="208">
        <f>Population!N13</f>
        <v>152879.39964476039</v>
      </c>
      <c r="E435" s="209" t="str">
        <f t="shared" si="44"/>
        <v>Medium</v>
      </c>
      <c r="F435" s="208"/>
      <c r="G435" s="210">
        <f>Variables!$C$3*POWER(SUM(1,Variables!$C$2/100),C435-2017)</f>
        <v>14874.397183863404</v>
      </c>
      <c r="H435" s="210">
        <f t="shared" si="39"/>
        <v>350.56213698540887</v>
      </c>
      <c r="I435" s="211">
        <f>VLOOKUP(B435,'Waste per capita'!$B$2:$F$48,4,FALSE)*(H435/Variables!$C$6)</f>
        <v>297.54513584230233</v>
      </c>
      <c r="J435" s="210">
        <f t="shared" si="40"/>
        <v>45488.521734789858</v>
      </c>
      <c r="K435" s="212">
        <f>Variables!$C$13</f>
        <v>1</v>
      </c>
      <c r="L435" s="213">
        <f t="shared" si="41"/>
        <v>45488.521734789858</v>
      </c>
      <c r="N435" s="215">
        <f>IF(D435&gt;1500000,Budgeting!$B$13,(IF(D435&gt;500000,Budgeting!$C$13,Budgeting!$D$13)))</f>
        <v>26.27408568212417</v>
      </c>
      <c r="O435" s="216">
        <f t="shared" si="42"/>
        <v>1195169.3176130364</v>
      </c>
      <c r="P435" s="217">
        <f>IF(D435&gt;1500000,Budgeting!$B$15,(IF(D435&gt;500000,Budgeting!$C$15,Budgeting!$D$15)))</f>
        <v>7.6279603593263765</v>
      </c>
      <c r="Q435" s="218">
        <f t="shared" si="43"/>
        <v>346984.64059733332</v>
      </c>
    </row>
    <row r="436" spans="1:17">
      <c r="A436" s="222">
        <v>13</v>
      </c>
      <c r="B436" s="191" t="s">
        <v>121</v>
      </c>
      <c r="C436" s="191">
        <v>2029</v>
      </c>
      <c r="D436" s="208">
        <f>Population!N14</f>
        <v>10262170.330201637</v>
      </c>
      <c r="E436" s="209" t="str">
        <f t="shared" si="44"/>
        <v>Large</v>
      </c>
      <c r="F436" s="208"/>
      <c r="G436" s="210">
        <f>Variables!$C$3*POWER(SUM(1,Variables!$C$2/100),C436-2017)</f>
        <v>14874.397183863404</v>
      </c>
      <c r="H436" s="210">
        <f t="shared" ref="H436:H499" si="45">1647.41-417.73*LN(G436)+29.43*(LN(G436))^2</f>
        <v>350.56213698540887</v>
      </c>
      <c r="I436" s="211">
        <f>VLOOKUP(B436,'Waste per capita'!$B$2:$F$48,4,FALSE)*(H436/Variables!$C$6)</f>
        <v>385.26760617031175</v>
      </c>
      <c r="J436" s="210">
        <f t="shared" ref="J436:J499" si="46">I436*D436/1000</f>
        <v>3953681.797228782</v>
      </c>
      <c r="K436" s="212">
        <f>Variables!$C$13</f>
        <v>1</v>
      </c>
      <c r="L436" s="213">
        <f t="shared" ref="L436:L499" si="47">J436*K436</f>
        <v>3953681.797228782</v>
      </c>
      <c r="N436" s="215">
        <f>IF(D436&gt;1500000,Budgeting!$B$13,(IF(D436&gt;500000,Budgeting!$C$13,Budgeting!$D$13)))</f>
        <v>25.956254000485576</v>
      </c>
      <c r="O436" s="216">
        <f t="shared" ref="O436:O499" si="48">N436*L436</f>
        <v>102622768.96596657</v>
      </c>
      <c r="P436" s="217">
        <f>IF(D436&gt;1500000,Budgeting!$B$15,(IF(D436&gt;500000,Budgeting!$C$15,Budgeting!$D$15)))</f>
        <v>3.7080362857836535</v>
      </c>
      <c r="Q436" s="218">
        <f t="shared" ref="Q436:Q499" si="49">P436*J436</f>
        <v>14660395.566566654</v>
      </c>
    </row>
    <row r="437" spans="1:17">
      <c r="A437" s="222">
        <v>14</v>
      </c>
      <c r="B437" s="191" t="s">
        <v>122</v>
      </c>
      <c r="C437" s="191">
        <v>2029</v>
      </c>
      <c r="D437" s="208">
        <f>Population!N15</f>
        <v>408918.78027750092</v>
      </c>
      <c r="E437" s="209" t="str">
        <f t="shared" si="44"/>
        <v>Medium</v>
      </c>
      <c r="F437" s="208"/>
      <c r="G437" s="210">
        <f>Variables!$C$3*POWER(SUM(1,Variables!$C$2/100),C437-2017)</f>
        <v>14874.397183863404</v>
      </c>
      <c r="H437" s="210">
        <f t="shared" si="45"/>
        <v>350.56213698540887</v>
      </c>
      <c r="I437" s="211">
        <f>VLOOKUP(B437,'Waste per capita'!$B$2:$F$48,4,FALSE)*(H437/Variables!$C$6)</f>
        <v>128.6201085214733</v>
      </c>
      <c r="J437" s="210">
        <f t="shared" si="46"/>
        <v>52595.177895760666</v>
      </c>
      <c r="K437" s="212">
        <f>Variables!$C$13</f>
        <v>1</v>
      </c>
      <c r="L437" s="213">
        <f t="shared" si="47"/>
        <v>52595.177895760666</v>
      </c>
      <c r="N437" s="215">
        <f>IF(D437&gt;1500000,Budgeting!$B$13,(IF(D437&gt;500000,Budgeting!$C$13,Budgeting!$D$13)))</f>
        <v>26.27408568212417</v>
      </c>
      <c r="O437" s="216">
        <f t="shared" si="48"/>
        <v>1381890.2104997789</v>
      </c>
      <c r="P437" s="217">
        <f>IF(D437&gt;1500000,Budgeting!$B$15,(IF(D437&gt;500000,Budgeting!$C$15,Budgeting!$D$15)))</f>
        <v>7.6279603593263765</v>
      </c>
      <c r="Q437" s="218">
        <f t="shared" si="49"/>
        <v>401193.9320805812</v>
      </c>
    </row>
    <row r="438" spans="1:17">
      <c r="A438" s="222">
        <v>15</v>
      </c>
      <c r="B438" s="191" t="s">
        <v>123</v>
      </c>
      <c r="C438" s="191">
        <v>2029</v>
      </c>
      <c r="D438" s="208">
        <f>Population!N16</f>
        <v>90688.585494154671</v>
      </c>
      <c r="E438" s="209" t="str">
        <f t="shared" si="44"/>
        <v>Small</v>
      </c>
      <c r="F438" s="208"/>
      <c r="G438" s="210">
        <f>Variables!$C$3*POWER(SUM(1,Variables!$C$2/100),C438-2017)</f>
        <v>14874.397183863404</v>
      </c>
      <c r="H438" s="210">
        <f t="shared" si="45"/>
        <v>350.56213698540887</v>
      </c>
      <c r="I438" s="211">
        <f>VLOOKUP(B438,'Waste per capita'!$B$2:$F$48,4,FALSE)*(H438/Variables!$C$6)</f>
        <v>229.97512491397072</v>
      </c>
      <c r="J438" s="210">
        <f t="shared" si="46"/>
        <v>20856.118777289532</v>
      </c>
      <c r="K438" s="212">
        <f>Variables!$C$13</f>
        <v>1</v>
      </c>
      <c r="L438" s="213">
        <f t="shared" si="47"/>
        <v>20856.118777289532</v>
      </c>
      <c r="N438" s="215">
        <f>IF(D438&gt;1500000,Budgeting!$B$13,(IF(D438&gt;500000,Budgeting!$C$13,Budgeting!$D$13)))</f>
        <v>26.27408568212417</v>
      </c>
      <c r="O438" s="216">
        <f t="shared" si="48"/>
        <v>547975.45175106393</v>
      </c>
      <c r="P438" s="217">
        <f>IF(D438&gt;1500000,Budgeting!$B$15,(IF(D438&gt;500000,Budgeting!$C$15,Budgeting!$D$15)))</f>
        <v>7.6279603593263765</v>
      </c>
      <c r="Q438" s="218">
        <f t="shared" si="49"/>
        <v>159089.64728256705</v>
      </c>
    </row>
    <row r="439" spans="1:17">
      <c r="A439" s="222">
        <v>16</v>
      </c>
      <c r="B439" s="191" t="s">
        <v>124</v>
      </c>
      <c r="C439" s="191">
        <v>2029</v>
      </c>
      <c r="D439" s="208">
        <f>Population!N17</f>
        <v>4643674.7966823103</v>
      </c>
      <c r="E439" s="209" t="str">
        <f t="shared" si="44"/>
        <v>Large</v>
      </c>
      <c r="F439" s="208"/>
      <c r="G439" s="210">
        <f>Variables!$C$3*POWER(SUM(1,Variables!$C$2/100),C439-2017)</f>
        <v>14874.397183863404</v>
      </c>
      <c r="H439" s="210">
        <f t="shared" si="45"/>
        <v>350.56213698540887</v>
      </c>
      <c r="I439" s="211">
        <f>VLOOKUP(B439,'Waste per capita'!$B$2:$F$48,4,FALSE)*(H439/Variables!$C$6)</f>
        <v>263.76013037813652</v>
      </c>
      <c r="J439" s="210">
        <f t="shared" si="46"/>
        <v>1224816.2698065927</v>
      </c>
      <c r="K439" s="212">
        <f>Variables!$C$13</f>
        <v>1</v>
      </c>
      <c r="L439" s="213">
        <f t="shared" si="47"/>
        <v>1224816.2698065927</v>
      </c>
      <c r="N439" s="215">
        <f>IF(D439&gt;1500000,Budgeting!$B$13,(IF(D439&gt;500000,Budgeting!$C$13,Budgeting!$D$13)))</f>
        <v>25.956254000485576</v>
      </c>
      <c r="O439" s="216">
        <f t="shared" si="48"/>
        <v>31791642.203027193</v>
      </c>
      <c r="P439" s="217">
        <f>IF(D439&gt;1500000,Budgeting!$B$15,(IF(D439&gt;500000,Budgeting!$C$15,Budgeting!$D$15)))</f>
        <v>3.7080362857836535</v>
      </c>
      <c r="Q439" s="218">
        <f t="shared" si="49"/>
        <v>4541663.1718610274</v>
      </c>
    </row>
    <row r="440" spans="1:17">
      <c r="A440" s="222">
        <v>17</v>
      </c>
      <c r="B440" s="191" t="s">
        <v>125</v>
      </c>
      <c r="C440" s="191">
        <v>2029</v>
      </c>
      <c r="D440" s="208">
        <f>Population!N18</f>
        <v>17088.906427794147</v>
      </c>
      <c r="E440" s="209" t="str">
        <f t="shared" si="44"/>
        <v>Small</v>
      </c>
      <c r="F440" s="208"/>
      <c r="G440" s="210">
        <f>Variables!$C$3*POWER(SUM(1,Variables!$C$2/100),C440-2017)</f>
        <v>14874.397183863404</v>
      </c>
      <c r="H440" s="210">
        <f t="shared" si="45"/>
        <v>350.56213698540887</v>
      </c>
      <c r="I440" s="211">
        <f>VLOOKUP(B440,'Waste per capita'!$B$2:$F$48,4,FALSE)*(H440/Variables!$C$6)</f>
        <v>202.98609387266166</v>
      </c>
      <c r="J440" s="210">
        <f t="shared" si="46"/>
        <v>3468.8103643333538</v>
      </c>
      <c r="K440" s="212">
        <f>Variables!$C$13</f>
        <v>1</v>
      </c>
      <c r="L440" s="213">
        <f t="shared" si="47"/>
        <v>3468.8103643333538</v>
      </c>
      <c r="N440" s="215">
        <f>IF(D440&gt;1500000,Budgeting!$B$13,(IF(D440&gt;500000,Budgeting!$C$13,Budgeting!$D$13)))</f>
        <v>26.27408568212417</v>
      </c>
      <c r="O440" s="216">
        <f t="shared" si="48"/>
        <v>91139.820727534898</v>
      </c>
      <c r="P440" s="217">
        <f>IF(D440&gt;1500000,Budgeting!$B$15,(IF(D440&gt;500000,Budgeting!$C$15,Budgeting!$D$15)))</f>
        <v>7.6279603593263765</v>
      </c>
      <c r="Q440" s="218">
        <f t="shared" si="49"/>
        <v>26459.947953155308</v>
      </c>
    </row>
    <row r="441" spans="1:17">
      <c r="A441" s="222">
        <v>18</v>
      </c>
      <c r="B441" s="191" t="s">
        <v>126</v>
      </c>
      <c r="C441" s="191">
        <v>2029</v>
      </c>
      <c r="D441" s="208">
        <f>Population!N19</f>
        <v>150978.4303035062</v>
      </c>
      <c r="E441" s="209" t="str">
        <f t="shared" si="44"/>
        <v>Medium</v>
      </c>
      <c r="F441" s="208"/>
      <c r="G441" s="210">
        <f>Variables!$C$3*POWER(SUM(1,Variables!$C$2/100),C441-2017)</f>
        <v>14874.397183863404</v>
      </c>
      <c r="H441" s="210">
        <f t="shared" si="45"/>
        <v>350.56213698540887</v>
      </c>
      <c r="I441" s="211">
        <f>VLOOKUP(B441,'Waste per capita'!$B$2:$F$48,4,FALSE)*(H441/Variables!$C$6)</f>
        <v>114.98756245698536</v>
      </c>
      <c r="J441" s="210">
        <f t="shared" si="46"/>
        <v>17360.641684182028</v>
      </c>
      <c r="K441" s="212">
        <f>Variables!$C$13</f>
        <v>1</v>
      </c>
      <c r="L441" s="213">
        <f t="shared" si="47"/>
        <v>17360.641684182028</v>
      </c>
      <c r="N441" s="215">
        <f>IF(D441&gt;1500000,Budgeting!$B$13,(IF(D441&gt;500000,Budgeting!$C$13,Budgeting!$D$13)))</f>
        <v>26.27408568212417</v>
      </c>
      <c r="O441" s="216">
        <f t="shared" si="48"/>
        <v>456134.98710685509</v>
      </c>
      <c r="P441" s="217">
        <f>IF(D441&gt;1500000,Budgeting!$B$15,(IF(D441&gt;500000,Budgeting!$C$15,Budgeting!$D$15)))</f>
        <v>7.6279603593263765</v>
      </c>
      <c r="Q441" s="218">
        <f t="shared" si="49"/>
        <v>132426.28657940961</v>
      </c>
    </row>
    <row r="442" spans="1:17">
      <c r="A442" s="222">
        <v>19</v>
      </c>
      <c r="B442" s="191" t="s">
        <v>127</v>
      </c>
      <c r="C442" s="191">
        <v>2029</v>
      </c>
      <c r="D442" s="208">
        <f>Population!N20</f>
        <v>6854913.737771933</v>
      </c>
      <c r="E442" s="209" t="str">
        <f t="shared" si="44"/>
        <v>Large</v>
      </c>
      <c r="F442" s="208"/>
      <c r="G442" s="210">
        <f>Variables!$C$3*POWER(SUM(1,Variables!$C$2/100),C442-2017)</f>
        <v>14874.397183863404</v>
      </c>
      <c r="H442" s="210">
        <f t="shared" si="45"/>
        <v>350.56213698540887</v>
      </c>
      <c r="I442" s="211">
        <f>VLOOKUP(B442,'Waste per capita'!$B$2:$F$48,4,FALSE)*(H442/Variables!$C$6)</f>
        <v>392.38023889960988</v>
      </c>
      <c r="J442" s="210">
        <f t="shared" si="46"/>
        <v>2689732.6900631683</v>
      </c>
      <c r="K442" s="212">
        <f>Variables!$C$13</f>
        <v>1</v>
      </c>
      <c r="L442" s="213">
        <f t="shared" si="47"/>
        <v>2689732.6900631683</v>
      </c>
      <c r="N442" s="215">
        <f>IF(D442&gt;1500000,Budgeting!$B$13,(IF(D442&gt;500000,Budgeting!$C$13,Budgeting!$D$13)))</f>
        <v>25.956254000485576</v>
      </c>
      <c r="O442" s="216">
        <f t="shared" si="48"/>
        <v>69815384.896688938</v>
      </c>
      <c r="P442" s="217">
        <f>IF(D442&gt;1500000,Budgeting!$B$15,(IF(D442&gt;500000,Budgeting!$C$15,Budgeting!$D$15)))</f>
        <v>3.7080362857836535</v>
      </c>
      <c r="Q442" s="218">
        <f t="shared" si="49"/>
        <v>9973626.4138127062</v>
      </c>
    </row>
    <row r="443" spans="1:17">
      <c r="A443" s="222">
        <v>20</v>
      </c>
      <c r="B443" s="191" t="s">
        <v>128</v>
      </c>
      <c r="C443" s="191">
        <v>2029</v>
      </c>
      <c r="D443" s="208">
        <f>Population!N21</f>
        <v>4294490.9671963453</v>
      </c>
      <c r="E443" s="209" t="str">
        <f t="shared" si="44"/>
        <v>Large</v>
      </c>
      <c r="F443" s="208"/>
      <c r="G443" s="210">
        <f>Variables!$C$3*POWER(SUM(1,Variables!$C$2/100),C443-2017)</f>
        <v>14874.397183863404</v>
      </c>
      <c r="H443" s="210">
        <f t="shared" si="45"/>
        <v>350.56213698540887</v>
      </c>
      <c r="I443" s="211">
        <f>VLOOKUP(B443,'Waste per capita'!$B$2:$F$48,4,FALSE)*(H443/Variables!$C$6)</f>
        <v>148.77256792115116</v>
      </c>
      <c r="J443" s="210">
        <f t="shared" si="46"/>
        <v>638902.44910398836</v>
      </c>
      <c r="K443" s="212">
        <f>Variables!$C$13</f>
        <v>1</v>
      </c>
      <c r="L443" s="213">
        <f t="shared" si="47"/>
        <v>638902.44910398836</v>
      </c>
      <c r="N443" s="215">
        <f>IF(D443&gt;1500000,Budgeting!$B$13,(IF(D443&gt;500000,Budgeting!$C$13,Budgeting!$D$13)))</f>
        <v>25.956254000485576</v>
      </c>
      <c r="O443" s="216">
        <f t="shared" si="48"/>
        <v>16583514.250475429</v>
      </c>
      <c r="P443" s="217">
        <f>IF(D443&gt;1500000,Budgeting!$B$15,(IF(D443&gt;500000,Budgeting!$C$15,Budgeting!$D$15)))</f>
        <v>3.7080362857836535</v>
      </c>
      <c r="Q443" s="218">
        <f t="shared" si="49"/>
        <v>2369073.4643536326</v>
      </c>
    </row>
    <row r="444" spans="1:17">
      <c r="A444" s="222">
        <v>21</v>
      </c>
      <c r="B444" s="222" t="s">
        <v>129</v>
      </c>
      <c r="C444" s="191">
        <v>2029</v>
      </c>
      <c r="D444" s="208">
        <f>Population!N22</f>
        <v>18967577.871249985</v>
      </c>
      <c r="E444" s="209" t="str">
        <f t="shared" si="44"/>
        <v>Large</v>
      </c>
      <c r="F444" s="208"/>
      <c r="G444" s="210">
        <f>Variables!$C$3*POWER(SUM(1,Variables!$C$2/100),C444-2017)</f>
        <v>14874.397183863404</v>
      </c>
      <c r="H444" s="210">
        <f t="shared" si="45"/>
        <v>350.56213698540887</v>
      </c>
      <c r="I444" s="211">
        <f>VLOOKUP(B444,'Waste per capita'!$B$2:$F$48,4,FALSE)*(H444/Variables!$C$6)</f>
        <v>304.65776857160046</v>
      </c>
      <c r="J444" s="210">
        <f t="shared" si="46"/>
        <v>5778619.9494630881</v>
      </c>
      <c r="K444" s="212">
        <f>Variables!$C$13</f>
        <v>1</v>
      </c>
      <c r="L444" s="213">
        <f t="shared" si="47"/>
        <v>5778619.9494630881</v>
      </c>
      <c r="N444" s="215">
        <f>IF(D444&gt;1500000,Budgeting!$B$13,(IF(D444&gt;500000,Budgeting!$C$13,Budgeting!$D$13)))</f>
        <v>25.956254000485576</v>
      </c>
      <c r="O444" s="216">
        <f t="shared" si="48"/>
        <v>149991327.18053705</v>
      </c>
      <c r="P444" s="217">
        <f>IF(D444&gt;1500000,Budgeting!$B$15,(IF(D444&gt;500000,Budgeting!$C$15,Budgeting!$D$15)))</f>
        <v>3.7080362857836535</v>
      </c>
      <c r="Q444" s="218">
        <f t="shared" si="49"/>
        <v>21427332.454362433</v>
      </c>
    </row>
    <row r="445" spans="1:17">
      <c r="A445" s="222">
        <v>22</v>
      </c>
      <c r="B445" s="191" t="s">
        <v>130</v>
      </c>
      <c r="C445" s="191">
        <v>2029</v>
      </c>
      <c r="D445" s="208">
        <f>Population!N23</f>
        <v>16821452.08450919</v>
      </c>
      <c r="E445" s="209" t="str">
        <f t="shared" si="44"/>
        <v>Large</v>
      </c>
      <c r="F445" s="208"/>
      <c r="G445" s="210">
        <f>Variables!$C$3*POWER(SUM(1,Variables!$C$2/100),C445-2017)</f>
        <v>14874.397183863404</v>
      </c>
      <c r="H445" s="210">
        <f t="shared" si="45"/>
        <v>350.56213698540887</v>
      </c>
      <c r="I445" s="211">
        <f>VLOOKUP(B445,'Waste per capita'!$B$2:$F$48,4,FALSE)*(H445/Variables!$C$6)</f>
        <v>385.26760617031175</v>
      </c>
      <c r="J445" s="210">
        <f t="shared" si="46"/>
        <v>6480760.5769074569</v>
      </c>
      <c r="K445" s="212">
        <f>Variables!$C$13</f>
        <v>1</v>
      </c>
      <c r="L445" s="213">
        <f t="shared" si="47"/>
        <v>6480760.5769074569</v>
      </c>
      <c r="N445" s="215">
        <f>IF(D445&gt;1500000,Budgeting!$B$13,(IF(D445&gt;500000,Budgeting!$C$13,Budgeting!$D$13)))</f>
        <v>25.956254000485576</v>
      </c>
      <c r="O445" s="216">
        <f t="shared" si="48"/>
        <v>168216267.65054339</v>
      </c>
      <c r="P445" s="217">
        <f>IF(D445&gt;1500000,Budgeting!$B$15,(IF(D445&gt;500000,Budgeting!$C$15,Budgeting!$D$15)))</f>
        <v>3.7080362857836535</v>
      </c>
      <c r="Q445" s="218">
        <f t="shared" si="49"/>
        <v>24030895.378649052</v>
      </c>
    </row>
    <row r="446" spans="1:17">
      <c r="A446" s="222">
        <v>23</v>
      </c>
      <c r="B446" s="191" t="s">
        <v>131</v>
      </c>
      <c r="C446" s="191">
        <v>2029</v>
      </c>
      <c r="D446" s="208">
        <f>Population!N24</f>
        <v>61003.279975114929</v>
      </c>
      <c r="E446" s="209" t="str">
        <f t="shared" si="44"/>
        <v>Small</v>
      </c>
      <c r="F446" s="208"/>
      <c r="G446" s="210">
        <f>Variables!$C$3*POWER(SUM(1,Variables!$C$2/100),C446-2017)</f>
        <v>14874.397183863404</v>
      </c>
      <c r="H446" s="210">
        <f t="shared" si="45"/>
        <v>350.56213698540887</v>
      </c>
      <c r="I446" s="211">
        <f>VLOOKUP(B446,'Waste per capita'!$B$2:$F$48,4,FALSE)*(H446/Variables!$C$6)</f>
        <v>365.11514677063388</v>
      </c>
      <c r="J446" s="210">
        <f t="shared" si="46"/>
        <v>22273.221521604159</v>
      </c>
      <c r="K446" s="212">
        <f>Variables!$C$13</f>
        <v>1</v>
      </c>
      <c r="L446" s="213">
        <f t="shared" si="47"/>
        <v>22273.221521604159</v>
      </c>
      <c r="N446" s="215">
        <f>IF(D446&gt;1500000,Budgeting!$B$13,(IF(D446&gt;500000,Budgeting!$C$13,Budgeting!$D$13)))</f>
        <v>26.27408568212417</v>
      </c>
      <c r="O446" s="216">
        <f t="shared" si="48"/>
        <v>585208.53067555977</v>
      </c>
      <c r="P446" s="217">
        <f>IF(D446&gt;1500000,Budgeting!$B$15,(IF(D446&gt;500000,Budgeting!$C$15,Budgeting!$D$15)))</f>
        <v>7.6279603593263765</v>
      </c>
      <c r="Q446" s="218">
        <f t="shared" si="49"/>
        <v>169899.25084129165</v>
      </c>
    </row>
    <row r="447" spans="1:17">
      <c r="A447" s="222">
        <v>24</v>
      </c>
      <c r="B447" s="191" t="s">
        <v>132</v>
      </c>
      <c r="C447" s="191">
        <v>2029</v>
      </c>
      <c r="D447" s="208">
        <f>Population!N25</f>
        <v>2567485.4738298226</v>
      </c>
      <c r="E447" s="209" t="str">
        <f t="shared" si="44"/>
        <v>Large</v>
      </c>
      <c r="F447" s="208"/>
      <c r="G447" s="210">
        <f>Variables!$C$3*POWER(SUM(1,Variables!$C$2/100),C447-2017)</f>
        <v>14874.397183863404</v>
      </c>
      <c r="H447" s="210">
        <f t="shared" si="45"/>
        <v>350.56213698540887</v>
      </c>
      <c r="I447" s="211">
        <f>VLOOKUP(B447,'Waste per capita'!$B$2:$F$48,4,FALSE)*(H447/Variables!$C$6)</f>
        <v>250.12758431364858</v>
      </c>
      <c r="J447" s="210">
        <f t="shared" si="46"/>
        <v>642198.93932943686</v>
      </c>
      <c r="K447" s="212">
        <f>Variables!$C$13</f>
        <v>1</v>
      </c>
      <c r="L447" s="213">
        <f t="shared" si="47"/>
        <v>642198.93932943686</v>
      </c>
      <c r="N447" s="215">
        <f>IF(D447&gt;1500000,Budgeting!$B$13,(IF(D447&gt;500000,Budgeting!$C$13,Budgeting!$D$13)))</f>
        <v>25.956254000485576</v>
      </c>
      <c r="O447" s="216">
        <f t="shared" si="48"/>
        <v>16669078.788077289</v>
      </c>
      <c r="P447" s="217">
        <f>IF(D447&gt;1500000,Budgeting!$B$15,(IF(D447&gt;500000,Budgeting!$C$15,Budgeting!$D$15)))</f>
        <v>3.7080362857836535</v>
      </c>
      <c r="Q447" s="218">
        <f t="shared" si="49"/>
        <v>2381296.9697253271</v>
      </c>
    </row>
    <row r="448" spans="1:17">
      <c r="A448" s="222">
        <v>25</v>
      </c>
      <c r="B448" s="191" t="s">
        <v>133</v>
      </c>
      <c r="C448" s="191">
        <v>2029</v>
      </c>
      <c r="D448" s="208">
        <f>Population!N26</f>
        <v>368567.0092566525</v>
      </c>
      <c r="E448" s="209" t="str">
        <f t="shared" si="44"/>
        <v>Medium</v>
      </c>
      <c r="F448" s="208"/>
      <c r="G448" s="210">
        <f>Variables!$C$3*POWER(SUM(1,Variables!$C$2/100),C448-2017)</f>
        <v>14874.397183863404</v>
      </c>
      <c r="H448" s="210">
        <f t="shared" si="45"/>
        <v>350.56213698540887</v>
      </c>
      <c r="I448" s="211">
        <f>VLOOKUP(B448,'Waste per capita'!$B$2:$F$48,4,FALSE)*(H448/Variables!$C$6)</f>
        <v>398.90015223479975</v>
      </c>
      <c r="J448" s="210">
        <f t="shared" si="46"/>
        <v>147021.43610120352</v>
      </c>
      <c r="K448" s="212">
        <f>Variables!$C$13</f>
        <v>1</v>
      </c>
      <c r="L448" s="213">
        <f t="shared" si="47"/>
        <v>147021.43610120352</v>
      </c>
      <c r="N448" s="215">
        <f>IF(D448&gt;1500000,Budgeting!$B$13,(IF(D448&gt;500000,Budgeting!$C$13,Budgeting!$D$13)))</f>
        <v>26.27408568212417</v>
      </c>
      <c r="O448" s="216">
        <f t="shared" si="48"/>
        <v>3862853.8092319649</v>
      </c>
      <c r="P448" s="217">
        <f>IF(D448&gt;1500000,Budgeting!$B$15,(IF(D448&gt;500000,Budgeting!$C$15,Budgeting!$D$15)))</f>
        <v>7.6279603593263765</v>
      </c>
      <c r="Q448" s="218">
        <f t="shared" si="49"/>
        <v>1121473.6865512163</v>
      </c>
    </row>
    <row r="449" spans="1:17">
      <c r="A449" s="222">
        <v>26</v>
      </c>
      <c r="B449" s="191" t="s">
        <v>134</v>
      </c>
      <c r="C449" s="191">
        <v>2029</v>
      </c>
      <c r="D449" s="208">
        <f>Population!N27</f>
        <v>152726.95623327247</v>
      </c>
      <c r="E449" s="209" t="str">
        <f t="shared" si="44"/>
        <v>Medium</v>
      </c>
      <c r="F449" s="208"/>
      <c r="G449" s="210">
        <f>Variables!$C$3*POWER(SUM(1,Variables!$C$2/100),C449-2017)</f>
        <v>14874.397183863404</v>
      </c>
      <c r="H449" s="210">
        <f t="shared" si="45"/>
        <v>350.56213698540887</v>
      </c>
      <c r="I449" s="211">
        <f>VLOOKUP(B449,'Waste per capita'!$B$2:$F$48,4,FALSE)*(H449/Variables!$C$6)</f>
        <v>513.88771469178505</v>
      </c>
      <c r="J449" s="210">
        <f t="shared" si="46"/>
        <v>78484.506510548672</v>
      </c>
      <c r="K449" s="212">
        <f>Variables!$C$13</f>
        <v>1</v>
      </c>
      <c r="L449" s="213">
        <f t="shared" si="47"/>
        <v>78484.506510548672</v>
      </c>
      <c r="N449" s="215">
        <f>IF(D449&gt;1500000,Budgeting!$B$13,(IF(D449&gt;500000,Budgeting!$C$13,Budgeting!$D$13)))</f>
        <v>26.27408568212417</v>
      </c>
      <c r="O449" s="216">
        <f t="shared" si="48"/>
        <v>2062108.648777388</v>
      </c>
      <c r="P449" s="217">
        <f>IF(D449&gt;1500000,Budgeting!$B$15,(IF(D449&gt;500000,Budgeting!$C$15,Budgeting!$D$15)))</f>
        <v>7.6279603593263765</v>
      </c>
      <c r="Q449" s="218">
        <f t="shared" si="49"/>
        <v>598676.70448375819</v>
      </c>
    </row>
    <row r="450" spans="1:17">
      <c r="A450" s="222">
        <v>27</v>
      </c>
      <c r="B450" s="191" t="s">
        <v>135</v>
      </c>
      <c r="C450" s="191">
        <v>2029</v>
      </c>
      <c r="D450" s="208">
        <f>Population!N28</f>
        <v>1540338.5359995828</v>
      </c>
      <c r="E450" s="209" t="str">
        <f t="shared" si="44"/>
        <v>Large</v>
      </c>
      <c r="F450" s="208"/>
      <c r="G450" s="210">
        <f>Variables!$C$3*POWER(SUM(1,Variables!$C$2/100),C450-2017)</f>
        <v>14874.397183863404</v>
      </c>
      <c r="H450" s="210">
        <f t="shared" si="45"/>
        <v>350.56213698540887</v>
      </c>
      <c r="I450" s="211">
        <f>VLOOKUP(B450,'Waste per capita'!$B$2:$F$48,4,FALSE)*(H450/Variables!$C$6)</f>
        <v>202.71003278499481</v>
      </c>
      <c r="J450" s="210">
        <f t="shared" si="46"/>
        <v>312242.07513246633</v>
      </c>
      <c r="K450" s="212">
        <f>Variables!$C$13</f>
        <v>1</v>
      </c>
      <c r="L450" s="213">
        <f t="shared" si="47"/>
        <v>312242.07513246633</v>
      </c>
      <c r="N450" s="215">
        <f>IF(D450&gt;1500000,Budgeting!$B$13,(IF(D450&gt;500000,Budgeting!$C$13,Budgeting!$D$13)))</f>
        <v>25.956254000485576</v>
      </c>
      <c r="O450" s="216">
        <f t="shared" si="48"/>
        <v>8104634.6117769964</v>
      </c>
      <c r="P450" s="217">
        <f>IF(D450&gt;1500000,Budgeting!$B$15,(IF(D450&gt;500000,Budgeting!$C$15,Budgeting!$D$15)))</f>
        <v>3.7080362857836535</v>
      </c>
      <c r="Q450" s="218">
        <f t="shared" si="49"/>
        <v>1157804.9445395709</v>
      </c>
    </row>
    <row r="451" spans="1:17">
      <c r="A451" s="222">
        <v>28</v>
      </c>
      <c r="B451" s="191" t="s">
        <v>136</v>
      </c>
      <c r="C451" s="191">
        <v>2029</v>
      </c>
      <c r="D451" s="208">
        <f>Population!N29</f>
        <v>1636368.7386322736</v>
      </c>
      <c r="E451" s="209" t="str">
        <f t="shared" si="44"/>
        <v>Large</v>
      </c>
      <c r="F451" s="208"/>
      <c r="G451" s="210">
        <f>Variables!$C$3*POWER(SUM(1,Variables!$C$2/100),C451-2017)</f>
        <v>14874.397183863404</v>
      </c>
      <c r="H451" s="210">
        <f t="shared" si="45"/>
        <v>350.56213698540887</v>
      </c>
      <c r="I451" s="211">
        <f>VLOOKUP(B451,'Waste per capita'!$B$2:$F$48,4,FALSE)*(H451/Variables!$C$6)</f>
        <v>168.925027320829</v>
      </c>
      <c r="J451" s="210">
        <f t="shared" si="46"/>
        <v>276423.63388040732</v>
      </c>
      <c r="K451" s="212">
        <f>Variables!$C$13</f>
        <v>1</v>
      </c>
      <c r="L451" s="213">
        <f t="shared" si="47"/>
        <v>276423.63388040732</v>
      </c>
      <c r="N451" s="215">
        <f>IF(D451&gt;1500000,Budgeting!$B$13,(IF(D451&gt;500000,Budgeting!$C$13,Budgeting!$D$13)))</f>
        <v>25.956254000485576</v>
      </c>
      <c r="O451" s="216">
        <f t="shared" si="48"/>
        <v>7174922.0527370824</v>
      </c>
      <c r="P451" s="217">
        <f>IF(D451&gt;1500000,Budgeting!$B$15,(IF(D451&gt;500000,Budgeting!$C$15,Budgeting!$D$15)))</f>
        <v>3.7080362857836535</v>
      </c>
      <c r="Q451" s="218">
        <f t="shared" si="49"/>
        <v>1024988.8646767261</v>
      </c>
    </row>
    <row r="452" spans="1:17">
      <c r="A452" s="222">
        <v>29</v>
      </c>
      <c r="B452" s="191" t="s">
        <v>137</v>
      </c>
      <c r="C452" s="191">
        <v>2029</v>
      </c>
      <c r="D452" s="208">
        <f>Population!N30</f>
        <v>218343.17384001141</v>
      </c>
      <c r="E452" s="209" t="str">
        <f t="shared" si="44"/>
        <v>Medium</v>
      </c>
      <c r="F452" s="208"/>
      <c r="G452" s="210">
        <f>Variables!$C$3*POWER(SUM(1,Variables!$C$2/100),C452-2017)</f>
        <v>14874.397183863404</v>
      </c>
      <c r="H452" s="210">
        <f t="shared" si="45"/>
        <v>350.56213698540887</v>
      </c>
      <c r="I452" s="211">
        <f>VLOOKUP(B452,'Waste per capita'!$B$2:$F$48,4,FALSE)*(H452/Variables!$C$6)</f>
        <v>229.97512491397072</v>
      </c>
      <c r="J452" s="210">
        <f t="shared" si="46"/>
        <v>50213.498677969452</v>
      </c>
      <c r="K452" s="212">
        <f>Variables!$C$13</f>
        <v>1</v>
      </c>
      <c r="L452" s="213">
        <f t="shared" si="47"/>
        <v>50213.498677969452</v>
      </c>
      <c r="N452" s="215">
        <f>IF(D452&gt;1500000,Budgeting!$B$13,(IF(D452&gt;500000,Budgeting!$C$13,Budgeting!$D$13)))</f>
        <v>26.27408568212417</v>
      </c>
      <c r="O452" s="216">
        <f t="shared" si="48"/>
        <v>1319313.7666641981</v>
      </c>
      <c r="P452" s="217">
        <f>IF(D452&gt;1500000,Budgeting!$B$15,(IF(D452&gt;500000,Budgeting!$C$15,Budgeting!$D$15)))</f>
        <v>7.6279603593263765</v>
      </c>
      <c r="Q452" s="218">
        <f t="shared" si="49"/>
        <v>383026.57741863839</v>
      </c>
    </row>
    <row r="453" spans="1:17">
      <c r="A453" s="222">
        <v>30</v>
      </c>
      <c r="B453" s="191" t="s">
        <v>138</v>
      </c>
      <c r="C453" s="191">
        <v>2029</v>
      </c>
      <c r="D453" s="208">
        <f>Population!N31</f>
        <v>149798.51829858983</v>
      </c>
      <c r="E453" s="209" t="str">
        <f t="shared" ref="E453:E507" si="50">IF(D453&lt;100000,"Small",IF(D453&lt;1000000,"Medium","Large"))</f>
        <v>Medium</v>
      </c>
      <c r="F453" s="208"/>
      <c r="G453" s="210">
        <f>Variables!$C$3*POWER(SUM(1,Variables!$C$2/100),C453-2017)</f>
        <v>14874.397183863404</v>
      </c>
      <c r="H453" s="210">
        <f t="shared" si="45"/>
        <v>350.56213698540887</v>
      </c>
      <c r="I453" s="211">
        <f>VLOOKUP(B453,'Waste per capita'!$B$2:$F$48,4,FALSE)*(H453/Variables!$C$6)</f>
        <v>216.34257884948278</v>
      </c>
      <c r="J453" s="210">
        <f t="shared" si="46"/>
        <v>32407.79775654836</v>
      </c>
      <c r="K453" s="212">
        <f>Variables!$C$13</f>
        <v>1</v>
      </c>
      <c r="L453" s="213">
        <f t="shared" si="47"/>
        <v>32407.79775654836</v>
      </c>
      <c r="N453" s="215">
        <f>IF(D453&gt;1500000,Budgeting!$B$13,(IF(D453&gt;500000,Budgeting!$C$13,Budgeting!$D$13)))</f>
        <v>26.27408568212417</v>
      </c>
      <c r="O453" s="216">
        <f t="shared" si="48"/>
        <v>851485.2550245031</v>
      </c>
      <c r="P453" s="217">
        <f>IF(D453&gt;1500000,Budgeting!$B$15,(IF(D453&gt;500000,Budgeting!$C$15,Budgeting!$D$15)))</f>
        <v>7.6279603593263765</v>
      </c>
      <c r="Q453" s="218">
        <f t="shared" si="49"/>
        <v>247205.39662001716</v>
      </c>
    </row>
    <row r="454" spans="1:17">
      <c r="A454" s="222">
        <v>31</v>
      </c>
      <c r="B454" s="191" t="s">
        <v>139</v>
      </c>
      <c r="C454" s="191">
        <v>2029</v>
      </c>
      <c r="D454" s="208">
        <f>Population!N32</f>
        <v>258510.48833295947</v>
      </c>
      <c r="E454" s="209" t="str">
        <f t="shared" si="50"/>
        <v>Medium</v>
      </c>
      <c r="F454" s="208"/>
      <c r="G454" s="210">
        <f>Variables!$C$3*POWER(SUM(1,Variables!$C$2/100),C454-2017)</f>
        <v>14874.397183863404</v>
      </c>
      <c r="H454" s="210">
        <f t="shared" si="45"/>
        <v>350.56213698540887</v>
      </c>
      <c r="I454" s="211">
        <f>VLOOKUP(B454,'Waste per capita'!$B$2:$F$48,4,FALSE)*(H454/Variables!$C$6)</f>
        <v>240.56504475537005</v>
      </c>
      <c r="J454" s="210">
        <f t="shared" si="46"/>
        <v>62188.587195550965</v>
      </c>
      <c r="K454" s="212">
        <f>Variables!$C$13</f>
        <v>1</v>
      </c>
      <c r="L454" s="213">
        <f t="shared" si="47"/>
        <v>62188.587195550965</v>
      </c>
      <c r="N454" s="215">
        <f>IF(D454&gt;1500000,Budgeting!$B$13,(IF(D454&gt;500000,Budgeting!$C$13,Budgeting!$D$13)))</f>
        <v>26.27408568212417</v>
      </c>
      <c r="O454" s="216">
        <f t="shared" si="48"/>
        <v>1633948.2684261561</v>
      </c>
      <c r="P454" s="217">
        <f>IF(D454&gt;1500000,Budgeting!$B$15,(IF(D454&gt;500000,Budgeting!$C$15,Budgeting!$D$15)))</f>
        <v>7.6279603593263765</v>
      </c>
      <c r="Q454" s="218">
        <f t="shared" si="49"/>
        <v>474372.07793017465</v>
      </c>
    </row>
    <row r="455" spans="1:17">
      <c r="A455" s="222">
        <v>32</v>
      </c>
      <c r="B455" s="191" t="s">
        <v>140</v>
      </c>
      <c r="C455" s="191">
        <v>2029</v>
      </c>
      <c r="D455" s="208">
        <f>Population!N33</f>
        <v>1799701.1830027597</v>
      </c>
      <c r="E455" s="209" t="str">
        <f t="shared" si="50"/>
        <v>Large</v>
      </c>
      <c r="F455" s="208"/>
      <c r="G455" s="210">
        <f>Variables!$C$3*POWER(SUM(1,Variables!$C$2/100),C455-2017)</f>
        <v>14874.397183863404</v>
      </c>
      <c r="H455" s="210">
        <f t="shared" si="45"/>
        <v>350.56213698540887</v>
      </c>
      <c r="I455" s="211">
        <f>VLOOKUP(B455,'Waste per capita'!$B$2:$F$48,4,FALSE)*(H455/Variables!$C$6)</f>
        <v>324.81022797127827</v>
      </c>
      <c r="J455" s="210">
        <f t="shared" si="46"/>
        <v>584561.35153130558</v>
      </c>
      <c r="K455" s="212">
        <f>Variables!$C$13</f>
        <v>1</v>
      </c>
      <c r="L455" s="213">
        <f t="shared" si="47"/>
        <v>584561.35153130558</v>
      </c>
      <c r="N455" s="215">
        <f>IF(D455&gt;1500000,Budgeting!$B$13,(IF(D455&gt;500000,Budgeting!$C$13,Budgeting!$D$13)))</f>
        <v>25.956254000485576</v>
      </c>
      <c r="O455" s="216">
        <f t="shared" si="48"/>
        <v>15173022.919213705</v>
      </c>
      <c r="P455" s="217">
        <f>IF(D455&gt;1500000,Budgeting!$B$15,(IF(D455&gt;500000,Budgeting!$C$15,Budgeting!$D$15)))</f>
        <v>3.7080362857836535</v>
      </c>
      <c r="Q455" s="218">
        <f t="shared" si="49"/>
        <v>2167574.702744815</v>
      </c>
    </row>
    <row r="456" spans="1:17">
      <c r="A456" s="222">
        <v>33</v>
      </c>
      <c r="B456" s="191" t="s">
        <v>141</v>
      </c>
      <c r="C456" s="191">
        <v>2029</v>
      </c>
      <c r="D456" s="208">
        <f>Population!N34</f>
        <v>1133707.9313285153</v>
      </c>
      <c r="E456" s="209" t="str">
        <f t="shared" si="50"/>
        <v>Large</v>
      </c>
      <c r="F456" s="208"/>
      <c r="G456" s="210">
        <f>Variables!$C$3*POWER(SUM(1,Variables!$C$2/100),C456-2017)</f>
        <v>14874.397183863404</v>
      </c>
      <c r="H456" s="210">
        <f t="shared" si="45"/>
        <v>350.56213698540887</v>
      </c>
      <c r="I456" s="211">
        <f>VLOOKUP(B456,'Waste per capita'!$B$2:$F$48,4,FALSE)*(H456/Variables!$C$6)</f>
        <v>155.29248125634106</v>
      </c>
      <c r="J456" s="210">
        <f t="shared" si="46"/>
        <v>176056.31767599867</v>
      </c>
      <c r="K456" s="212">
        <f>Variables!$C$13</f>
        <v>1</v>
      </c>
      <c r="L456" s="213">
        <f t="shared" si="47"/>
        <v>176056.31767599867</v>
      </c>
      <c r="N456" s="215">
        <f>IF(D456&gt;1500000,Budgeting!$B$13,(IF(D456&gt;500000,Budgeting!$C$13,Budgeting!$D$13)))</f>
        <v>26.132827156951464</v>
      </c>
      <c r="O456" s="216">
        <f t="shared" si="48"/>
        <v>4600849.3197162123</v>
      </c>
      <c r="P456" s="217">
        <f>IF(D456&gt;1500000,Budgeting!$B$15,(IF(D456&gt;500000,Budgeting!$C$15,Budgeting!$D$15)))</f>
        <v>2.1188778775906578</v>
      </c>
      <c r="Q456" s="218">
        <f t="shared" si="49"/>
        <v>373041.83673374669</v>
      </c>
    </row>
    <row r="457" spans="1:17">
      <c r="A457" s="222">
        <v>34</v>
      </c>
      <c r="B457" s="191" t="s">
        <v>142</v>
      </c>
      <c r="C457" s="191">
        <v>2029</v>
      </c>
      <c r="D457" s="208">
        <f>Population!N35</f>
        <v>655832.89829857543</v>
      </c>
      <c r="E457" s="209" t="str">
        <f t="shared" si="50"/>
        <v>Medium</v>
      </c>
      <c r="F457" s="208"/>
      <c r="G457" s="210">
        <f>Variables!$C$3*POWER(SUM(1,Variables!$C$2/100),C457-2017)</f>
        <v>14874.397183863404</v>
      </c>
      <c r="H457" s="210">
        <f t="shared" si="45"/>
        <v>350.56213698540887</v>
      </c>
      <c r="I457" s="211">
        <f>VLOOKUP(B457,'Waste per capita'!$B$2:$F$48,4,FALSE)*(H457/Variables!$C$6)</f>
        <v>278.57811523084081</v>
      </c>
      <c r="J457" s="210">
        <f t="shared" si="46"/>
        <v>182700.69271439684</v>
      </c>
      <c r="K457" s="212">
        <f>Variables!$C$13</f>
        <v>1</v>
      </c>
      <c r="L457" s="213">
        <f t="shared" si="47"/>
        <v>182700.69271439684</v>
      </c>
      <c r="N457" s="215">
        <f>IF(D457&gt;1500000,Budgeting!$B$13,(IF(D457&gt;500000,Budgeting!$C$13,Budgeting!$D$13)))</f>
        <v>26.132827156951464</v>
      </c>
      <c r="O457" s="216">
        <f t="shared" si="48"/>
        <v>4774485.6241606344</v>
      </c>
      <c r="P457" s="217">
        <f>IF(D457&gt;1500000,Budgeting!$B$15,(IF(D457&gt;500000,Budgeting!$C$15,Budgeting!$D$15)))</f>
        <v>2.1188778775906578</v>
      </c>
      <c r="Q457" s="218">
        <f t="shared" si="49"/>
        <v>387120.45601302414</v>
      </c>
    </row>
    <row r="458" spans="1:17">
      <c r="A458" s="222">
        <v>35</v>
      </c>
      <c r="B458" s="191" t="s">
        <v>143</v>
      </c>
      <c r="C458" s="191">
        <v>2029</v>
      </c>
      <c r="D458" s="208">
        <f>Population!N36</f>
        <v>279401.33344326197</v>
      </c>
      <c r="E458" s="209" t="str">
        <f t="shared" si="50"/>
        <v>Medium</v>
      </c>
      <c r="F458" s="208"/>
      <c r="G458" s="210">
        <f>Variables!$C$3*POWER(SUM(1,Variables!$C$2/100),C458-2017)</f>
        <v>14874.397183863404</v>
      </c>
      <c r="H458" s="210">
        <f t="shared" si="45"/>
        <v>350.56213698540887</v>
      </c>
      <c r="I458" s="211">
        <f>VLOOKUP(B458,'Waste per capita'!$B$2:$F$48,4,FALSE)*(H458/Variables!$C$6)</f>
        <v>238.27319643148516</v>
      </c>
      <c r="J458" s="210">
        <f t="shared" si="46"/>
        <v>66573.848806745242</v>
      </c>
      <c r="K458" s="212">
        <f>Variables!$C$13</f>
        <v>1</v>
      </c>
      <c r="L458" s="213">
        <f t="shared" si="47"/>
        <v>66573.848806745242</v>
      </c>
      <c r="N458" s="215">
        <f>IF(D458&gt;1500000,Budgeting!$B$13,(IF(D458&gt;500000,Budgeting!$C$13,Budgeting!$D$13)))</f>
        <v>26.27408568212417</v>
      </c>
      <c r="O458" s="216">
        <f t="shared" si="48"/>
        <v>1749167.0077372044</v>
      </c>
      <c r="P458" s="217">
        <f>IF(D458&gt;1500000,Budgeting!$B$15,(IF(D458&gt;500000,Budgeting!$C$15,Budgeting!$D$15)))</f>
        <v>7.6279603593263765</v>
      </c>
      <c r="Q458" s="218">
        <f t="shared" si="49"/>
        <v>507822.67966564029</v>
      </c>
    </row>
    <row r="459" spans="1:17">
      <c r="A459" s="222">
        <v>36</v>
      </c>
      <c r="B459" s="191" t="s">
        <v>144</v>
      </c>
      <c r="C459" s="191">
        <v>2029</v>
      </c>
      <c r="D459" s="208">
        <f>Population!N37</f>
        <v>1791386.9193402093</v>
      </c>
      <c r="E459" s="209" t="str">
        <f t="shared" si="50"/>
        <v>Large</v>
      </c>
      <c r="F459" s="208"/>
      <c r="G459" s="210">
        <f>Variables!$C$3*POWER(SUM(1,Variables!$C$2/100),C459-2017)</f>
        <v>14874.397183863404</v>
      </c>
      <c r="H459" s="210">
        <f t="shared" si="45"/>
        <v>350.56213698540887</v>
      </c>
      <c r="I459" s="211">
        <f>VLOOKUP(B459,'Waste per capita'!$B$2:$F$48,4,FALSE)*(H459/Variables!$C$6)</f>
        <v>337.85005464165801</v>
      </c>
      <c r="J459" s="210">
        <f t="shared" si="46"/>
        <v>605220.16858344118</v>
      </c>
      <c r="K459" s="212">
        <f>Variables!$C$13</f>
        <v>1</v>
      </c>
      <c r="L459" s="213">
        <f t="shared" si="47"/>
        <v>605220.16858344118</v>
      </c>
      <c r="N459" s="215">
        <f>IF(D459&gt;1500000,Budgeting!$B$13,(IF(D459&gt;500000,Budgeting!$C$13,Budgeting!$D$13)))</f>
        <v>25.956254000485576</v>
      </c>
      <c r="O459" s="216">
        <f t="shared" si="48"/>
        <v>15709248.421968499</v>
      </c>
      <c r="P459" s="217">
        <f>IF(D459&gt;1500000,Budgeting!$B$15,(IF(D459&gt;500000,Budgeting!$C$15,Budgeting!$D$15)))</f>
        <v>3.7080362857836535</v>
      </c>
      <c r="Q459" s="218">
        <f t="shared" si="49"/>
        <v>2244178.3459954998</v>
      </c>
    </row>
    <row r="460" spans="1:17">
      <c r="A460" s="222">
        <v>37</v>
      </c>
      <c r="B460" s="191" t="s">
        <v>145</v>
      </c>
      <c r="C460" s="191">
        <v>2029</v>
      </c>
      <c r="D460" s="208">
        <f>Population!N38</f>
        <v>298875.97926084185</v>
      </c>
      <c r="E460" s="209" t="str">
        <f t="shared" si="50"/>
        <v>Medium</v>
      </c>
      <c r="F460" s="208"/>
      <c r="G460" s="210">
        <f>Variables!$C$3*POWER(SUM(1,Variables!$C$2/100),C460-2017)</f>
        <v>14874.397183863404</v>
      </c>
      <c r="H460" s="210">
        <f t="shared" si="45"/>
        <v>350.56213698540887</v>
      </c>
      <c r="I460" s="211">
        <f>VLOOKUP(B460,'Waste per capita'!$B$2:$F$48,4,FALSE)*(H460/Variables!$C$6)</f>
        <v>238.27319643148516</v>
      </c>
      <c r="J460" s="210">
        <f t="shared" si="46"/>
        <v>71214.134915071059</v>
      </c>
      <c r="K460" s="212">
        <f>Variables!$C$13</f>
        <v>1</v>
      </c>
      <c r="L460" s="213">
        <f t="shared" si="47"/>
        <v>71214.134915071059</v>
      </c>
      <c r="N460" s="215">
        <f>IF(D460&gt;1500000,Budgeting!$B$13,(IF(D460&gt;500000,Budgeting!$C$13,Budgeting!$D$13)))</f>
        <v>26.27408568212417</v>
      </c>
      <c r="O460" s="216">
        <f t="shared" si="48"/>
        <v>1871086.2825369274</v>
      </c>
      <c r="P460" s="217">
        <f>IF(D460&gt;1500000,Budgeting!$B$15,(IF(D460&gt;500000,Budgeting!$C$15,Budgeting!$D$15)))</f>
        <v>7.6279603593263765</v>
      </c>
      <c r="Q460" s="218">
        <f t="shared" si="49"/>
        <v>543218.59815588244</v>
      </c>
    </row>
    <row r="461" spans="1:17">
      <c r="A461" s="222">
        <v>38</v>
      </c>
      <c r="B461" s="191" t="s">
        <v>146</v>
      </c>
      <c r="C461" s="191">
        <v>2029</v>
      </c>
      <c r="D461" s="208">
        <f>Population!N39</f>
        <v>1314360.996112257</v>
      </c>
      <c r="E461" s="209" t="str">
        <f t="shared" si="50"/>
        <v>Large</v>
      </c>
      <c r="F461" s="208"/>
      <c r="G461" s="210">
        <f>Variables!$C$3*POWER(SUM(1,Variables!$C$2/100),C461-2017)</f>
        <v>14874.397183863404</v>
      </c>
      <c r="H461" s="210">
        <f t="shared" si="45"/>
        <v>350.56213698540887</v>
      </c>
      <c r="I461" s="211">
        <f>VLOOKUP(B461,'Waste per capita'!$B$2:$F$48,4,FALSE)*(H461/Variables!$C$6)</f>
        <v>333.38436057645947</v>
      </c>
      <c r="J461" s="210">
        <f t="shared" si="46"/>
        <v>438187.40025552316</v>
      </c>
      <c r="K461" s="212">
        <f>Variables!$C$13</f>
        <v>1</v>
      </c>
      <c r="L461" s="213">
        <f t="shared" si="47"/>
        <v>438187.40025552316</v>
      </c>
      <c r="N461" s="215">
        <f>IF(D461&gt;1500000,Budgeting!$B$13,(IF(D461&gt;500000,Budgeting!$C$13,Budgeting!$D$13)))</f>
        <v>26.132827156951464</v>
      </c>
      <c r="O461" s="216">
        <f t="shared" si="48"/>
        <v>11451075.593231497</v>
      </c>
      <c r="P461" s="217">
        <f>IF(D461&gt;1500000,Budgeting!$B$15,(IF(D461&gt;500000,Budgeting!$C$15,Budgeting!$D$15)))</f>
        <v>2.1188778775906578</v>
      </c>
      <c r="Q461" s="218">
        <f t="shared" si="49"/>
        <v>928465.58864039101</v>
      </c>
    </row>
    <row r="462" spans="1:17">
      <c r="A462" s="222">
        <v>39</v>
      </c>
      <c r="B462" s="191" t="s">
        <v>147</v>
      </c>
      <c r="C462" s="191">
        <v>2029</v>
      </c>
      <c r="D462" s="208">
        <f>Population!N40</f>
        <v>108204.33347411494</v>
      </c>
      <c r="E462" s="209" t="str">
        <f t="shared" si="50"/>
        <v>Medium</v>
      </c>
      <c r="F462" s="208"/>
      <c r="G462" s="210">
        <f>Variables!$C$3*POWER(SUM(1,Variables!$C$2/100),C462-2017)</f>
        <v>14874.397183863404</v>
      </c>
      <c r="H462" s="210">
        <f t="shared" si="45"/>
        <v>350.56213698540887</v>
      </c>
      <c r="I462" s="211">
        <f>VLOOKUP(B462,'Waste per capita'!$B$2:$F$48,4,FALSE)*(H462/Variables!$C$6)</f>
        <v>270.49723883377015</v>
      </c>
      <c r="J462" s="210">
        <f t="shared" si="46"/>
        <v>29268.973434596581</v>
      </c>
      <c r="K462" s="212">
        <f>Variables!$C$13</f>
        <v>1</v>
      </c>
      <c r="L462" s="213">
        <f t="shared" si="47"/>
        <v>29268.973434596581</v>
      </c>
      <c r="N462" s="215">
        <f>IF(D462&gt;1500000,Budgeting!$B$13,(IF(D462&gt;500000,Budgeting!$C$13,Budgeting!$D$13)))</f>
        <v>26.27408568212417</v>
      </c>
      <c r="O462" s="216">
        <f t="shared" si="48"/>
        <v>769015.51584840671</v>
      </c>
      <c r="P462" s="217">
        <f>IF(D462&gt;1500000,Budgeting!$B$15,(IF(D462&gt;500000,Budgeting!$C$15,Budgeting!$D$15)))</f>
        <v>7.6279603593263765</v>
      </c>
      <c r="Q462" s="218">
        <f t="shared" si="49"/>
        <v>223262.56911727949</v>
      </c>
    </row>
    <row r="463" spans="1:17">
      <c r="A463" s="222">
        <v>40</v>
      </c>
      <c r="B463" s="191" t="s">
        <v>148</v>
      </c>
      <c r="C463" s="191">
        <v>2029</v>
      </c>
      <c r="D463" s="208">
        <f>Population!N41</f>
        <v>193200.68198331125</v>
      </c>
      <c r="E463" s="209" t="str">
        <f t="shared" si="50"/>
        <v>Medium</v>
      </c>
      <c r="F463" s="208"/>
      <c r="G463" s="210">
        <f>Variables!$C$3*POWER(SUM(1,Variables!$C$2/100),C463-2017)</f>
        <v>14874.397183863404</v>
      </c>
      <c r="H463" s="210">
        <f t="shared" si="45"/>
        <v>350.56213698540887</v>
      </c>
      <c r="I463" s="211">
        <f>VLOOKUP(B463,'Waste per capita'!$B$2:$F$48,4,FALSE)*(H463/Variables!$C$6)</f>
        <v>240.56504475537005</v>
      </c>
      <c r="J463" s="210">
        <f t="shared" si="46"/>
        <v>46477.330708083289</v>
      </c>
      <c r="K463" s="212">
        <f>Variables!$C$13</f>
        <v>1</v>
      </c>
      <c r="L463" s="213">
        <f t="shared" si="47"/>
        <v>46477.330708083289</v>
      </c>
      <c r="N463" s="215">
        <f>IF(D463&gt;1500000,Budgeting!$B$13,(IF(D463&gt;500000,Budgeting!$C$13,Budgeting!$D$13)))</f>
        <v>26.27408568212417</v>
      </c>
      <c r="O463" s="216">
        <f t="shared" si="48"/>
        <v>1221149.3693006011</v>
      </c>
      <c r="P463" s="217">
        <f>IF(D463&gt;1500000,Budgeting!$B$15,(IF(D463&gt;500000,Budgeting!$C$15,Budgeting!$D$15)))</f>
        <v>7.6279603593263765</v>
      </c>
      <c r="Q463" s="218">
        <f t="shared" si="49"/>
        <v>354527.23624856182</v>
      </c>
    </row>
    <row r="464" spans="1:17">
      <c r="A464" s="222">
        <v>41</v>
      </c>
      <c r="B464" s="191" t="s">
        <v>149</v>
      </c>
      <c r="C464" s="191">
        <v>2029</v>
      </c>
      <c r="D464" s="208">
        <f>Population!N42</f>
        <v>92990.481007622031</v>
      </c>
      <c r="E464" s="209" t="str">
        <f t="shared" si="50"/>
        <v>Small</v>
      </c>
      <c r="F464" s="208"/>
      <c r="G464" s="210">
        <f>Variables!$C$3*POWER(SUM(1,Variables!$C$2/100),C464-2017)</f>
        <v>14874.397183863404</v>
      </c>
      <c r="H464" s="210">
        <f t="shared" si="45"/>
        <v>350.56213698540887</v>
      </c>
      <c r="I464" s="211">
        <f>VLOOKUP(B464,'Waste per capita'!$B$2:$F$48,4,FALSE)*(H464/Variables!$C$6)</f>
        <v>270.49723883377015</v>
      </c>
      <c r="J464" s="210">
        <f t="shared" si="46"/>
        <v>25153.668350385906</v>
      </c>
      <c r="K464" s="212">
        <f>Variables!$C$13</f>
        <v>1</v>
      </c>
      <c r="L464" s="213">
        <f t="shared" si="47"/>
        <v>25153.668350385906</v>
      </c>
      <c r="N464" s="215">
        <f>IF(D464&gt;1500000,Budgeting!$B$13,(IF(D464&gt;500000,Budgeting!$C$13,Budgeting!$D$13)))</f>
        <v>26.27408568212417</v>
      </c>
      <c r="O464" s="216">
        <f t="shared" si="48"/>
        <v>660889.63745777425</v>
      </c>
      <c r="P464" s="217">
        <f>IF(D464&gt;1500000,Budgeting!$B$15,(IF(D464&gt;500000,Budgeting!$C$15,Budgeting!$D$15)))</f>
        <v>7.6279603593263765</v>
      </c>
      <c r="Q464" s="218">
        <f t="shared" si="49"/>
        <v>191871.18506838617</v>
      </c>
    </row>
    <row r="465" spans="1:17">
      <c r="A465" s="222">
        <v>42</v>
      </c>
      <c r="B465" s="191" t="s">
        <v>150</v>
      </c>
      <c r="C465" s="191">
        <v>2029</v>
      </c>
      <c r="D465" s="208">
        <f>Population!N43</f>
        <v>115155.75303796341</v>
      </c>
      <c r="E465" s="209" t="str">
        <f t="shared" si="50"/>
        <v>Medium</v>
      </c>
      <c r="F465" s="208"/>
      <c r="G465" s="210">
        <f>Variables!$C$3*POWER(SUM(1,Variables!$C$2/100),C465-2017)</f>
        <v>14874.397183863404</v>
      </c>
      <c r="H465" s="210">
        <f t="shared" si="45"/>
        <v>350.56213698540887</v>
      </c>
      <c r="I465" s="211">
        <f>VLOOKUP(B465,'Waste per capita'!$B$2:$F$48,4,FALSE)*(H465/Variables!$C$6)</f>
        <v>270.49723883377015</v>
      </c>
      <c r="J465" s="210">
        <f t="shared" si="46"/>
        <v>31149.313232592642</v>
      </c>
      <c r="K465" s="212">
        <f>Variables!$C$13</f>
        <v>1</v>
      </c>
      <c r="L465" s="213">
        <f t="shared" si="47"/>
        <v>31149.313232592642</v>
      </c>
      <c r="N465" s="215">
        <f>IF(D465&gt;1500000,Budgeting!$B$13,(IF(D465&gt;500000,Budgeting!$C$13,Budgeting!$D$13)))</f>
        <v>26.27408568212417</v>
      </c>
      <c r="O465" s="216">
        <f t="shared" si="48"/>
        <v>818419.72481246328</v>
      </c>
      <c r="P465" s="217">
        <f>IF(D465&gt;1500000,Budgeting!$B$15,(IF(D465&gt;500000,Budgeting!$C$15,Budgeting!$D$15)))</f>
        <v>7.6279603593263765</v>
      </c>
      <c r="Q465" s="218">
        <f t="shared" si="49"/>
        <v>237605.72655845722</v>
      </c>
    </row>
    <row r="466" spans="1:17">
      <c r="A466" s="222">
        <v>1</v>
      </c>
      <c r="B466" s="191" t="s">
        <v>109</v>
      </c>
      <c r="C466" s="191">
        <v>2030</v>
      </c>
      <c r="D466" s="208">
        <f>Population!O2</f>
        <v>624231.52361348702</v>
      </c>
      <c r="E466" s="209" t="str">
        <f t="shared" si="50"/>
        <v>Medium</v>
      </c>
      <c r="F466" s="208"/>
      <c r="G466" s="210">
        <f>Variables!$C$3*POWER(SUM(1,Variables!$C$2/100),C466-2017)</f>
        <v>15933.454263354475</v>
      </c>
      <c r="H466" s="210">
        <f t="shared" si="45"/>
        <v>360.86431460621543</v>
      </c>
      <c r="I466" s="211">
        <f>VLOOKUP(B466,'Waste per capita'!$B$2:$F$48,4,FALSE)*(H466/Variables!$C$6)</f>
        <v>278.22292380197086</v>
      </c>
      <c r="J466" s="210">
        <f t="shared" si="46"/>
        <v>173675.51962910336</v>
      </c>
      <c r="K466" s="212">
        <f>Variables!$C$13</f>
        <v>1</v>
      </c>
      <c r="L466" s="213">
        <f t="shared" si="47"/>
        <v>173675.51962910336</v>
      </c>
      <c r="N466" s="215">
        <f>IF(D466&gt;1500000,Budgeting!$B$13,(IF(D466&gt;500000,Budgeting!$C$13,Budgeting!$D$13)))</f>
        <v>26.132827156951464</v>
      </c>
      <c r="O466" s="216">
        <f t="shared" si="48"/>
        <v>4538632.3358610896</v>
      </c>
      <c r="P466" s="217">
        <f>IF(D466&gt;1500000,Budgeting!$B$15,(IF(D466&gt;500000,Budgeting!$C$15,Budgeting!$D$15)))</f>
        <v>2.1188778775906578</v>
      </c>
      <c r="Q466" s="218">
        <f t="shared" si="49"/>
        <v>367997.21642116917</v>
      </c>
    </row>
    <row r="467" spans="1:17">
      <c r="A467" s="222">
        <v>2</v>
      </c>
      <c r="B467" s="191" t="s">
        <v>110</v>
      </c>
      <c r="C467" s="191">
        <v>2030</v>
      </c>
      <c r="D467" s="208">
        <f>Population!O3</f>
        <v>457894.21288930834</v>
      </c>
      <c r="E467" s="209" t="str">
        <f t="shared" si="50"/>
        <v>Medium</v>
      </c>
      <c r="F467" s="208"/>
      <c r="G467" s="210">
        <f>Variables!$C$3*POWER(SUM(1,Variables!$C$2/100),C467-2017)</f>
        <v>15933.454263354475</v>
      </c>
      <c r="H467" s="210">
        <f t="shared" si="45"/>
        <v>360.86431460621543</v>
      </c>
      <c r="I467" s="211">
        <f>VLOOKUP(B467,'Waste per capita'!$B$2:$F$48,4,FALSE)*(H467/Variables!$C$6)</f>
        <v>173.88932737623179</v>
      </c>
      <c r="J467" s="210">
        <f t="shared" si="46"/>
        <v>79622.916688790923</v>
      </c>
      <c r="K467" s="212">
        <f>Variables!$C$13</f>
        <v>1</v>
      </c>
      <c r="L467" s="213">
        <f t="shared" si="47"/>
        <v>79622.916688790923</v>
      </c>
      <c r="N467" s="215">
        <f>IF(D467&gt;1500000,Budgeting!$B$13,(IF(D467&gt;500000,Budgeting!$C$13,Budgeting!$D$13)))</f>
        <v>26.27408568212417</v>
      </c>
      <c r="O467" s="216">
        <f t="shared" si="48"/>
        <v>2092019.3353419271</v>
      </c>
      <c r="P467" s="217">
        <f>IF(D467&gt;1500000,Budgeting!$B$15,(IF(D467&gt;500000,Budgeting!$C$15,Budgeting!$D$15)))</f>
        <v>7.6279603593263765</v>
      </c>
      <c r="Q467" s="218">
        <f t="shared" si="49"/>
        <v>607360.4521960438</v>
      </c>
    </row>
    <row r="468" spans="1:17">
      <c r="A468" s="222">
        <v>3</v>
      </c>
      <c r="B468" s="191" t="s">
        <v>111</v>
      </c>
      <c r="C468" s="191">
        <v>2030</v>
      </c>
      <c r="D468" s="208">
        <f>Population!O4</f>
        <v>13176888.506482709</v>
      </c>
      <c r="E468" s="209" t="str">
        <f t="shared" si="50"/>
        <v>Large</v>
      </c>
      <c r="F468" s="208"/>
      <c r="G468" s="210">
        <f>Variables!$C$3*POWER(SUM(1,Variables!$C$2/100),C468-2017)</f>
        <v>15933.454263354475</v>
      </c>
      <c r="H468" s="210">
        <f t="shared" si="45"/>
        <v>360.86431460621543</v>
      </c>
      <c r="I468" s="211">
        <f>VLOOKUP(B468,'Waste per capita'!$B$2:$F$48,4,FALSE)*(H468/Variables!$C$6)</f>
        <v>449.6633411603591</v>
      </c>
      <c r="J468" s="210">
        <f t="shared" si="46"/>
        <v>5925163.7119225496</v>
      </c>
      <c r="K468" s="212">
        <f>Variables!$C$13</f>
        <v>1</v>
      </c>
      <c r="L468" s="213">
        <f t="shared" si="47"/>
        <v>5925163.7119225496</v>
      </c>
      <c r="N468" s="215">
        <f>IF(D468&gt;1500000,Budgeting!$B$13,(IF(D468&gt;500000,Budgeting!$C$13,Budgeting!$D$13)))</f>
        <v>25.956254000485576</v>
      </c>
      <c r="O468" s="216">
        <f t="shared" si="48"/>
        <v>153795054.30112165</v>
      </c>
      <c r="P468" s="217">
        <f>IF(D468&gt;1500000,Budgeting!$B$15,(IF(D468&gt;500000,Budgeting!$C$15,Budgeting!$D$15)))</f>
        <v>3.7080362857836535</v>
      </c>
      <c r="Q468" s="218">
        <f t="shared" si="49"/>
        <v>21970722.043017376</v>
      </c>
    </row>
    <row r="469" spans="1:17">
      <c r="A469" s="222">
        <v>4</v>
      </c>
      <c r="B469" s="191" t="s">
        <v>112</v>
      </c>
      <c r="C469" s="191">
        <v>2030</v>
      </c>
      <c r="D469" s="208">
        <f>Population!O5</f>
        <v>2806232.8424945683</v>
      </c>
      <c r="E469" s="209" t="str">
        <f t="shared" si="50"/>
        <v>Large</v>
      </c>
      <c r="F469" s="208"/>
      <c r="G469" s="210">
        <f>Variables!$C$3*POWER(SUM(1,Variables!$C$2/100),C469-2017)</f>
        <v>15933.454263354475</v>
      </c>
      <c r="H469" s="210">
        <f t="shared" si="45"/>
        <v>360.86431460621543</v>
      </c>
      <c r="I469" s="211">
        <f>VLOOKUP(B469,'Waste per capita'!$B$2:$F$48,4,FALSE)*(H469/Variables!$C$6)</f>
        <v>278.22292380197086</v>
      </c>
      <c r="J469" s="210">
        <f t="shared" si="46"/>
        <v>780758.30630795448</v>
      </c>
      <c r="K469" s="212">
        <f>Variables!$C$13</f>
        <v>1</v>
      </c>
      <c r="L469" s="213">
        <f t="shared" si="47"/>
        <v>780758.30630795448</v>
      </c>
      <c r="N469" s="215">
        <f>IF(D469&gt;1500000,Budgeting!$B$13,(IF(D469&gt;500000,Budgeting!$C$13,Budgeting!$D$13)))</f>
        <v>25.956254000485576</v>
      </c>
      <c r="O469" s="216">
        <f t="shared" si="48"/>
        <v>20265560.911518186</v>
      </c>
      <c r="P469" s="217">
        <f>IF(D469&gt;1500000,Budgeting!$B$15,(IF(D469&gt;500000,Budgeting!$C$15,Budgeting!$D$15)))</f>
        <v>3.7080362857836535</v>
      </c>
      <c r="Q469" s="218">
        <f t="shared" si="49"/>
        <v>2895080.1302168835</v>
      </c>
    </row>
    <row r="470" spans="1:17">
      <c r="A470" s="222">
        <v>5</v>
      </c>
      <c r="B470" s="191" t="s">
        <v>113</v>
      </c>
      <c r="C470" s="191">
        <v>2030</v>
      </c>
      <c r="D470" s="208">
        <f>Population!O6</f>
        <v>1316182.1268753866</v>
      </c>
      <c r="E470" s="209" t="str">
        <f t="shared" si="50"/>
        <v>Large</v>
      </c>
      <c r="F470" s="208"/>
      <c r="G470" s="210">
        <f>Variables!$C$3*POWER(SUM(1,Variables!$C$2/100),C470-2017)</f>
        <v>15933.454263354475</v>
      </c>
      <c r="H470" s="210">
        <f t="shared" si="45"/>
        <v>360.86431460621543</v>
      </c>
      <c r="I470" s="211">
        <f>VLOOKUP(B470,'Waste per capita'!$B$2:$F$48,4,FALSE)*(H470/Variables!$C$6)</f>
        <v>278.22292380197086</v>
      </c>
      <c r="J470" s="210">
        <f t="shared" si="46"/>
        <v>366192.03959516663</v>
      </c>
      <c r="K470" s="212">
        <f>Variables!$C$13</f>
        <v>1</v>
      </c>
      <c r="L470" s="213">
        <f t="shared" si="47"/>
        <v>366192.03959516663</v>
      </c>
      <c r="N470" s="215">
        <f>IF(D470&gt;1500000,Budgeting!$B$13,(IF(D470&gt;500000,Budgeting!$C$13,Budgeting!$D$13)))</f>
        <v>26.132827156951464</v>
      </c>
      <c r="O470" s="216">
        <f t="shared" si="48"/>
        <v>9569633.2769920155</v>
      </c>
      <c r="P470" s="217">
        <f>IF(D470&gt;1500000,Budgeting!$B$15,(IF(D470&gt;500000,Budgeting!$C$15,Budgeting!$D$15)))</f>
        <v>2.1188778775906578</v>
      </c>
      <c r="Q470" s="218">
        <f t="shared" si="49"/>
        <v>775916.21164800075</v>
      </c>
    </row>
    <row r="471" spans="1:17">
      <c r="A471" s="222">
        <v>6</v>
      </c>
      <c r="B471" s="191" t="s">
        <v>114</v>
      </c>
      <c r="C471" s="191">
        <v>2030</v>
      </c>
      <c r="D471" s="208">
        <f>Population!O7</f>
        <v>1500617.2890694146</v>
      </c>
      <c r="E471" s="209" t="str">
        <f t="shared" si="50"/>
        <v>Large</v>
      </c>
      <c r="F471" s="208"/>
      <c r="G471" s="210">
        <f>Variables!$C$3*POWER(SUM(1,Variables!$C$2/100),C471-2017)</f>
        <v>15933.454263354475</v>
      </c>
      <c r="H471" s="210">
        <f t="shared" si="45"/>
        <v>360.86431460621543</v>
      </c>
      <c r="I471" s="211">
        <f>VLOOKUP(B471,'Waste per capita'!$B$2:$F$48,4,FALSE)*(H471/Variables!$C$6)</f>
        <v>278.22292380197086</v>
      </c>
      <c r="J471" s="210">
        <f t="shared" si="46"/>
        <v>417506.12967267982</v>
      </c>
      <c r="K471" s="212">
        <f>Variables!$C$13</f>
        <v>1</v>
      </c>
      <c r="L471" s="213">
        <f t="shared" si="47"/>
        <v>417506.12967267982</v>
      </c>
      <c r="N471" s="215">
        <f>IF(D471&gt;1500000,Budgeting!$B$13,(IF(D471&gt;500000,Budgeting!$C$13,Budgeting!$D$13)))</f>
        <v>25.956254000485576</v>
      </c>
      <c r="O471" s="216">
        <f t="shared" si="48"/>
        <v>10836895.148543745</v>
      </c>
      <c r="P471" s="217">
        <f>IF(D471&gt;1500000,Budgeting!$B$15,(IF(D471&gt;500000,Budgeting!$C$15,Budgeting!$D$15)))</f>
        <v>3.7080362857836535</v>
      </c>
      <c r="Q471" s="218">
        <f t="shared" si="49"/>
        <v>1548127.8783633921</v>
      </c>
    </row>
    <row r="472" spans="1:17">
      <c r="A472" s="222">
        <v>7</v>
      </c>
      <c r="B472" s="191" t="s">
        <v>115</v>
      </c>
      <c r="C472" s="191">
        <v>2030</v>
      </c>
      <c r="D472" s="208">
        <f>Population!O8</f>
        <v>7251518.9752691109</v>
      </c>
      <c r="E472" s="209" t="str">
        <f t="shared" si="50"/>
        <v>Large</v>
      </c>
      <c r="F472" s="208"/>
      <c r="G472" s="210">
        <f>Variables!$C$3*POWER(SUM(1,Variables!$C$2/100),C472-2017)</f>
        <v>15933.454263354475</v>
      </c>
      <c r="H472" s="210">
        <f t="shared" si="45"/>
        <v>360.86431460621543</v>
      </c>
      <c r="I472" s="211">
        <f>VLOOKUP(B472,'Waste per capita'!$B$2:$F$48,4,FALSE)*(H472/Variables!$C$6)</f>
        <v>431.97769748200739</v>
      </c>
      <c r="J472" s="210">
        <f t="shared" si="46"/>
        <v>3132494.4701838358</v>
      </c>
      <c r="K472" s="212">
        <f>Variables!$C$13</f>
        <v>1</v>
      </c>
      <c r="L472" s="213">
        <f t="shared" si="47"/>
        <v>3132494.4701838358</v>
      </c>
      <c r="N472" s="215">
        <f>IF(D472&gt;1500000,Budgeting!$B$13,(IF(D472&gt;500000,Budgeting!$C$13,Budgeting!$D$13)))</f>
        <v>25.956254000485576</v>
      </c>
      <c r="O472" s="216">
        <f t="shared" si="48"/>
        <v>81307822.123208135</v>
      </c>
      <c r="P472" s="217">
        <f>IF(D472&gt;1500000,Budgeting!$B$15,(IF(D472&gt;500000,Budgeting!$C$15,Budgeting!$D$15)))</f>
        <v>3.7080362857836535</v>
      </c>
      <c r="Q472" s="218">
        <f t="shared" si="49"/>
        <v>11615403.160458304</v>
      </c>
    </row>
    <row r="473" spans="1:17">
      <c r="A473" s="222">
        <v>8</v>
      </c>
      <c r="B473" s="191" t="s">
        <v>116</v>
      </c>
      <c r="C473" s="191">
        <v>2030</v>
      </c>
      <c r="D473" s="208">
        <f>Population!O9</f>
        <v>69104.859773033342</v>
      </c>
      <c r="E473" s="209" t="str">
        <f t="shared" si="50"/>
        <v>Small</v>
      </c>
      <c r="F473" s="208"/>
      <c r="G473" s="210">
        <f>Variables!$C$3*POWER(SUM(1,Variables!$C$2/100),C473-2017)</f>
        <v>15933.454263354475</v>
      </c>
      <c r="H473" s="210">
        <f t="shared" si="45"/>
        <v>360.86431460621543</v>
      </c>
      <c r="I473" s="211">
        <f>VLOOKUP(B473,'Waste per capita'!$B$2:$F$48,4,FALSE)*(H473/Variables!$C$6)</f>
        <v>292.25609759022814</v>
      </c>
      <c r="J473" s="210">
        <f t="shared" si="46"/>
        <v>20196.316641786663</v>
      </c>
      <c r="K473" s="212">
        <f>Variables!$C$13</f>
        <v>1</v>
      </c>
      <c r="L473" s="213">
        <f t="shared" si="47"/>
        <v>20196.316641786663</v>
      </c>
      <c r="N473" s="215">
        <f>IF(D473&gt;1500000,Budgeting!$B$13,(IF(D473&gt;500000,Budgeting!$C$13,Budgeting!$D$13)))</f>
        <v>26.27408568212417</v>
      </c>
      <c r="O473" s="216">
        <f t="shared" si="48"/>
        <v>530639.75390961312</v>
      </c>
      <c r="P473" s="217">
        <f>IF(D473&gt;1500000,Budgeting!$B$15,(IF(D473&gt;500000,Budgeting!$C$15,Budgeting!$D$15)))</f>
        <v>7.6279603593263765</v>
      </c>
      <c r="Q473" s="218">
        <f t="shared" si="49"/>
        <v>154056.70274795228</v>
      </c>
    </row>
    <row r="474" spans="1:17">
      <c r="A474" s="222">
        <v>9</v>
      </c>
      <c r="B474" s="191" t="s">
        <v>117</v>
      </c>
      <c r="C474" s="191">
        <v>2030</v>
      </c>
      <c r="D474" s="208">
        <f>Population!O10</f>
        <v>888862.46826712403</v>
      </c>
      <c r="E474" s="209" t="str">
        <f t="shared" si="50"/>
        <v>Medium</v>
      </c>
      <c r="F474" s="208"/>
      <c r="G474" s="210">
        <f>Variables!$C$3*POWER(SUM(1,Variables!$C$2/100),C474-2017)</f>
        <v>15933.454263354475</v>
      </c>
      <c r="H474" s="210">
        <f t="shared" si="45"/>
        <v>360.86431460621543</v>
      </c>
      <c r="I474" s="211">
        <f>VLOOKUP(B474,'Waste per capita'!$B$2:$F$48,4,FALSE)*(H474/Variables!$C$6)</f>
        <v>215.98884874100369</v>
      </c>
      <c r="J474" s="210">
        <f t="shared" si="46"/>
        <v>191984.38121010305</v>
      </c>
      <c r="K474" s="212">
        <f>Variables!$C$13</f>
        <v>1</v>
      </c>
      <c r="L474" s="213">
        <f t="shared" si="47"/>
        <v>191984.38121010305</v>
      </c>
      <c r="N474" s="215">
        <f>IF(D474&gt;1500000,Budgeting!$B$13,(IF(D474&gt;500000,Budgeting!$C$13,Budgeting!$D$13)))</f>
        <v>26.132827156951464</v>
      </c>
      <c r="O474" s="216">
        <f t="shared" si="48"/>
        <v>5017094.6509979032</v>
      </c>
      <c r="P474" s="217">
        <f>IF(D474&gt;1500000,Budgeting!$B$15,(IF(D474&gt;500000,Budgeting!$C$15,Budgeting!$D$15)))</f>
        <v>2.1188778775906578</v>
      </c>
      <c r="Q474" s="218">
        <f t="shared" si="49"/>
        <v>406791.45818901894</v>
      </c>
    </row>
    <row r="475" spans="1:17">
      <c r="A475" s="222">
        <v>10</v>
      </c>
      <c r="B475" s="191" t="s">
        <v>118</v>
      </c>
      <c r="C475" s="191">
        <v>2030</v>
      </c>
      <c r="D475" s="208">
        <f>Population!O11</f>
        <v>824855.96847960399</v>
      </c>
      <c r="E475" s="209" t="str">
        <f t="shared" si="50"/>
        <v>Medium</v>
      </c>
      <c r="F475" s="208"/>
      <c r="G475" s="210">
        <f>Variables!$C$3*POWER(SUM(1,Variables!$C$2/100),C475-2017)</f>
        <v>15933.454263354475</v>
      </c>
      <c r="H475" s="210">
        <f t="shared" si="45"/>
        <v>360.86431460621543</v>
      </c>
      <c r="I475" s="211">
        <f>VLOOKUP(B475,'Waste per capita'!$B$2:$F$48,4,FALSE)*(H475/Variables!$C$6)</f>
        <v>247.63467253017524</v>
      </c>
      <c r="J475" s="210">
        <f t="shared" si="46"/>
        <v>204262.93763900726</v>
      </c>
      <c r="K475" s="212">
        <f>Variables!$C$13</f>
        <v>1</v>
      </c>
      <c r="L475" s="213">
        <f t="shared" si="47"/>
        <v>204262.93763900726</v>
      </c>
      <c r="N475" s="215">
        <f>IF(D475&gt;1500000,Budgeting!$B$13,(IF(D475&gt;500000,Budgeting!$C$13,Budgeting!$D$13)))</f>
        <v>26.132827156951464</v>
      </c>
      <c r="O475" s="216">
        <f t="shared" si="48"/>
        <v>5337968.0438913321</v>
      </c>
      <c r="P475" s="217">
        <f>IF(D475&gt;1500000,Budgeting!$B$15,(IF(D475&gt;500000,Budgeting!$C$15,Budgeting!$D$15)))</f>
        <v>2.1188778775906578</v>
      </c>
      <c r="Q475" s="218">
        <f t="shared" si="49"/>
        <v>432808.21977497259</v>
      </c>
    </row>
    <row r="476" spans="1:17">
      <c r="A476" s="222">
        <v>11</v>
      </c>
      <c r="B476" s="191" t="s">
        <v>119</v>
      </c>
      <c r="C476" s="191">
        <v>2030</v>
      </c>
      <c r="D476" s="208">
        <f>Population!O12</f>
        <v>321736.63395571487</v>
      </c>
      <c r="E476" s="209" t="str">
        <f t="shared" si="50"/>
        <v>Medium</v>
      </c>
      <c r="F476" s="208"/>
      <c r="G476" s="210">
        <f>Variables!$C$3*POWER(SUM(1,Variables!$C$2/100),C476-2017)</f>
        <v>15933.454263354475</v>
      </c>
      <c r="H476" s="210">
        <f t="shared" si="45"/>
        <v>360.86431460621543</v>
      </c>
      <c r="I476" s="211">
        <f>VLOOKUP(B476,'Waste per capita'!$B$2:$F$48,4,FALSE)*(H476/Variables!$C$6)</f>
        <v>153.14463568924273</v>
      </c>
      <c r="J476" s="210">
        <f t="shared" si="46"/>
        <v>49272.239595031191</v>
      </c>
      <c r="K476" s="212">
        <f>Variables!$C$13</f>
        <v>1</v>
      </c>
      <c r="L476" s="213">
        <f t="shared" si="47"/>
        <v>49272.239595031191</v>
      </c>
      <c r="N476" s="215">
        <f>IF(D476&gt;1500000,Budgeting!$B$13,(IF(D476&gt;500000,Budgeting!$C$13,Budgeting!$D$13)))</f>
        <v>26.27408568212417</v>
      </c>
      <c r="O476" s="216">
        <f t="shared" si="48"/>
        <v>1294583.0448700006</v>
      </c>
      <c r="P476" s="217">
        <f>IF(D476&gt;1500000,Budgeting!$B$15,(IF(D476&gt;500000,Budgeting!$C$15,Budgeting!$D$15)))</f>
        <v>7.6279603593263765</v>
      </c>
      <c r="Q476" s="218">
        <f t="shared" si="49"/>
        <v>375846.69044612942</v>
      </c>
    </row>
    <row r="477" spans="1:17">
      <c r="A477" s="222">
        <v>12</v>
      </c>
      <c r="B477" s="191" t="s">
        <v>120</v>
      </c>
      <c r="C477" s="191">
        <v>2030</v>
      </c>
      <c r="D477" s="208">
        <f>Population!O13</f>
        <v>156502.64141634121</v>
      </c>
      <c r="E477" s="209" t="str">
        <f t="shared" si="50"/>
        <v>Medium</v>
      </c>
      <c r="F477" s="208"/>
      <c r="G477" s="210">
        <f>Variables!$C$3*POWER(SUM(1,Variables!$C$2/100),C477-2017)</f>
        <v>15933.454263354475</v>
      </c>
      <c r="H477" s="210">
        <f t="shared" si="45"/>
        <v>360.86431460621543</v>
      </c>
      <c r="I477" s="211">
        <f>VLOOKUP(B477,'Waste per capita'!$B$2:$F$48,4,FALSE)*(H477/Variables!$C$6)</f>
        <v>306.28927137848547</v>
      </c>
      <c r="J477" s="210">
        <f t="shared" si="46"/>
        <v>47935.080008219535</v>
      </c>
      <c r="K477" s="212">
        <f>Variables!$C$13</f>
        <v>1</v>
      </c>
      <c r="L477" s="213">
        <f t="shared" si="47"/>
        <v>47935.080008219535</v>
      </c>
      <c r="N477" s="215">
        <f>IF(D477&gt;1500000,Budgeting!$B$13,(IF(D477&gt;500000,Budgeting!$C$13,Budgeting!$D$13)))</f>
        <v>26.27408568212417</v>
      </c>
      <c r="O477" s="216">
        <f t="shared" si="48"/>
        <v>1259450.3993154373</v>
      </c>
      <c r="P477" s="217">
        <f>IF(D477&gt;1500000,Budgeting!$B$15,(IF(D477&gt;500000,Budgeting!$C$15,Budgeting!$D$15)))</f>
        <v>7.6279603593263765</v>
      </c>
      <c r="Q477" s="218">
        <f t="shared" si="49"/>
        <v>365646.89012383687</v>
      </c>
    </row>
    <row r="478" spans="1:17">
      <c r="A478" s="222">
        <v>13</v>
      </c>
      <c r="B478" s="191" t="s">
        <v>121</v>
      </c>
      <c r="C478" s="191">
        <v>2030</v>
      </c>
      <c r="D478" s="208">
        <f>Population!O14</f>
        <v>10505383.767027419</v>
      </c>
      <c r="E478" s="209" t="str">
        <f t="shared" si="50"/>
        <v>Large</v>
      </c>
      <c r="F478" s="208"/>
      <c r="G478" s="210">
        <f>Variables!$C$3*POWER(SUM(1,Variables!$C$2/100),C478-2017)</f>
        <v>15933.454263354475</v>
      </c>
      <c r="H478" s="210">
        <f t="shared" si="45"/>
        <v>360.86431460621543</v>
      </c>
      <c r="I478" s="211">
        <f>VLOOKUP(B478,'Waste per capita'!$B$2:$F$48,4,FALSE)*(H478/Variables!$C$6)</f>
        <v>396.58969401596727</v>
      </c>
      <c r="J478" s="210">
        <f t="shared" si="46"/>
        <v>4166326.9336857139</v>
      </c>
      <c r="K478" s="212">
        <f>Variables!$C$13</f>
        <v>1</v>
      </c>
      <c r="L478" s="213">
        <f t="shared" si="47"/>
        <v>4166326.9336857139</v>
      </c>
      <c r="N478" s="215">
        <f>IF(D478&gt;1500000,Budgeting!$B$13,(IF(D478&gt;500000,Budgeting!$C$13,Budgeting!$D$13)))</f>
        <v>25.956254000485576</v>
      </c>
      <c r="O478" s="216">
        <f t="shared" si="48"/>
        <v>108142240.13981061</v>
      </c>
      <c r="P478" s="217">
        <f>IF(D478&gt;1500000,Budgeting!$B$15,(IF(D478&gt;500000,Budgeting!$C$15,Budgeting!$D$15)))</f>
        <v>3.7080362857836535</v>
      </c>
      <c r="Q478" s="218">
        <f t="shared" si="49"/>
        <v>15448891.448544372</v>
      </c>
    </row>
    <row r="479" spans="1:17">
      <c r="A479" s="222">
        <v>14</v>
      </c>
      <c r="B479" s="191" t="s">
        <v>122</v>
      </c>
      <c r="C479" s="191">
        <v>2030</v>
      </c>
      <c r="D479" s="208">
        <f>Population!O15</f>
        <v>418610.15537007776</v>
      </c>
      <c r="E479" s="209" t="str">
        <f t="shared" si="50"/>
        <v>Medium</v>
      </c>
      <c r="F479" s="208"/>
      <c r="G479" s="210">
        <f>Variables!$C$3*POWER(SUM(1,Variables!$C$2/100),C479-2017)</f>
        <v>15933.454263354475</v>
      </c>
      <c r="H479" s="210">
        <f t="shared" si="45"/>
        <v>360.86431460621543</v>
      </c>
      <c r="I479" s="211">
        <f>VLOOKUP(B479,'Waste per capita'!$B$2:$F$48,4,FALSE)*(H479/Variables!$C$6)</f>
        <v>132.39994400225368</v>
      </c>
      <c r="J479" s="210">
        <f t="shared" si="46"/>
        <v>55423.961129773008</v>
      </c>
      <c r="K479" s="212">
        <f>Variables!$C$13</f>
        <v>1</v>
      </c>
      <c r="L479" s="213">
        <f t="shared" si="47"/>
        <v>55423.961129773008</v>
      </c>
      <c r="N479" s="215">
        <f>IF(D479&gt;1500000,Budgeting!$B$13,(IF(D479&gt;500000,Budgeting!$C$13,Budgeting!$D$13)))</f>
        <v>26.27408568212417</v>
      </c>
      <c r="O479" s="216">
        <f t="shared" si="48"/>
        <v>1456213.9035663756</v>
      </c>
      <c r="P479" s="217">
        <f>IF(D479&gt;1500000,Budgeting!$B$15,(IF(D479&gt;500000,Budgeting!$C$15,Budgeting!$D$15)))</f>
        <v>7.6279603593263765</v>
      </c>
      <c r="Q479" s="218">
        <f t="shared" si="49"/>
        <v>422771.77845475444</v>
      </c>
    </row>
    <row r="480" spans="1:17">
      <c r="A480" s="222">
        <v>15</v>
      </c>
      <c r="B480" s="191" t="s">
        <v>123</v>
      </c>
      <c r="C480" s="191">
        <v>2030</v>
      </c>
      <c r="D480" s="208">
        <f>Population!O16</f>
        <v>92837.904970366144</v>
      </c>
      <c r="E480" s="209" t="str">
        <f t="shared" si="50"/>
        <v>Small</v>
      </c>
      <c r="F480" s="208"/>
      <c r="G480" s="210">
        <f>Variables!$C$3*POWER(SUM(1,Variables!$C$2/100),C480-2017)</f>
        <v>15933.454263354475</v>
      </c>
      <c r="H480" s="210">
        <f t="shared" si="45"/>
        <v>360.86431460621543</v>
      </c>
      <c r="I480" s="211">
        <f>VLOOKUP(B480,'Waste per capita'!$B$2:$F$48,4,FALSE)*(H480/Variables!$C$6)</f>
        <v>236.73354042799275</v>
      </c>
      <c r="J480" s="210">
        <f t="shared" si="46"/>
        <v>21977.845929552324</v>
      </c>
      <c r="K480" s="212">
        <f>Variables!$C$13</f>
        <v>1</v>
      </c>
      <c r="L480" s="213">
        <f t="shared" si="47"/>
        <v>21977.845929552324</v>
      </c>
      <c r="N480" s="215">
        <f>IF(D480&gt;1500000,Budgeting!$B$13,(IF(D480&gt;500000,Budgeting!$C$13,Budgeting!$D$13)))</f>
        <v>26.27408568212417</v>
      </c>
      <c r="O480" s="216">
        <f t="shared" si="48"/>
        <v>577447.80706158164</v>
      </c>
      <c r="P480" s="217">
        <f>IF(D480&gt;1500000,Budgeting!$B$15,(IF(D480&gt;500000,Budgeting!$C$15,Budgeting!$D$15)))</f>
        <v>7.6279603593263765</v>
      </c>
      <c r="Q480" s="218">
        <f t="shared" si="49"/>
        <v>167646.13753400769</v>
      </c>
    </row>
    <row r="481" spans="1:17">
      <c r="A481" s="222">
        <v>16</v>
      </c>
      <c r="B481" s="191" t="s">
        <v>124</v>
      </c>
      <c r="C481" s="191">
        <v>2030</v>
      </c>
      <c r="D481" s="208">
        <f>Population!O17</f>
        <v>4753729.8893636819</v>
      </c>
      <c r="E481" s="209" t="str">
        <f t="shared" si="50"/>
        <v>Large</v>
      </c>
      <c r="F481" s="208"/>
      <c r="G481" s="210">
        <f>Variables!$C$3*POWER(SUM(1,Variables!$C$2/100),C481-2017)</f>
        <v>15933.454263354475</v>
      </c>
      <c r="H481" s="210">
        <f t="shared" si="45"/>
        <v>360.86431460621543</v>
      </c>
      <c r="I481" s="211">
        <f>VLOOKUP(B481,'Waste per capita'!$B$2:$F$48,4,FALSE)*(H481/Variables!$C$6)</f>
        <v>271.51140590323911</v>
      </c>
      <c r="J481" s="210">
        <f t="shared" si="46"/>
        <v>1290691.8855453825</v>
      </c>
      <c r="K481" s="212">
        <f>Variables!$C$13</f>
        <v>1</v>
      </c>
      <c r="L481" s="213">
        <f t="shared" si="47"/>
        <v>1290691.8855453825</v>
      </c>
      <c r="N481" s="215">
        <f>IF(D481&gt;1500000,Budgeting!$B$13,(IF(D481&gt;500000,Budgeting!$C$13,Budgeting!$D$13)))</f>
        <v>25.956254000485576</v>
      </c>
      <c r="O481" s="216">
        <f t="shared" si="48"/>
        <v>33501526.417581607</v>
      </c>
      <c r="P481" s="217">
        <f>IF(D481&gt;1500000,Budgeting!$B$15,(IF(D481&gt;500000,Budgeting!$C$15,Budgeting!$D$15)))</f>
        <v>3.7080362857836535</v>
      </c>
      <c r="Q481" s="218">
        <f t="shared" si="49"/>
        <v>4785932.3453688007</v>
      </c>
    </row>
    <row r="482" spans="1:17">
      <c r="A482" s="222">
        <v>17</v>
      </c>
      <c r="B482" s="191" t="s">
        <v>125</v>
      </c>
      <c r="C482" s="191">
        <v>2030</v>
      </c>
      <c r="D482" s="208">
        <f>Population!O18</f>
        <v>17493.913510132872</v>
      </c>
      <c r="E482" s="209" t="str">
        <f t="shared" si="50"/>
        <v>Small</v>
      </c>
      <c r="F482" s="208"/>
      <c r="G482" s="210">
        <f>Variables!$C$3*POWER(SUM(1,Variables!$C$2/100),C482-2017)</f>
        <v>15933.454263354475</v>
      </c>
      <c r="H482" s="210">
        <f t="shared" si="45"/>
        <v>360.86431460621543</v>
      </c>
      <c r="I482" s="211">
        <f>VLOOKUP(B482,'Waste per capita'!$B$2:$F$48,4,FALSE)*(H482/Variables!$C$6)</f>
        <v>208.95136671020404</v>
      </c>
      <c r="J482" s="210">
        <f t="shared" si="46"/>
        <v>3655.3771370523664</v>
      </c>
      <c r="K482" s="212">
        <f>Variables!$C$13</f>
        <v>1</v>
      </c>
      <c r="L482" s="213">
        <f t="shared" si="47"/>
        <v>3655.3771370523664</v>
      </c>
      <c r="N482" s="215">
        <f>IF(D482&gt;1500000,Budgeting!$B$13,(IF(D482&gt;500000,Budgeting!$C$13,Budgeting!$D$13)))</f>
        <v>26.27408568212417</v>
      </c>
      <c r="O482" s="216">
        <f t="shared" si="48"/>
        <v>96041.692099391614</v>
      </c>
      <c r="P482" s="217">
        <f>IF(D482&gt;1500000,Budgeting!$B$15,(IF(D482&gt;500000,Budgeting!$C$15,Budgeting!$D$15)))</f>
        <v>7.6279603593263765</v>
      </c>
      <c r="Q482" s="218">
        <f t="shared" si="49"/>
        <v>27883.07189982339</v>
      </c>
    </row>
    <row r="483" spans="1:17">
      <c r="A483" s="222">
        <v>18</v>
      </c>
      <c r="B483" s="191" t="s">
        <v>126</v>
      </c>
      <c r="C483" s="191">
        <v>2030</v>
      </c>
      <c r="D483" s="208">
        <f>Population!O19</f>
        <v>154556.61910169933</v>
      </c>
      <c r="E483" s="209" t="str">
        <f t="shared" si="50"/>
        <v>Medium</v>
      </c>
      <c r="F483" s="208"/>
      <c r="G483" s="210">
        <f>Variables!$C$3*POWER(SUM(1,Variables!$C$2/100),C483-2017)</f>
        <v>15933.454263354475</v>
      </c>
      <c r="H483" s="210">
        <f t="shared" si="45"/>
        <v>360.86431460621543</v>
      </c>
      <c r="I483" s="211">
        <f>VLOOKUP(B483,'Waste per capita'!$B$2:$F$48,4,FALSE)*(H483/Variables!$C$6)</f>
        <v>118.36677021399638</v>
      </c>
      <c r="J483" s="210">
        <f t="shared" si="46"/>
        <v>18294.367818263006</v>
      </c>
      <c r="K483" s="212">
        <f>Variables!$C$13</f>
        <v>1</v>
      </c>
      <c r="L483" s="213">
        <f t="shared" si="47"/>
        <v>18294.367818263006</v>
      </c>
      <c r="N483" s="215">
        <f>IF(D483&gt;1500000,Budgeting!$B$13,(IF(D483&gt;500000,Budgeting!$C$13,Budgeting!$D$13)))</f>
        <v>26.27408568212417</v>
      </c>
      <c r="O483" s="216">
        <f t="shared" si="48"/>
        <v>480667.78755733726</v>
      </c>
      <c r="P483" s="217">
        <f>IF(D483&gt;1500000,Budgeting!$B$15,(IF(D483&gt;500000,Budgeting!$C$15,Budgeting!$D$15)))</f>
        <v>7.6279603593263765</v>
      </c>
      <c r="Q483" s="218">
        <f t="shared" si="49"/>
        <v>139548.7125166464</v>
      </c>
    </row>
    <row r="484" spans="1:17">
      <c r="A484" s="222">
        <v>19</v>
      </c>
      <c r="B484" s="191" t="s">
        <v>127</v>
      </c>
      <c r="C484" s="191">
        <v>2030</v>
      </c>
      <c r="D484" s="208">
        <f>Population!O20</f>
        <v>7017375.1933571296</v>
      </c>
      <c r="E484" s="209" t="str">
        <f t="shared" si="50"/>
        <v>Large</v>
      </c>
      <c r="F484" s="208"/>
      <c r="G484" s="210">
        <f>Variables!$C$3*POWER(SUM(1,Variables!$C$2/100),C484-2017)</f>
        <v>15933.454263354475</v>
      </c>
      <c r="H484" s="210">
        <f t="shared" si="45"/>
        <v>360.86431460621543</v>
      </c>
      <c r="I484" s="211">
        <f>VLOOKUP(B484,'Waste per capita'!$B$2:$F$48,4,FALSE)*(H484/Variables!$C$6)</f>
        <v>403.91134990549284</v>
      </c>
      <c r="J484" s="210">
        <f t="shared" si="46"/>
        <v>2834397.4871421973</v>
      </c>
      <c r="K484" s="212">
        <f>Variables!$C$13</f>
        <v>1</v>
      </c>
      <c r="L484" s="213">
        <f t="shared" si="47"/>
        <v>2834397.4871421973</v>
      </c>
      <c r="N484" s="215">
        <f>IF(D484&gt;1500000,Budgeting!$B$13,(IF(D484&gt;500000,Budgeting!$C$13,Budgeting!$D$13)))</f>
        <v>25.956254000485576</v>
      </c>
      <c r="O484" s="216">
        <f t="shared" si="48"/>
        <v>73570341.114600927</v>
      </c>
      <c r="P484" s="217">
        <f>IF(D484&gt;1500000,Budgeting!$B$15,(IF(D484&gt;500000,Budgeting!$C$15,Budgeting!$D$15)))</f>
        <v>3.7080362857836535</v>
      </c>
      <c r="Q484" s="218">
        <f t="shared" si="49"/>
        <v>10510048.730657274</v>
      </c>
    </row>
    <row r="485" spans="1:17">
      <c r="A485" s="222">
        <v>20</v>
      </c>
      <c r="B485" s="191" t="s">
        <v>128</v>
      </c>
      <c r="C485" s="191">
        <v>2030</v>
      </c>
      <c r="D485" s="208">
        <f>Population!O21</f>
        <v>4396270.4031188991</v>
      </c>
      <c r="E485" s="209" t="str">
        <f t="shared" si="50"/>
        <v>Large</v>
      </c>
      <c r="F485" s="208"/>
      <c r="G485" s="210">
        <f>Variables!$C$3*POWER(SUM(1,Variables!$C$2/100),C485-2017)</f>
        <v>15933.454263354475</v>
      </c>
      <c r="H485" s="210">
        <f t="shared" si="45"/>
        <v>360.86431460621543</v>
      </c>
      <c r="I485" s="211">
        <f>VLOOKUP(B485,'Waste per capita'!$B$2:$F$48,4,FALSE)*(H485/Variables!$C$6)</f>
        <v>153.14463568924273</v>
      </c>
      <c r="J485" s="210">
        <f t="shared" si="46"/>
        <v>673265.22927704407</v>
      </c>
      <c r="K485" s="212">
        <f>Variables!$C$13</f>
        <v>1</v>
      </c>
      <c r="L485" s="213">
        <f t="shared" si="47"/>
        <v>673265.22927704407</v>
      </c>
      <c r="N485" s="215">
        <f>IF(D485&gt;1500000,Budgeting!$B$13,(IF(D485&gt;500000,Budgeting!$C$13,Budgeting!$D$13)))</f>
        <v>25.956254000485576</v>
      </c>
      <c r="O485" s="216">
        <f t="shared" si="48"/>
        <v>17475443.300810114</v>
      </c>
      <c r="P485" s="217">
        <f>IF(D485&gt;1500000,Budgeting!$B$15,(IF(D485&gt;500000,Budgeting!$C$15,Budgeting!$D$15)))</f>
        <v>3.7080362857836535</v>
      </c>
      <c r="Q485" s="218">
        <f t="shared" si="49"/>
        <v>2496491.9001157302</v>
      </c>
    </row>
    <row r="486" spans="1:17">
      <c r="A486" s="222">
        <v>21</v>
      </c>
      <c r="B486" s="222" t="s">
        <v>129</v>
      </c>
      <c r="C486" s="191">
        <v>2030</v>
      </c>
      <c r="D486" s="208">
        <f>Population!O22</f>
        <v>19417109.466798615</v>
      </c>
      <c r="E486" s="209" t="str">
        <f t="shared" si="50"/>
        <v>Large</v>
      </c>
      <c r="F486" s="208"/>
      <c r="G486" s="210">
        <f>Variables!$C$3*POWER(SUM(1,Variables!$C$2/100),C486-2017)</f>
        <v>15933.454263354475</v>
      </c>
      <c r="H486" s="210">
        <f t="shared" si="45"/>
        <v>360.86431460621543</v>
      </c>
      <c r="I486" s="211">
        <f>VLOOKUP(B486,'Waste per capita'!$B$2:$F$48,4,FALSE)*(H486/Variables!$C$6)</f>
        <v>313.61092726801104</v>
      </c>
      <c r="J486" s="210">
        <f t="shared" si="46"/>
        <v>6089417.7047471888</v>
      </c>
      <c r="K486" s="212">
        <f>Variables!$C$13</f>
        <v>1</v>
      </c>
      <c r="L486" s="213">
        <f t="shared" si="47"/>
        <v>6089417.7047471888</v>
      </c>
      <c r="N486" s="215">
        <f>IF(D486&gt;1500000,Budgeting!$B$13,(IF(D486&gt;500000,Budgeting!$C$13,Budgeting!$D$13)))</f>
        <v>25.956254000485576</v>
      </c>
      <c r="O486" s="216">
        <f t="shared" si="48"/>
        <v>158058472.6594719</v>
      </c>
      <c r="P486" s="217">
        <f>IF(D486&gt;1500000,Budgeting!$B$15,(IF(D486&gt;500000,Budgeting!$C$15,Budgeting!$D$15)))</f>
        <v>3.7080362857836535</v>
      </c>
      <c r="Q486" s="218">
        <f t="shared" si="49"/>
        <v>22579781.808495987</v>
      </c>
    </row>
    <row r="487" spans="1:17">
      <c r="A487" s="222">
        <v>22</v>
      </c>
      <c r="B487" s="191" t="s">
        <v>130</v>
      </c>
      <c r="C487" s="191">
        <v>2030</v>
      </c>
      <c r="D487" s="208">
        <f>Population!O23</f>
        <v>17220120.498912062</v>
      </c>
      <c r="E487" s="209" t="str">
        <f t="shared" si="50"/>
        <v>Large</v>
      </c>
      <c r="F487" s="208"/>
      <c r="G487" s="210">
        <f>Variables!$C$3*POWER(SUM(1,Variables!$C$2/100),C487-2017)</f>
        <v>15933.454263354475</v>
      </c>
      <c r="H487" s="210">
        <f t="shared" si="45"/>
        <v>360.86431460621543</v>
      </c>
      <c r="I487" s="211">
        <f>VLOOKUP(B487,'Waste per capita'!$B$2:$F$48,4,FALSE)*(H487/Variables!$C$6)</f>
        <v>396.58969401596727</v>
      </c>
      <c r="J487" s="210">
        <f t="shared" si="46"/>
        <v>6829322.3195816204</v>
      </c>
      <c r="K487" s="212">
        <f>Variables!$C$13</f>
        <v>1</v>
      </c>
      <c r="L487" s="213">
        <f t="shared" si="47"/>
        <v>6829322.3195816204</v>
      </c>
      <c r="N487" s="215">
        <f>IF(D487&gt;1500000,Budgeting!$B$13,(IF(D487&gt;500000,Budgeting!$C$13,Budgeting!$D$13)))</f>
        <v>25.956254000485576</v>
      </c>
      <c r="O487" s="216">
        <f t="shared" si="48"/>
        <v>177263624.77824587</v>
      </c>
      <c r="P487" s="217">
        <f>IF(D487&gt;1500000,Budgeting!$B$15,(IF(D487&gt;500000,Budgeting!$C$15,Budgeting!$D$15)))</f>
        <v>3.7080362857836535</v>
      </c>
      <c r="Q487" s="218">
        <f t="shared" si="49"/>
        <v>25323374.968320835</v>
      </c>
    </row>
    <row r="488" spans="1:17">
      <c r="A488" s="222">
        <v>23</v>
      </c>
      <c r="B488" s="191" t="s">
        <v>131</v>
      </c>
      <c r="C488" s="191">
        <v>2030</v>
      </c>
      <c r="D488" s="208">
        <f>Population!O24</f>
        <v>62449.057710525165</v>
      </c>
      <c r="E488" s="209" t="str">
        <f t="shared" si="50"/>
        <v>Small</v>
      </c>
      <c r="F488" s="208"/>
      <c r="G488" s="210">
        <f>Variables!$C$3*POWER(SUM(1,Variables!$C$2/100),C488-2017)</f>
        <v>15933.454263354475</v>
      </c>
      <c r="H488" s="210">
        <f t="shared" si="45"/>
        <v>360.86431460621543</v>
      </c>
      <c r="I488" s="211">
        <f>VLOOKUP(B488,'Waste per capita'!$B$2:$F$48,4,FALSE)*(H488/Variables!$C$6)</f>
        <v>375.84500232897818</v>
      </c>
      <c r="J488" s="210">
        <f t="shared" si="46"/>
        <v>23471.166240654824</v>
      </c>
      <c r="K488" s="212">
        <f>Variables!$C$13</f>
        <v>1</v>
      </c>
      <c r="L488" s="213">
        <f t="shared" si="47"/>
        <v>23471.166240654824</v>
      </c>
      <c r="N488" s="215">
        <f>IF(D488&gt;1500000,Budgeting!$B$13,(IF(D488&gt;500000,Budgeting!$C$13,Budgeting!$D$13)))</f>
        <v>26.27408568212417</v>
      </c>
      <c r="O488" s="216">
        <f t="shared" si="48"/>
        <v>616683.43286634504</v>
      </c>
      <c r="P488" s="217">
        <f>IF(D488&gt;1500000,Budgeting!$B$15,(IF(D488&gt;500000,Budgeting!$C$15,Budgeting!$D$15)))</f>
        <v>7.6279603593263765</v>
      </c>
      <c r="Q488" s="218">
        <f t="shared" si="49"/>
        <v>179037.12567087449</v>
      </c>
    </row>
    <row r="489" spans="1:17">
      <c r="A489" s="222">
        <v>24</v>
      </c>
      <c r="B489" s="191" t="s">
        <v>132</v>
      </c>
      <c r="C489" s="191">
        <v>2030</v>
      </c>
      <c r="D489" s="208">
        <f>Population!O25</f>
        <v>2628334.87955959</v>
      </c>
      <c r="E489" s="209" t="str">
        <f t="shared" si="50"/>
        <v>Large</v>
      </c>
      <c r="F489" s="208"/>
      <c r="G489" s="210">
        <f>Variables!$C$3*POWER(SUM(1,Variables!$C$2/100),C489-2017)</f>
        <v>15933.454263354475</v>
      </c>
      <c r="H489" s="210">
        <f t="shared" si="45"/>
        <v>360.86431460621543</v>
      </c>
      <c r="I489" s="211">
        <f>VLOOKUP(B489,'Waste per capita'!$B$2:$F$48,4,FALSE)*(H489/Variables!$C$6)</f>
        <v>257.47823211498184</v>
      </c>
      <c r="J489" s="210">
        <f t="shared" si="46"/>
        <v>676739.01819514693</v>
      </c>
      <c r="K489" s="212">
        <f>Variables!$C$13</f>
        <v>1</v>
      </c>
      <c r="L489" s="213">
        <f t="shared" si="47"/>
        <v>676739.01819514693</v>
      </c>
      <c r="N489" s="215">
        <f>IF(D489&gt;1500000,Budgeting!$B$13,(IF(D489&gt;500000,Budgeting!$C$13,Budgeting!$D$13)))</f>
        <v>25.956254000485576</v>
      </c>
      <c r="O489" s="216">
        <f t="shared" si="48"/>
        <v>17565609.848312464</v>
      </c>
      <c r="P489" s="217">
        <f>IF(D489&gt;1500000,Budgeting!$B$15,(IF(D489&gt;500000,Budgeting!$C$15,Budgeting!$D$15)))</f>
        <v>3.7080362857836535</v>
      </c>
      <c r="Q489" s="218">
        <f t="shared" si="49"/>
        <v>2509372.8354732092</v>
      </c>
    </row>
    <row r="490" spans="1:17">
      <c r="A490" s="222">
        <v>25</v>
      </c>
      <c r="B490" s="191" t="s">
        <v>133</v>
      </c>
      <c r="C490" s="191">
        <v>2030</v>
      </c>
      <c r="D490" s="208">
        <f>Population!O26</f>
        <v>377302.04737603519</v>
      </c>
      <c r="E490" s="209" t="str">
        <f t="shared" si="50"/>
        <v>Medium</v>
      </c>
      <c r="F490" s="208"/>
      <c r="G490" s="210">
        <f>Variables!$C$3*POWER(SUM(1,Variables!$C$2/100),C490-2017)</f>
        <v>15933.454263354475</v>
      </c>
      <c r="H490" s="210">
        <f t="shared" si="45"/>
        <v>360.86431460621543</v>
      </c>
      <c r="I490" s="211">
        <f>VLOOKUP(B490,'Waste per capita'!$B$2:$F$48,4,FALSE)*(H490/Variables!$C$6)</f>
        <v>410.6228678042246</v>
      </c>
      <c r="J490" s="210">
        <f t="shared" si="46"/>
        <v>154928.84872195296</v>
      </c>
      <c r="K490" s="212">
        <f>Variables!$C$13</f>
        <v>1</v>
      </c>
      <c r="L490" s="213">
        <f t="shared" si="47"/>
        <v>154928.84872195296</v>
      </c>
      <c r="N490" s="215">
        <f>IF(D490&gt;1500000,Budgeting!$B$13,(IF(D490&gt;500000,Budgeting!$C$13,Budgeting!$D$13)))</f>
        <v>26.27408568212417</v>
      </c>
      <c r="O490" s="216">
        <f t="shared" si="48"/>
        <v>4070613.8459534459</v>
      </c>
      <c r="P490" s="217">
        <f>IF(D490&gt;1500000,Budgeting!$B$15,(IF(D490&gt;500000,Budgeting!$C$15,Budgeting!$D$15)))</f>
        <v>7.6279603593263765</v>
      </c>
      <c r="Q490" s="218">
        <f t="shared" si="49"/>
        <v>1181791.1165671302</v>
      </c>
    </row>
    <row r="491" spans="1:17">
      <c r="A491" s="222">
        <v>26</v>
      </c>
      <c r="B491" s="191" t="s">
        <v>134</v>
      </c>
      <c r="C491" s="191">
        <v>2030</v>
      </c>
      <c r="D491" s="208">
        <f>Population!O27</f>
        <v>156346.58509600104</v>
      </c>
      <c r="E491" s="209" t="str">
        <f t="shared" si="50"/>
        <v>Medium</v>
      </c>
      <c r="F491" s="208"/>
      <c r="G491" s="210">
        <f>Variables!$C$3*POWER(SUM(1,Variables!$C$2/100),C491-2017)</f>
        <v>15933.454263354475</v>
      </c>
      <c r="H491" s="210">
        <f t="shared" si="45"/>
        <v>360.86431460621543</v>
      </c>
      <c r="I491" s="211">
        <f>VLOOKUP(B491,'Waste per capita'!$B$2:$F$48,4,FALSE)*(H491/Variables!$C$6)</f>
        <v>528.98963801822094</v>
      </c>
      <c r="J491" s="210">
        <f t="shared" si="46"/>
        <v>82705.72345531857</v>
      </c>
      <c r="K491" s="212">
        <f>Variables!$C$13</f>
        <v>1</v>
      </c>
      <c r="L491" s="213">
        <f t="shared" si="47"/>
        <v>82705.72345531857</v>
      </c>
      <c r="N491" s="215">
        <f>IF(D491&gt;1500000,Budgeting!$B$13,(IF(D491&gt;500000,Budgeting!$C$13,Budgeting!$D$13)))</f>
        <v>26.27408568212417</v>
      </c>
      <c r="O491" s="216">
        <f t="shared" si="48"/>
        <v>2173017.2644671067</v>
      </c>
      <c r="P491" s="217">
        <f>IF(D491&gt;1500000,Budgeting!$B$15,(IF(D491&gt;500000,Budgeting!$C$15,Budgeting!$D$15)))</f>
        <v>7.6279603593263765</v>
      </c>
      <c r="Q491" s="218">
        <f t="shared" si="49"/>
        <v>630875.98000657978</v>
      </c>
    </row>
    <row r="492" spans="1:17">
      <c r="A492" s="222">
        <v>27</v>
      </c>
      <c r="B492" s="191" t="s">
        <v>135</v>
      </c>
      <c r="C492" s="191">
        <v>2030</v>
      </c>
      <c r="D492" s="208">
        <f>Population!O28</f>
        <v>1576844.5593027731</v>
      </c>
      <c r="E492" s="209" t="str">
        <f t="shared" si="50"/>
        <v>Large</v>
      </c>
      <c r="F492" s="208"/>
      <c r="G492" s="210">
        <f>Variables!$C$3*POWER(SUM(1,Variables!$C$2/100),C492-2017)</f>
        <v>15933.454263354475</v>
      </c>
      <c r="H492" s="210">
        <f t="shared" si="45"/>
        <v>360.86431460621543</v>
      </c>
      <c r="I492" s="211">
        <f>VLOOKUP(B492,'Waste per capita'!$B$2:$F$48,4,FALSE)*(H492/Variables!$C$6)</f>
        <v>208.66719285147815</v>
      </c>
      <c r="J492" s="210">
        <f t="shared" si="46"/>
        <v>329035.72775283584</v>
      </c>
      <c r="K492" s="212">
        <f>Variables!$C$13</f>
        <v>1</v>
      </c>
      <c r="L492" s="213">
        <f t="shared" si="47"/>
        <v>329035.72775283584</v>
      </c>
      <c r="N492" s="215">
        <f>IF(D492&gt;1500000,Budgeting!$B$13,(IF(D492&gt;500000,Budgeting!$C$13,Budgeting!$D$13)))</f>
        <v>25.956254000485576</v>
      </c>
      <c r="O492" s="216">
        <f t="shared" si="48"/>
        <v>8540534.9247872271</v>
      </c>
      <c r="P492" s="217">
        <f>IF(D492&gt;1500000,Budgeting!$B$15,(IF(D492&gt;500000,Budgeting!$C$15,Budgeting!$D$15)))</f>
        <v>3.7080362857836535</v>
      </c>
      <c r="Q492" s="218">
        <f t="shared" si="49"/>
        <v>1220076.4178267468</v>
      </c>
    </row>
    <row r="493" spans="1:17">
      <c r="A493" s="222">
        <v>28</v>
      </c>
      <c r="B493" s="191" t="s">
        <v>136</v>
      </c>
      <c r="C493" s="191">
        <v>2030</v>
      </c>
      <c r="D493" s="208">
        <f>Population!O29</f>
        <v>1675150.6777378588</v>
      </c>
      <c r="E493" s="209" t="str">
        <f t="shared" si="50"/>
        <v>Large</v>
      </c>
      <c r="F493" s="208"/>
      <c r="G493" s="210">
        <f>Variables!$C$3*POWER(SUM(1,Variables!$C$2/100),C493-2017)</f>
        <v>15933.454263354475</v>
      </c>
      <c r="H493" s="210">
        <f t="shared" si="45"/>
        <v>360.86431460621543</v>
      </c>
      <c r="I493" s="211">
        <f>VLOOKUP(B493,'Waste per capita'!$B$2:$F$48,4,FALSE)*(H493/Variables!$C$6)</f>
        <v>173.88932737623179</v>
      </c>
      <c r="J493" s="210">
        <f t="shared" si="46"/>
        <v>291290.82460567512</v>
      </c>
      <c r="K493" s="212">
        <f>Variables!$C$13</f>
        <v>1</v>
      </c>
      <c r="L493" s="213">
        <f t="shared" si="47"/>
        <v>291290.82460567512</v>
      </c>
      <c r="N493" s="215">
        <f>IF(D493&gt;1500000,Budgeting!$B$13,(IF(D493&gt;500000,Budgeting!$C$13,Budgeting!$D$13)))</f>
        <v>25.956254000485576</v>
      </c>
      <c r="O493" s="216">
        <f t="shared" si="48"/>
        <v>7560818.6314757969</v>
      </c>
      <c r="P493" s="217">
        <f>IF(D493&gt;1500000,Budgeting!$B$15,(IF(D493&gt;500000,Budgeting!$C$15,Budgeting!$D$15)))</f>
        <v>3.7080362857836535</v>
      </c>
      <c r="Q493" s="218">
        <f t="shared" si="49"/>
        <v>1080116.9473536853</v>
      </c>
    </row>
    <row r="494" spans="1:17">
      <c r="A494" s="222">
        <v>29</v>
      </c>
      <c r="B494" s="191" t="s">
        <v>137</v>
      </c>
      <c r="C494" s="191">
        <v>2030</v>
      </c>
      <c r="D494" s="208">
        <f>Population!O30</f>
        <v>223517.9070600197</v>
      </c>
      <c r="E494" s="209" t="str">
        <f t="shared" si="50"/>
        <v>Medium</v>
      </c>
      <c r="F494" s="208"/>
      <c r="G494" s="210">
        <f>Variables!$C$3*POWER(SUM(1,Variables!$C$2/100),C494-2017)</f>
        <v>15933.454263354475</v>
      </c>
      <c r="H494" s="210">
        <f t="shared" si="45"/>
        <v>360.86431460621543</v>
      </c>
      <c r="I494" s="211">
        <f>VLOOKUP(B494,'Waste per capita'!$B$2:$F$48,4,FALSE)*(H494/Variables!$C$6)</f>
        <v>236.73354042799275</v>
      </c>
      <c r="J494" s="210">
        <f t="shared" si="46"/>
        <v>52914.185487373499</v>
      </c>
      <c r="K494" s="212">
        <f>Variables!$C$13</f>
        <v>1</v>
      </c>
      <c r="L494" s="213">
        <f t="shared" si="47"/>
        <v>52914.185487373499</v>
      </c>
      <c r="N494" s="215">
        <f>IF(D494&gt;1500000,Budgeting!$B$13,(IF(D494&gt;500000,Budgeting!$C$13,Budgeting!$D$13)))</f>
        <v>26.27408568212417</v>
      </c>
      <c r="O494" s="216">
        <f t="shared" si="48"/>
        <v>1390271.8432950627</v>
      </c>
      <c r="P494" s="217">
        <f>IF(D494&gt;1500000,Budgeting!$B$15,(IF(D494&gt;500000,Budgeting!$C$15,Budgeting!$D$15)))</f>
        <v>7.6279603593263765</v>
      </c>
      <c r="Q494" s="218">
        <f t="shared" si="49"/>
        <v>403627.30934372812</v>
      </c>
    </row>
    <row r="495" spans="1:17">
      <c r="A495" s="222">
        <v>30</v>
      </c>
      <c r="B495" s="191" t="s">
        <v>138</v>
      </c>
      <c r="C495" s="191">
        <v>2030</v>
      </c>
      <c r="D495" s="208">
        <f>Population!O31</f>
        <v>153348.74318226642</v>
      </c>
      <c r="E495" s="209" t="str">
        <f t="shared" si="50"/>
        <v>Medium</v>
      </c>
      <c r="F495" s="208"/>
      <c r="G495" s="210">
        <f>Variables!$C$3*POWER(SUM(1,Variables!$C$2/100),C495-2017)</f>
        <v>15933.454263354475</v>
      </c>
      <c r="H495" s="210">
        <f t="shared" si="45"/>
        <v>360.86431460621543</v>
      </c>
      <c r="I495" s="211">
        <f>VLOOKUP(B495,'Waste per capita'!$B$2:$F$48,4,FALSE)*(H495/Variables!$C$6)</f>
        <v>222.70036663973545</v>
      </c>
      <c r="J495" s="210">
        <f t="shared" si="46"/>
        <v>34150.821330433362</v>
      </c>
      <c r="K495" s="212">
        <f>Variables!$C$13</f>
        <v>1</v>
      </c>
      <c r="L495" s="213">
        <f t="shared" si="47"/>
        <v>34150.821330433362</v>
      </c>
      <c r="N495" s="215">
        <f>IF(D495&gt;1500000,Budgeting!$B$13,(IF(D495&gt;500000,Budgeting!$C$13,Budgeting!$D$13)))</f>
        <v>26.27408568212417</v>
      </c>
      <c r="O495" s="216">
        <f t="shared" si="48"/>
        <v>897281.6057507199</v>
      </c>
      <c r="P495" s="217">
        <f>IF(D495&gt;1500000,Budgeting!$B$15,(IF(D495&gt;500000,Budgeting!$C$15,Budgeting!$D$15)))</f>
        <v>7.6279603593263765</v>
      </c>
      <c r="Q495" s="218">
        <f t="shared" si="49"/>
        <v>260501.11134698335</v>
      </c>
    </row>
    <row r="496" spans="1:17">
      <c r="A496" s="222">
        <v>31</v>
      </c>
      <c r="B496" s="191" t="s">
        <v>139</v>
      </c>
      <c r="C496" s="191">
        <v>2030</v>
      </c>
      <c r="D496" s="208">
        <f>Population!O32</f>
        <v>264637.18690645066</v>
      </c>
      <c r="E496" s="209" t="str">
        <f t="shared" si="50"/>
        <v>Medium</v>
      </c>
      <c r="F496" s="208"/>
      <c r="G496" s="210">
        <f>Variables!$C$3*POWER(SUM(1,Variables!$C$2/100),C496-2017)</f>
        <v>15933.454263354475</v>
      </c>
      <c r="H496" s="210">
        <f t="shared" si="45"/>
        <v>360.86431460621543</v>
      </c>
      <c r="I496" s="211">
        <f>VLOOKUP(B496,'Waste per capita'!$B$2:$F$48,4,FALSE)*(H496/Variables!$C$6)</f>
        <v>247.63467253017524</v>
      </c>
      <c r="J496" s="210">
        <f t="shared" si="46"/>
        <v>65533.343118885692</v>
      </c>
      <c r="K496" s="212">
        <f>Variables!$C$13</f>
        <v>1</v>
      </c>
      <c r="L496" s="213">
        <f t="shared" si="47"/>
        <v>65533.343118885692</v>
      </c>
      <c r="N496" s="215">
        <f>IF(D496&gt;1500000,Budgeting!$B$13,(IF(D496&gt;500000,Budgeting!$C$13,Budgeting!$D$13)))</f>
        <v>26.27408568212417</v>
      </c>
      <c r="O496" s="216">
        <f t="shared" si="48"/>
        <v>1721828.6721416451</v>
      </c>
      <c r="P496" s="217">
        <f>IF(D496&gt;1500000,Budgeting!$B$15,(IF(D496&gt;500000,Budgeting!$C$15,Budgeting!$D$15)))</f>
        <v>7.6279603593263765</v>
      </c>
      <c r="Q496" s="218">
        <f t="shared" si="49"/>
        <v>499885.743524994</v>
      </c>
    </row>
    <row r="497" spans="1:17">
      <c r="A497" s="222">
        <v>32</v>
      </c>
      <c r="B497" s="191" t="s">
        <v>140</v>
      </c>
      <c r="C497" s="191">
        <v>2030</v>
      </c>
      <c r="D497" s="208">
        <f>Population!O33</f>
        <v>1842354.1010399254</v>
      </c>
      <c r="E497" s="209" t="str">
        <f t="shared" si="50"/>
        <v>Large</v>
      </c>
      <c r="F497" s="208"/>
      <c r="G497" s="210">
        <f>Variables!$C$3*POWER(SUM(1,Variables!$C$2/100),C497-2017)</f>
        <v>15933.454263354475</v>
      </c>
      <c r="H497" s="210">
        <f t="shared" si="45"/>
        <v>360.86431460621543</v>
      </c>
      <c r="I497" s="211">
        <f>VLOOKUP(B497,'Waste per capita'!$B$2:$F$48,4,FALSE)*(H497/Variables!$C$6)</f>
        <v>334.35561895500007</v>
      </c>
      <c r="J497" s="210">
        <f t="shared" si="46"/>
        <v>616001.44578748709</v>
      </c>
      <c r="K497" s="212">
        <f>Variables!$C$13</f>
        <v>1</v>
      </c>
      <c r="L497" s="213">
        <f t="shared" si="47"/>
        <v>616001.44578748709</v>
      </c>
      <c r="N497" s="215">
        <f>IF(D497&gt;1500000,Budgeting!$B$13,(IF(D497&gt;500000,Budgeting!$C$13,Budgeting!$D$13)))</f>
        <v>25.956254000485576</v>
      </c>
      <c r="O497" s="216">
        <f t="shared" si="48"/>
        <v>15989089.99152636</v>
      </c>
      <c r="P497" s="217">
        <f>IF(D497&gt;1500000,Budgeting!$B$15,(IF(D497&gt;500000,Budgeting!$C$15,Budgeting!$D$15)))</f>
        <v>3.7080362857836535</v>
      </c>
      <c r="Q497" s="218">
        <f t="shared" si="49"/>
        <v>2284155.713075194</v>
      </c>
    </row>
    <row r="498" spans="1:17">
      <c r="A498" s="222">
        <v>33</v>
      </c>
      <c r="B498" s="191" t="s">
        <v>141</v>
      </c>
      <c r="C498" s="191">
        <v>2030</v>
      </c>
      <c r="D498" s="208">
        <f>Population!O34</f>
        <v>1160576.8093010013</v>
      </c>
      <c r="E498" s="209" t="str">
        <f t="shared" si="50"/>
        <v>Large</v>
      </c>
      <c r="F498" s="208"/>
      <c r="G498" s="210">
        <f>Variables!$C$3*POWER(SUM(1,Variables!$C$2/100),C498-2017)</f>
        <v>15933.454263354475</v>
      </c>
      <c r="H498" s="210">
        <f t="shared" si="45"/>
        <v>360.86431460621543</v>
      </c>
      <c r="I498" s="211">
        <f>VLOOKUP(B498,'Waste per capita'!$B$2:$F$48,4,FALSE)*(H498/Variables!$C$6)</f>
        <v>159.85615358797452</v>
      </c>
      <c r="J498" s="210">
        <f t="shared" si="46"/>
        <v>185525.34467826228</v>
      </c>
      <c r="K498" s="212">
        <f>Variables!$C$13</f>
        <v>1</v>
      </c>
      <c r="L498" s="213">
        <f t="shared" si="47"/>
        <v>185525.34467826228</v>
      </c>
      <c r="N498" s="215">
        <f>IF(D498&gt;1500000,Budgeting!$B$13,(IF(D498&gt;500000,Budgeting!$C$13,Budgeting!$D$13)))</f>
        <v>26.132827156951464</v>
      </c>
      <c r="O498" s="216">
        <f t="shared" si="48"/>
        <v>4848301.7657108735</v>
      </c>
      <c r="P498" s="217">
        <f>IF(D498&gt;1500000,Budgeting!$B$15,(IF(D498&gt;500000,Budgeting!$C$15,Budgeting!$D$15)))</f>
        <v>2.1188778775906578</v>
      </c>
      <c r="Q498" s="218">
        <f t="shared" si="49"/>
        <v>393105.54857115162</v>
      </c>
    </row>
    <row r="499" spans="1:17">
      <c r="A499" s="222">
        <v>34</v>
      </c>
      <c r="B499" s="191" t="s">
        <v>142</v>
      </c>
      <c r="C499" s="191">
        <v>2030</v>
      </c>
      <c r="D499" s="208">
        <f>Population!O35</f>
        <v>671376.13798825187</v>
      </c>
      <c r="E499" s="209" t="str">
        <f t="shared" si="50"/>
        <v>Medium</v>
      </c>
      <c r="F499" s="208"/>
      <c r="G499" s="210">
        <f>Variables!$C$3*POWER(SUM(1,Variables!$C$2/100),C499-2017)</f>
        <v>15933.454263354475</v>
      </c>
      <c r="H499" s="210">
        <f t="shared" si="45"/>
        <v>360.86431460621543</v>
      </c>
      <c r="I499" s="211">
        <f>VLOOKUP(B499,'Waste per capita'!$B$2:$F$48,4,FALSE)*(H499/Variables!$C$6)</f>
        <v>286.76485567308401</v>
      </c>
      <c r="J499" s="210">
        <f t="shared" si="46"/>
        <v>192527.08131255358</v>
      </c>
      <c r="K499" s="212">
        <f>Variables!$C$13</f>
        <v>1</v>
      </c>
      <c r="L499" s="213">
        <f t="shared" si="47"/>
        <v>192527.08131255358</v>
      </c>
      <c r="N499" s="215">
        <f>IF(D499&gt;1500000,Budgeting!$B$13,(IF(D499&gt;500000,Budgeting!$C$13,Budgeting!$D$13)))</f>
        <v>26.132827156951464</v>
      </c>
      <c r="O499" s="216">
        <f t="shared" si="48"/>
        <v>5031276.938973303</v>
      </c>
      <c r="P499" s="217">
        <f>IF(D499&gt;1500000,Budgeting!$B$15,(IF(D499&gt;500000,Budgeting!$C$15,Budgeting!$D$15)))</f>
        <v>2.1188778775906578</v>
      </c>
      <c r="Q499" s="218">
        <f t="shared" si="49"/>
        <v>407941.3734302675</v>
      </c>
    </row>
    <row r="500" spans="1:17">
      <c r="A500" s="222">
        <v>35</v>
      </c>
      <c r="B500" s="191" t="s">
        <v>143</v>
      </c>
      <c r="C500" s="191">
        <v>2030</v>
      </c>
      <c r="D500" s="208">
        <f>Population!O36</f>
        <v>286023.14504586736</v>
      </c>
      <c r="E500" s="209" t="str">
        <f t="shared" si="50"/>
        <v>Medium</v>
      </c>
      <c r="F500" s="208"/>
      <c r="G500" s="210">
        <f>Variables!$C$3*POWER(SUM(1,Variables!$C$2/100),C500-2017)</f>
        <v>15933.454263354475</v>
      </c>
      <c r="H500" s="210">
        <f t="shared" ref="H500:H507" si="51">1647.41-417.73*LN(G500)+29.43*(LN(G500))^2</f>
        <v>360.86431460621543</v>
      </c>
      <c r="I500" s="211">
        <f>VLOOKUP(B500,'Waste per capita'!$B$2:$F$48,4,FALSE)*(H500/Variables!$C$6)</f>
        <v>245.2754722991059</v>
      </c>
      <c r="J500" s="210">
        <f t="shared" ref="J500:J507" si="52">I500*D500/1000</f>
        <v>70154.461989600793</v>
      </c>
      <c r="K500" s="212">
        <f>Variables!$C$13</f>
        <v>1</v>
      </c>
      <c r="L500" s="213">
        <f t="shared" ref="L500:L507" si="53">J500*K500</f>
        <v>70154.461989600793</v>
      </c>
      <c r="N500" s="215">
        <f>IF(D500&gt;1500000,Budgeting!$B$13,(IF(D500&gt;500000,Budgeting!$C$13,Budgeting!$D$13)))</f>
        <v>26.27408568212417</v>
      </c>
      <c r="O500" s="216">
        <f t="shared" ref="O500:O507" si="54">N500*L500</f>
        <v>1843244.3452980944</v>
      </c>
      <c r="P500" s="217">
        <f>IF(D500&gt;1500000,Budgeting!$B$15,(IF(D500&gt;500000,Budgeting!$C$15,Budgeting!$D$15)))</f>
        <v>7.6279603593263765</v>
      </c>
      <c r="Q500" s="218">
        <f t="shared" ref="Q500:Q507" si="55">P500*J500</f>
        <v>535135.45508654392</v>
      </c>
    </row>
    <row r="501" spans="1:17">
      <c r="A501" s="222">
        <v>36</v>
      </c>
      <c r="B501" s="191" t="s">
        <v>144</v>
      </c>
      <c r="C501" s="191">
        <v>2030</v>
      </c>
      <c r="D501" s="208">
        <f>Population!O37</f>
        <v>1833842.7893285726</v>
      </c>
      <c r="E501" s="209" t="str">
        <f t="shared" si="50"/>
        <v>Large</v>
      </c>
      <c r="F501" s="208"/>
      <c r="G501" s="210">
        <f>Variables!$C$3*POWER(SUM(1,Variables!$C$2/100),C501-2017)</f>
        <v>15933.454263354475</v>
      </c>
      <c r="H501" s="210">
        <f t="shared" si="51"/>
        <v>360.86431460621543</v>
      </c>
      <c r="I501" s="211">
        <f>VLOOKUP(B501,'Waste per capita'!$B$2:$F$48,4,FALSE)*(H501/Variables!$C$6)</f>
        <v>347.77865475246358</v>
      </c>
      <c r="J501" s="210">
        <f t="shared" si="52"/>
        <v>637771.37830019637</v>
      </c>
      <c r="K501" s="212">
        <f>Variables!$C$13</f>
        <v>1</v>
      </c>
      <c r="L501" s="213">
        <f t="shared" si="53"/>
        <v>637771.37830019637</v>
      </c>
      <c r="N501" s="215">
        <f>IF(D501&gt;1500000,Budgeting!$B$13,(IF(D501&gt;500000,Budgeting!$C$13,Budgeting!$D$13)))</f>
        <v>25.956254000485576</v>
      </c>
      <c r="O501" s="216">
        <f t="shared" si="54"/>
        <v>16554155.889399672</v>
      </c>
      <c r="P501" s="217">
        <f>IF(D501&gt;1500000,Budgeting!$B$15,(IF(D501&gt;500000,Budgeting!$C$15,Budgeting!$D$15)))</f>
        <v>3.7080362857836535</v>
      </c>
      <c r="Q501" s="218">
        <f t="shared" si="55"/>
        <v>2364879.4127713814</v>
      </c>
    </row>
    <row r="502" spans="1:17">
      <c r="A502" s="222">
        <v>37</v>
      </c>
      <c r="B502" s="191" t="s">
        <v>145</v>
      </c>
      <c r="C502" s="191">
        <v>2030</v>
      </c>
      <c r="D502" s="208">
        <f>Population!O38</f>
        <v>305959.33996932383</v>
      </c>
      <c r="E502" s="209" t="str">
        <f t="shared" si="50"/>
        <v>Medium</v>
      </c>
      <c r="F502" s="208"/>
      <c r="G502" s="210">
        <f>Variables!$C$3*POWER(SUM(1,Variables!$C$2/100),C502-2017)</f>
        <v>15933.454263354475</v>
      </c>
      <c r="H502" s="210">
        <f t="shared" si="51"/>
        <v>360.86431460621543</v>
      </c>
      <c r="I502" s="211">
        <f>VLOOKUP(B502,'Waste per capita'!$B$2:$F$48,4,FALSE)*(H502/Variables!$C$6)</f>
        <v>245.2754722991059</v>
      </c>
      <c r="J502" s="210">
        <f t="shared" si="52"/>
        <v>75044.321615298613</v>
      </c>
      <c r="K502" s="212">
        <f>Variables!$C$13</f>
        <v>1</v>
      </c>
      <c r="L502" s="213">
        <f t="shared" si="53"/>
        <v>75044.321615298613</v>
      </c>
      <c r="N502" s="215">
        <f>IF(D502&gt;1500000,Budgeting!$B$13,(IF(D502&gt;500000,Budgeting!$C$13,Budgeting!$D$13)))</f>
        <v>26.27408568212417</v>
      </c>
      <c r="O502" s="216">
        <f t="shared" si="54"/>
        <v>1971720.9360772388</v>
      </c>
      <c r="P502" s="217">
        <f>IF(D502&gt;1500000,Budgeting!$B$15,(IF(D502&gt;500000,Budgeting!$C$15,Budgeting!$D$15)))</f>
        <v>7.6279603593263765</v>
      </c>
      <c r="Q502" s="218">
        <f t="shared" si="55"/>
        <v>572435.11047403736</v>
      </c>
    </row>
    <row r="503" spans="1:17">
      <c r="A503" s="222">
        <v>38</v>
      </c>
      <c r="B503" s="191" t="s">
        <v>146</v>
      </c>
      <c r="C503" s="191">
        <v>2030</v>
      </c>
      <c r="D503" s="208">
        <f>Population!O39</f>
        <v>1345511.3517201177</v>
      </c>
      <c r="E503" s="209" t="str">
        <f t="shared" si="50"/>
        <v>Large</v>
      </c>
      <c r="F503" s="208"/>
      <c r="G503" s="210">
        <f>Variables!$C$3*POWER(SUM(1,Variables!$C$2/100),C503-2017)</f>
        <v>15933.454263354475</v>
      </c>
      <c r="H503" s="210">
        <f t="shared" si="51"/>
        <v>360.86431460621543</v>
      </c>
      <c r="I503" s="211">
        <f>VLOOKUP(B503,'Waste per capita'!$B$2:$F$48,4,FALSE)*(H503/Variables!$C$6)</f>
        <v>343.18172468483908</v>
      </c>
      <c r="J503" s="210">
        <f t="shared" si="52"/>
        <v>461754.90626633912</v>
      </c>
      <c r="K503" s="212">
        <f>Variables!$C$13</f>
        <v>1</v>
      </c>
      <c r="L503" s="213">
        <f t="shared" si="53"/>
        <v>461754.90626633912</v>
      </c>
      <c r="N503" s="215">
        <f>IF(D503&gt;1500000,Budgeting!$B$13,(IF(D503&gt;500000,Budgeting!$C$13,Budgeting!$D$13)))</f>
        <v>26.132827156951464</v>
      </c>
      <c r="O503" s="216">
        <f t="shared" si="54"/>
        <v>12066961.154332565</v>
      </c>
      <c r="P503" s="217">
        <f>IF(D503&gt;1500000,Budgeting!$B$15,(IF(D503&gt;500000,Budgeting!$C$15,Budgeting!$D$15)))</f>
        <v>2.1188778775906578</v>
      </c>
      <c r="Q503" s="218">
        <f t="shared" si="55"/>
        <v>978402.25575669378</v>
      </c>
    </row>
    <row r="504" spans="1:17">
      <c r="A504" s="222">
        <v>39</v>
      </c>
      <c r="B504" s="191" t="s">
        <v>147</v>
      </c>
      <c r="C504" s="191">
        <v>2030</v>
      </c>
      <c r="D504" s="208">
        <f>Population!O40</f>
        <v>110768.77617745149</v>
      </c>
      <c r="E504" s="209" t="str">
        <f t="shared" si="50"/>
        <v>Medium</v>
      </c>
      <c r="F504" s="208"/>
      <c r="G504" s="210">
        <f>Variables!$C$3*POWER(SUM(1,Variables!$C$2/100),C504-2017)</f>
        <v>15933.454263354475</v>
      </c>
      <c r="H504" s="210">
        <f t="shared" si="51"/>
        <v>360.86431460621543</v>
      </c>
      <c r="I504" s="211">
        <f>VLOOKUP(B504,'Waste per capita'!$B$2:$F$48,4,FALSE)*(H504/Variables!$C$6)</f>
        <v>278.44650176435078</v>
      </c>
      <c r="J504" s="210">
        <f t="shared" si="52"/>
        <v>30843.178231329723</v>
      </c>
      <c r="K504" s="212">
        <f>Variables!$C$13</f>
        <v>1</v>
      </c>
      <c r="L504" s="213">
        <f t="shared" si="53"/>
        <v>30843.178231329723</v>
      </c>
      <c r="N504" s="215">
        <f>IF(D504&gt;1500000,Budgeting!$B$13,(IF(D504&gt;500000,Budgeting!$C$13,Budgeting!$D$13)))</f>
        <v>26.27408568212417</v>
      </c>
      <c r="O504" s="216">
        <f t="shared" si="54"/>
        <v>810376.30755898415</v>
      </c>
      <c r="P504" s="217">
        <f>IF(D504&gt;1500000,Budgeting!$B$15,(IF(D504&gt;500000,Budgeting!$C$15,Budgeting!$D$15)))</f>
        <v>7.6279603593263765</v>
      </c>
      <c r="Q504" s="218">
        <f t="shared" si="55"/>
        <v>235270.54090422136</v>
      </c>
    </row>
    <row r="505" spans="1:17">
      <c r="A505" s="222">
        <v>40</v>
      </c>
      <c r="B505" s="191" t="s">
        <v>148</v>
      </c>
      <c r="C505" s="191">
        <v>2030</v>
      </c>
      <c r="D505" s="208">
        <f>Population!O41</f>
        <v>197779.53814631575</v>
      </c>
      <c r="E505" s="209" t="str">
        <f t="shared" si="50"/>
        <v>Medium</v>
      </c>
      <c r="F505" s="208"/>
      <c r="G505" s="210">
        <f>Variables!$C$3*POWER(SUM(1,Variables!$C$2/100),C505-2017)</f>
        <v>15933.454263354475</v>
      </c>
      <c r="H505" s="210">
        <f t="shared" si="51"/>
        <v>360.86431460621543</v>
      </c>
      <c r="I505" s="211">
        <f>VLOOKUP(B505,'Waste per capita'!$B$2:$F$48,4,FALSE)*(H505/Variables!$C$6)</f>
        <v>247.63467253017524</v>
      </c>
      <c r="J505" s="210">
        <f t="shared" si="52"/>
        <v>48977.071162032204</v>
      </c>
      <c r="K505" s="212">
        <f>Variables!$C$13</f>
        <v>1</v>
      </c>
      <c r="L505" s="213">
        <f t="shared" si="53"/>
        <v>48977.071162032204</v>
      </c>
      <c r="N505" s="215">
        <f>IF(D505&gt;1500000,Budgeting!$B$13,(IF(D505&gt;500000,Budgeting!$C$13,Budgeting!$D$13)))</f>
        <v>26.27408568212417</v>
      </c>
      <c r="O505" s="216">
        <f t="shared" si="54"/>
        <v>1286827.764170727</v>
      </c>
      <c r="P505" s="217">
        <f>IF(D505&gt;1500000,Budgeting!$B$15,(IF(D505&gt;500000,Budgeting!$C$15,Budgeting!$D$15)))</f>
        <v>7.6279603593263765</v>
      </c>
      <c r="Q505" s="218">
        <f t="shared" si="55"/>
        <v>373595.15733988868</v>
      </c>
    </row>
    <row r="506" spans="1:17">
      <c r="A506" s="222">
        <v>41</v>
      </c>
      <c r="B506" s="191" t="s">
        <v>149</v>
      </c>
      <c r="C506" s="191">
        <v>2030</v>
      </c>
      <c r="D506" s="208">
        <f>Population!O42</f>
        <v>95194.355407502691</v>
      </c>
      <c r="E506" s="209" t="str">
        <f t="shared" si="50"/>
        <v>Small</v>
      </c>
      <c r="F506" s="208"/>
      <c r="G506" s="210">
        <f>Variables!$C$3*POWER(SUM(1,Variables!$C$2/100),C506-2017)</f>
        <v>15933.454263354475</v>
      </c>
      <c r="H506" s="210">
        <f t="shared" si="51"/>
        <v>360.86431460621543</v>
      </c>
      <c r="I506" s="211">
        <f>VLOOKUP(B506,'Waste per capita'!$B$2:$F$48,4,FALSE)*(H506/Variables!$C$6)</f>
        <v>278.44650176435078</v>
      </c>
      <c r="J506" s="210">
        <f t="shared" si="52"/>
        <v>26506.535250931433</v>
      </c>
      <c r="K506" s="212">
        <f>Variables!$C$13</f>
        <v>1</v>
      </c>
      <c r="L506" s="213">
        <f t="shared" si="53"/>
        <v>26506.535250931433</v>
      </c>
      <c r="N506" s="215">
        <f>IF(D506&gt;1500000,Budgeting!$B$13,(IF(D506&gt;500000,Budgeting!$C$13,Budgeting!$D$13)))</f>
        <v>26.27408568212417</v>
      </c>
      <c r="O506" s="216">
        <f t="shared" si="54"/>
        <v>696434.9783192171</v>
      </c>
      <c r="P506" s="217">
        <f>IF(D506&gt;1500000,Budgeting!$B$15,(IF(D506&gt;500000,Budgeting!$C$15,Budgeting!$D$15)))</f>
        <v>7.6279603593263765</v>
      </c>
      <c r="Q506" s="218">
        <f t="shared" si="55"/>
        <v>202190.80015719219</v>
      </c>
    </row>
    <row r="507" spans="1:17">
      <c r="A507" s="222">
        <v>42</v>
      </c>
      <c r="B507" s="191" t="s">
        <v>150</v>
      </c>
      <c r="C507" s="191">
        <v>2030</v>
      </c>
      <c r="D507" s="208">
        <f>Population!O43</f>
        <v>117884.94438496316</v>
      </c>
      <c r="E507" s="209" t="str">
        <f t="shared" si="50"/>
        <v>Medium</v>
      </c>
      <c r="F507" s="208"/>
      <c r="G507" s="210">
        <f>Variables!$C$3*POWER(SUM(1,Variables!$C$2/100),C507-2017)</f>
        <v>15933.454263354475</v>
      </c>
      <c r="H507" s="210">
        <f t="shared" si="51"/>
        <v>360.86431460621543</v>
      </c>
      <c r="I507" s="211">
        <f>VLOOKUP(B507,'Waste per capita'!$B$2:$F$48,4,FALSE)*(H507/Variables!$C$6)</f>
        <v>278.44650176435078</v>
      </c>
      <c r="J507" s="210">
        <f t="shared" si="52"/>
        <v>32824.650374678036</v>
      </c>
      <c r="K507" s="212">
        <f>Variables!$C$13</f>
        <v>1</v>
      </c>
      <c r="L507" s="213">
        <f t="shared" si="53"/>
        <v>32824.650374678036</v>
      </c>
      <c r="N507" s="215">
        <f>IF(D507&gt;1500000,Budgeting!$B$13,(IF(D507&gt;500000,Budgeting!$C$13,Budgeting!$D$13)))</f>
        <v>26.27408568212417</v>
      </c>
      <c r="O507" s="216">
        <f t="shared" si="54"/>
        <v>862437.67643005995</v>
      </c>
      <c r="P507" s="217">
        <f>IF(D507&gt;1500000,Budgeting!$B$15,(IF(D507&gt;500000,Budgeting!$C$15,Budgeting!$D$15)))</f>
        <v>7.6279603593263765</v>
      </c>
      <c r="Q507" s="218">
        <f t="shared" si="55"/>
        <v>250385.13186679175</v>
      </c>
    </row>
    <row r="508" spans="1:17" ht="18">
      <c r="D508" s="231"/>
      <c r="E508" s="232"/>
      <c r="F508" s="231"/>
      <c r="G508" s="224"/>
      <c r="H508" s="224"/>
      <c r="I508" s="233"/>
      <c r="J508" s="224"/>
      <c r="K508" s="234"/>
      <c r="L508" s="231"/>
      <c r="M508" s="194"/>
      <c r="N508" s="225"/>
      <c r="O508" s="235">
        <f>SUM(O4:O507)</f>
        <v>8899224135.0423126</v>
      </c>
      <c r="P508" s="236"/>
      <c r="Q508" s="235">
        <f>SUM(Q4:Q507)</f>
        <v>1266821558.7307653</v>
      </c>
    </row>
    <row r="509" spans="1:17">
      <c r="D509" s="231"/>
      <c r="E509" s="232"/>
      <c r="F509" s="231"/>
      <c r="G509" s="224"/>
      <c r="H509" s="224"/>
      <c r="I509" s="233"/>
      <c r="J509" s="224"/>
      <c r="K509" s="234"/>
      <c r="L509" s="231"/>
      <c r="M509" s="194"/>
      <c r="N509" s="225"/>
      <c r="O509" s="229"/>
      <c r="P509" s="236"/>
      <c r="Q509" s="229"/>
    </row>
    <row r="510" spans="1:17">
      <c r="D510" s="231"/>
      <c r="E510" s="232"/>
      <c r="F510" s="231"/>
      <c r="G510" s="224"/>
      <c r="H510" s="224"/>
      <c r="I510" s="233"/>
      <c r="J510" s="224"/>
      <c r="K510" s="234"/>
      <c r="L510" s="231"/>
      <c r="M510" s="194"/>
      <c r="N510" s="225"/>
      <c r="O510" s="229"/>
      <c r="P510" s="236"/>
      <c r="Q510" s="229"/>
    </row>
    <row r="511" spans="1:17">
      <c r="D511" s="231"/>
      <c r="E511" s="232"/>
      <c r="F511" s="231"/>
      <c r="G511" s="224"/>
      <c r="H511" s="224"/>
      <c r="I511" s="233"/>
      <c r="J511" s="224"/>
      <c r="K511" s="234"/>
      <c r="L511" s="231"/>
      <c r="M511" s="194"/>
      <c r="N511" s="225"/>
      <c r="O511" s="229"/>
      <c r="P511" s="236"/>
      <c r="Q511" s="229"/>
    </row>
    <row r="512" spans="1:17">
      <c r="D512" s="231"/>
      <c r="E512" s="232"/>
      <c r="F512" s="231"/>
      <c r="G512" s="224"/>
      <c r="H512" s="224"/>
      <c r="I512" s="233"/>
      <c r="J512" s="224"/>
      <c r="K512" s="234"/>
      <c r="L512" s="231"/>
      <c r="M512" s="194"/>
      <c r="N512" s="225"/>
      <c r="O512" s="229"/>
      <c r="P512" s="236"/>
      <c r="Q512" s="229"/>
    </row>
    <row r="513" spans="4:17">
      <c r="D513" s="231"/>
      <c r="E513" s="232"/>
      <c r="F513" s="231"/>
      <c r="G513" s="224"/>
      <c r="H513" s="224"/>
      <c r="I513" s="233"/>
      <c r="J513" s="224"/>
      <c r="K513" s="234"/>
      <c r="L513" s="231"/>
      <c r="M513" s="194"/>
      <c r="N513" s="225"/>
      <c r="O513" s="229"/>
      <c r="P513" s="236"/>
      <c r="Q513" s="229"/>
    </row>
    <row r="514" spans="4:17">
      <c r="D514" s="231"/>
      <c r="E514" s="232"/>
      <c r="F514" s="231"/>
      <c r="G514" s="224"/>
      <c r="H514" s="224"/>
      <c r="I514" s="233"/>
      <c r="J514" s="224"/>
      <c r="K514" s="234"/>
      <c r="L514" s="231"/>
      <c r="M514" s="194"/>
      <c r="N514" s="225"/>
      <c r="O514" s="229"/>
      <c r="P514" s="236"/>
      <c r="Q514" s="229"/>
    </row>
    <row r="515" spans="4:17">
      <c r="D515" s="231"/>
      <c r="E515" s="232"/>
      <c r="F515" s="231"/>
      <c r="G515" s="224"/>
      <c r="H515" s="224"/>
      <c r="I515" s="233"/>
      <c r="J515" s="224"/>
      <c r="K515" s="234"/>
      <c r="L515" s="231"/>
      <c r="M515" s="194"/>
      <c r="N515" s="225"/>
      <c r="O515" s="229"/>
      <c r="P515" s="236"/>
      <c r="Q515" s="229"/>
    </row>
    <row r="516" spans="4:17">
      <c r="D516" s="231"/>
      <c r="E516" s="232"/>
      <c r="F516" s="231"/>
      <c r="G516" s="224"/>
      <c r="H516" s="224"/>
      <c r="I516" s="233"/>
      <c r="J516" s="224"/>
      <c r="K516" s="234"/>
      <c r="L516" s="231"/>
      <c r="M516" s="194"/>
      <c r="N516" s="225"/>
      <c r="O516" s="229"/>
      <c r="P516" s="236"/>
      <c r="Q516" s="229"/>
    </row>
    <row r="517" spans="4:17">
      <c r="D517" s="231"/>
      <c r="E517" s="232"/>
      <c r="F517" s="231"/>
      <c r="G517" s="224"/>
      <c r="H517" s="224"/>
      <c r="I517" s="233"/>
      <c r="J517" s="224"/>
      <c r="K517" s="234"/>
      <c r="L517" s="231"/>
      <c r="M517" s="194"/>
      <c r="N517" s="225"/>
      <c r="O517" s="229"/>
      <c r="P517" s="236"/>
      <c r="Q517" s="229"/>
    </row>
    <row r="518" spans="4:17">
      <c r="D518" s="231"/>
      <c r="E518" s="232"/>
      <c r="F518" s="231"/>
      <c r="G518" s="224"/>
      <c r="H518" s="224"/>
      <c r="I518" s="233"/>
      <c r="J518" s="224"/>
      <c r="K518" s="234"/>
      <c r="L518" s="231"/>
      <c r="M518" s="194"/>
      <c r="N518" s="225"/>
      <c r="O518" s="229"/>
      <c r="P518" s="236"/>
      <c r="Q518" s="229"/>
    </row>
    <row r="519" spans="4:17">
      <c r="D519" s="231"/>
      <c r="E519" s="232"/>
      <c r="F519" s="231"/>
      <c r="G519" s="224"/>
      <c r="H519" s="224"/>
      <c r="I519" s="233"/>
      <c r="J519" s="224"/>
      <c r="K519" s="234"/>
      <c r="L519" s="231"/>
      <c r="M519" s="194"/>
      <c r="N519" s="225"/>
      <c r="O519" s="229"/>
      <c r="P519" s="236"/>
      <c r="Q519" s="229"/>
    </row>
    <row r="520" spans="4:17">
      <c r="D520" s="231"/>
      <c r="E520" s="232"/>
      <c r="F520" s="231"/>
      <c r="G520" s="224"/>
      <c r="H520" s="224"/>
      <c r="I520" s="233"/>
      <c r="J520" s="224"/>
      <c r="K520" s="234"/>
      <c r="L520" s="231"/>
      <c r="M520" s="194"/>
      <c r="N520" s="225"/>
      <c r="O520" s="229"/>
      <c r="P520" s="236"/>
      <c r="Q520" s="229"/>
    </row>
    <row r="521" spans="4:17">
      <c r="D521" s="231"/>
      <c r="E521" s="232"/>
      <c r="F521" s="231"/>
      <c r="G521" s="224"/>
      <c r="H521" s="224"/>
      <c r="I521" s="233"/>
      <c r="J521" s="224"/>
      <c r="K521" s="234"/>
      <c r="L521" s="231"/>
      <c r="M521" s="194"/>
      <c r="N521" s="225"/>
      <c r="O521" s="229"/>
      <c r="P521" s="236"/>
      <c r="Q521" s="229"/>
    </row>
    <row r="522" spans="4:17">
      <c r="D522" s="231"/>
      <c r="E522" s="232"/>
      <c r="F522" s="231"/>
      <c r="G522" s="224"/>
      <c r="H522" s="224"/>
      <c r="I522" s="233"/>
      <c r="J522" s="224"/>
      <c r="K522" s="234"/>
      <c r="L522" s="231"/>
      <c r="M522" s="194"/>
      <c r="N522" s="225"/>
      <c r="O522" s="229"/>
      <c r="P522" s="236"/>
      <c r="Q522" s="229"/>
    </row>
    <row r="523" spans="4:17">
      <c r="D523" s="231"/>
      <c r="E523" s="232"/>
      <c r="F523" s="231"/>
      <c r="G523" s="224"/>
      <c r="H523" s="224"/>
      <c r="I523" s="233"/>
      <c r="J523" s="224"/>
      <c r="K523" s="234"/>
      <c r="L523" s="231"/>
      <c r="M523" s="194"/>
      <c r="N523" s="225"/>
      <c r="O523" s="229"/>
      <c r="P523" s="236"/>
      <c r="Q523" s="229"/>
    </row>
    <row r="524" spans="4:17">
      <c r="D524" s="231"/>
      <c r="E524" s="232"/>
      <c r="F524" s="231"/>
      <c r="G524" s="224"/>
      <c r="H524" s="224"/>
      <c r="I524" s="233"/>
      <c r="J524" s="224"/>
      <c r="K524" s="234"/>
      <c r="L524" s="231"/>
      <c r="M524" s="194"/>
      <c r="N524" s="225"/>
      <c r="O524" s="229"/>
      <c r="P524" s="236"/>
      <c r="Q524" s="229"/>
    </row>
    <row r="525" spans="4:17">
      <c r="D525" s="231"/>
      <c r="E525" s="232"/>
      <c r="F525" s="231"/>
      <c r="G525" s="224"/>
      <c r="H525" s="224"/>
      <c r="I525" s="233"/>
      <c r="J525" s="224"/>
      <c r="K525" s="234"/>
      <c r="L525" s="231"/>
      <c r="M525" s="194"/>
      <c r="N525" s="225"/>
      <c r="O525" s="229"/>
      <c r="P525" s="236"/>
      <c r="Q525" s="229"/>
    </row>
    <row r="526" spans="4:17">
      <c r="D526" s="231"/>
      <c r="E526" s="232"/>
      <c r="F526" s="231"/>
      <c r="G526" s="224"/>
      <c r="H526" s="224"/>
      <c r="I526" s="233"/>
      <c r="J526" s="224"/>
      <c r="K526" s="234"/>
      <c r="L526" s="231"/>
      <c r="M526" s="194"/>
      <c r="N526" s="225"/>
      <c r="O526" s="229"/>
      <c r="P526" s="236"/>
      <c r="Q526" s="229"/>
    </row>
    <row r="527" spans="4:17">
      <c r="D527" s="231"/>
      <c r="E527" s="232"/>
      <c r="F527" s="231"/>
      <c r="G527" s="224"/>
      <c r="H527" s="224"/>
      <c r="I527" s="233"/>
      <c r="J527" s="224"/>
      <c r="K527" s="234"/>
      <c r="L527" s="231"/>
      <c r="M527" s="194"/>
      <c r="N527" s="225"/>
      <c r="O527" s="229"/>
      <c r="P527" s="236"/>
      <c r="Q527" s="229"/>
    </row>
    <row r="528" spans="4:17">
      <c r="D528" s="231"/>
      <c r="E528" s="232"/>
      <c r="F528" s="231"/>
      <c r="G528" s="224"/>
      <c r="H528" s="224"/>
      <c r="I528" s="233"/>
      <c r="J528" s="224"/>
      <c r="K528" s="234"/>
      <c r="L528" s="231"/>
      <c r="M528" s="194"/>
      <c r="N528" s="225"/>
      <c r="O528" s="229"/>
      <c r="P528" s="236"/>
      <c r="Q528" s="229"/>
    </row>
    <row r="529" spans="4:17">
      <c r="D529" s="231"/>
      <c r="E529" s="232"/>
      <c r="F529" s="231"/>
      <c r="G529" s="224"/>
      <c r="H529" s="224"/>
      <c r="I529" s="233"/>
      <c r="J529" s="224"/>
      <c r="K529" s="234"/>
      <c r="L529" s="231"/>
      <c r="M529" s="194"/>
      <c r="N529" s="225"/>
      <c r="O529" s="229"/>
      <c r="P529" s="236"/>
      <c r="Q529" s="229"/>
    </row>
    <row r="530" spans="4:17">
      <c r="D530" s="231"/>
      <c r="E530" s="232"/>
      <c r="F530" s="231"/>
      <c r="G530" s="224"/>
      <c r="H530" s="224"/>
      <c r="I530" s="233"/>
      <c r="J530" s="224"/>
      <c r="K530" s="234"/>
      <c r="L530" s="231"/>
      <c r="M530" s="194"/>
      <c r="N530" s="225"/>
      <c r="O530" s="229"/>
      <c r="P530" s="236"/>
      <c r="Q530" s="229"/>
    </row>
    <row r="531" spans="4:17">
      <c r="D531" s="231"/>
      <c r="E531" s="232"/>
      <c r="F531" s="231"/>
      <c r="G531" s="224"/>
      <c r="H531" s="224"/>
      <c r="I531" s="233"/>
      <c r="J531" s="224"/>
      <c r="K531" s="234"/>
      <c r="L531" s="231"/>
      <c r="M531" s="194"/>
      <c r="N531" s="225"/>
      <c r="O531" s="229"/>
      <c r="P531" s="236"/>
      <c r="Q531" s="229"/>
    </row>
    <row r="532" spans="4:17">
      <c r="D532" s="231"/>
      <c r="E532" s="232"/>
      <c r="F532" s="231"/>
      <c r="G532" s="224"/>
      <c r="H532" s="224"/>
      <c r="I532" s="233"/>
      <c r="J532" s="224"/>
      <c r="K532" s="234"/>
      <c r="L532" s="231"/>
      <c r="M532" s="194"/>
      <c r="N532" s="225"/>
      <c r="O532" s="229"/>
      <c r="P532" s="236"/>
      <c r="Q532" s="229"/>
    </row>
    <row r="533" spans="4:17">
      <c r="D533" s="231"/>
      <c r="E533" s="232"/>
      <c r="F533" s="231"/>
      <c r="G533" s="224"/>
      <c r="H533" s="224"/>
      <c r="I533" s="233"/>
      <c r="J533" s="224"/>
      <c r="K533" s="234"/>
      <c r="L533" s="231"/>
      <c r="M533" s="194"/>
      <c r="N533" s="225"/>
      <c r="O533" s="229"/>
      <c r="P533" s="236"/>
      <c r="Q533" s="229"/>
    </row>
    <row r="534" spans="4:17">
      <c r="D534" s="231"/>
      <c r="E534" s="232"/>
      <c r="F534" s="231"/>
      <c r="G534" s="224"/>
      <c r="H534" s="224"/>
      <c r="I534" s="233"/>
      <c r="J534" s="224"/>
      <c r="K534" s="234"/>
      <c r="L534" s="231"/>
      <c r="M534" s="194"/>
      <c r="N534" s="225"/>
      <c r="O534" s="229"/>
      <c r="P534" s="236"/>
      <c r="Q534" s="229"/>
    </row>
    <row r="535" spans="4:17">
      <c r="D535" s="231"/>
      <c r="E535" s="232"/>
      <c r="F535" s="231"/>
      <c r="G535" s="224"/>
      <c r="H535" s="224"/>
      <c r="I535" s="233"/>
      <c r="J535" s="224"/>
      <c r="K535" s="234"/>
      <c r="L535" s="231"/>
      <c r="M535" s="194"/>
      <c r="N535" s="225"/>
      <c r="O535" s="229"/>
      <c r="P535" s="236"/>
      <c r="Q535" s="229"/>
    </row>
    <row r="536" spans="4:17">
      <c r="D536" s="231"/>
      <c r="E536" s="232"/>
      <c r="F536" s="231"/>
      <c r="G536" s="224"/>
      <c r="H536" s="224"/>
      <c r="I536" s="233"/>
      <c r="J536" s="224"/>
      <c r="K536" s="234"/>
      <c r="L536" s="231"/>
      <c r="M536" s="194"/>
      <c r="N536" s="225"/>
      <c r="O536" s="229"/>
      <c r="P536" s="236"/>
      <c r="Q536" s="229"/>
    </row>
    <row r="537" spans="4:17">
      <c r="D537" s="231"/>
      <c r="E537" s="232"/>
      <c r="F537" s="231"/>
      <c r="G537" s="224"/>
      <c r="H537" s="224"/>
      <c r="I537" s="233"/>
      <c r="J537" s="224"/>
      <c r="K537" s="234"/>
      <c r="L537" s="231"/>
      <c r="M537" s="194"/>
      <c r="N537" s="225"/>
      <c r="O537" s="229"/>
      <c r="P537" s="236"/>
      <c r="Q537" s="229"/>
    </row>
    <row r="538" spans="4:17">
      <c r="D538" s="231"/>
      <c r="E538" s="232"/>
      <c r="F538" s="231"/>
      <c r="G538" s="224"/>
      <c r="H538" s="224"/>
      <c r="I538" s="233"/>
      <c r="J538" s="224"/>
      <c r="K538" s="234"/>
      <c r="L538" s="231"/>
      <c r="M538" s="194"/>
      <c r="N538" s="225"/>
      <c r="O538" s="229"/>
      <c r="P538" s="236"/>
      <c r="Q538" s="229"/>
    </row>
    <row r="539" spans="4:17">
      <c r="D539" s="231"/>
      <c r="E539" s="232"/>
      <c r="F539" s="231"/>
      <c r="G539" s="224"/>
      <c r="H539" s="224"/>
      <c r="I539" s="233"/>
      <c r="J539" s="224"/>
      <c r="K539" s="234"/>
      <c r="L539" s="231"/>
      <c r="M539" s="194"/>
      <c r="N539" s="225"/>
      <c r="O539" s="229"/>
      <c r="P539" s="236"/>
      <c r="Q539" s="229"/>
    </row>
    <row r="540" spans="4:17">
      <c r="D540" s="231"/>
      <c r="E540" s="232"/>
      <c r="F540" s="231"/>
      <c r="G540" s="224"/>
      <c r="H540" s="224"/>
      <c r="I540" s="233"/>
      <c r="J540" s="224"/>
      <c r="K540" s="234"/>
      <c r="L540" s="231"/>
      <c r="M540" s="194"/>
      <c r="N540" s="225"/>
      <c r="O540" s="229"/>
      <c r="P540" s="236"/>
      <c r="Q540" s="229"/>
    </row>
    <row r="541" spans="4:17">
      <c r="D541" s="231"/>
      <c r="E541" s="232"/>
      <c r="F541" s="231"/>
      <c r="G541" s="224"/>
      <c r="H541" s="224"/>
      <c r="I541" s="233"/>
      <c r="J541" s="224"/>
      <c r="K541" s="234"/>
      <c r="L541" s="231"/>
      <c r="M541" s="194"/>
      <c r="N541" s="225"/>
      <c r="O541" s="229"/>
      <c r="P541" s="236"/>
      <c r="Q541" s="229"/>
    </row>
    <row r="542" spans="4:17">
      <c r="D542" s="231"/>
      <c r="E542" s="232"/>
      <c r="F542" s="231"/>
      <c r="G542" s="224"/>
      <c r="H542" s="224"/>
      <c r="I542" s="233"/>
      <c r="J542" s="224"/>
      <c r="K542" s="234"/>
      <c r="L542" s="231"/>
      <c r="M542" s="194"/>
      <c r="N542" s="225"/>
      <c r="O542" s="229"/>
      <c r="P542" s="236"/>
      <c r="Q542" s="229"/>
    </row>
    <row r="543" spans="4:17">
      <c r="D543" s="231"/>
      <c r="E543" s="232"/>
      <c r="F543" s="231"/>
      <c r="G543" s="224"/>
      <c r="H543" s="224"/>
      <c r="I543" s="233"/>
      <c r="J543" s="224"/>
      <c r="K543" s="234"/>
      <c r="L543" s="231"/>
      <c r="M543" s="194"/>
      <c r="N543" s="225"/>
      <c r="O543" s="229"/>
      <c r="P543" s="236"/>
      <c r="Q543" s="229"/>
    </row>
    <row r="544" spans="4:17">
      <c r="D544" s="231"/>
      <c r="E544" s="232"/>
      <c r="F544" s="231"/>
      <c r="G544" s="224"/>
      <c r="H544" s="224"/>
      <c r="I544" s="233"/>
      <c r="J544" s="224"/>
      <c r="K544" s="234"/>
      <c r="L544" s="231"/>
      <c r="M544" s="194"/>
      <c r="N544" s="225"/>
      <c r="O544" s="229"/>
      <c r="P544" s="236"/>
      <c r="Q544" s="229"/>
    </row>
    <row r="545" spans="4:17">
      <c r="D545" s="231"/>
      <c r="E545" s="232"/>
      <c r="F545" s="231"/>
      <c r="G545" s="224"/>
      <c r="H545" s="224"/>
      <c r="I545" s="233"/>
      <c r="J545" s="224"/>
      <c r="K545" s="234"/>
      <c r="L545" s="231"/>
      <c r="M545" s="194"/>
      <c r="N545" s="225"/>
      <c r="O545" s="229"/>
      <c r="P545" s="236"/>
      <c r="Q545" s="229"/>
    </row>
    <row r="546" spans="4:17">
      <c r="D546" s="231"/>
      <c r="E546" s="232"/>
      <c r="F546" s="231"/>
      <c r="G546" s="224"/>
      <c r="H546" s="224"/>
      <c r="I546" s="233"/>
      <c r="J546" s="224"/>
      <c r="K546" s="234"/>
      <c r="L546" s="231"/>
      <c r="M546" s="194"/>
      <c r="N546" s="225"/>
      <c r="O546" s="229"/>
      <c r="P546" s="236"/>
      <c r="Q546" s="229"/>
    </row>
    <row r="547" spans="4:17">
      <c r="D547" s="231"/>
      <c r="E547" s="232"/>
      <c r="F547" s="231"/>
      <c r="G547" s="224"/>
      <c r="H547" s="224"/>
      <c r="I547" s="233"/>
      <c r="J547" s="224"/>
      <c r="K547" s="234"/>
      <c r="L547" s="231"/>
      <c r="M547" s="194"/>
      <c r="N547" s="225"/>
      <c r="O547" s="229"/>
      <c r="P547" s="236"/>
      <c r="Q547" s="229"/>
    </row>
    <row r="548" spans="4:17">
      <c r="D548" s="231"/>
      <c r="E548" s="232"/>
      <c r="F548" s="231"/>
      <c r="G548" s="224"/>
      <c r="H548" s="224"/>
      <c r="I548" s="233"/>
      <c r="J548" s="224"/>
      <c r="K548" s="234"/>
      <c r="L548" s="231"/>
      <c r="M548" s="194"/>
      <c r="N548" s="225"/>
      <c r="O548" s="229"/>
      <c r="P548" s="236"/>
      <c r="Q548" s="229"/>
    </row>
    <row r="549" spans="4:17">
      <c r="D549" s="231"/>
      <c r="E549" s="232"/>
      <c r="F549" s="231"/>
      <c r="G549" s="224"/>
      <c r="H549" s="224"/>
      <c r="I549" s="233"/>
      <c r="J549" s="224"/>
      <c r="K549" s="234"/>
      <c r="L549" s="231"/>
      <c r="M549" s="194"/>
      <c r="N549" s="225"/>
      <c r="O549" s="229"/>
      <c r="P549" s="236"/>
      <c r="Q549" s="229"/>
    </row>
    <row r="550" spans="4:17">
      <c r="D550" s="231"/>
      <c r="E550" s="232"/>
      <c r="F550" s="231"/>
      <c r="G550" s="224"/>
      <c r="H550" s="224"/>
      <c r="I550" s="233"/>
      <c r="J550" s="224"/>
      <c r="K550" s="234"/>
      <c r="L550" s="231"/>
      <c r="M550" s="194"/>
      <c r="N550" s="225"/>
      <c r="O550" s="229"/>
      <c r="P550" s="236"/>
      <c r="Q550" s="229"/>
    </row>
    <row r="551" spans="4:17">
      <c r="D551" s="231"/>
      <c r="E551" s="232"/>
      <c r="F551" s="231"/>
      <c r="G551" s="224"/>
      <c r="H551" s="224"/>
      <c r="I551" s="233"/>
      <c r="J551" s="224"/>
      <c r="K551" s="234"/>
      <c r="L551" s="231"/>
      <c r="M551" s="194"/>
      <c r="N551" s="225"/>
      <c r="O551" s="229"/>
      <c r="P551" s="236"/>
      <c r="Q551" s="229"/>
    </row>
    <row r="552" spans="4:17">
      <c r="D552" s="231"/>
      <c r="E552" s="232"/>
      <c r="F552" s="231"/>
      <c r="G552" s="224"/>
      <c r="H552" s="224"/>
      <c r="I552" s="233"/>
      <c r="J552" s="224"/>
      <c r="K552" s="234"/>
      <c r="L552" s="231"/>
      <c r="M552" s="194"/>
      <c r="N552" s="225"/>
      <c r="O552" s="229"/>
      <c r="P552" s="236"/>
      <c r="Q552" s="229"/>
    </row>
    <row r="553" spans="4:17">
      <c r="D553" s="231"/>
      <c r="E553" s="232"/>
      <c r="F553" s="231"/>
      <c r="G553" s="224"/>
      <c r="H553" s="224"/>
      <c r="I553" s="233"/>
      <c r="J553" s="224"/>
      <c r="K553" s="234"/>
      <c r="L553" s="231"/>
      <c r="M553" s="194"/>
      <c r="N553" s="225"/>
      <c r="O553" s="229"/>
      <c r="P553" s="236"/>
      <c r="Q553" s="229"/>
    </row>
    <row r="554" spans="4:17">
      <c r="D554" s="231"/>
      <c r="E554" s="232"/>
      <c r="F554" s="231"/>
      <c r="G554" s="224"/>
      <c r="H554" s="224"/>
      <c r="I554" s="233"/>
      <c r="J554" s="224"/>
      <c r="K554" s="234"/>
      <c r="L554" s="231"/>
      <c r="M554" s="194"/>
      <c r="N554" s="225"/>
      <c r="O554" s="229"/>
      <c r="P554" s="236"/>
      <c r="Q554" s="229"/>
    </row>
    <row r="555" spans="4:17">
      <c r="D555" s="231"/>
      <c r="E555" s="232"/>
      <c r="F555" s="231"/>
      <c r="G555" s="224"/>
      <c r="H555" s="224"/>
      <c r="I555" s="233"/>
      <c r="J555" s="224"/>
      <c r="K555" s="234"/>
      <c r="L555" s="231"/>
      <c r="M555" s="194"/>
      <c r="N555" s="225"/>
      <c r="O555" s="229"/>
      <c r="P555" s="236"/>
      <c r="Q555" s="229"/>
    </row>
    <row r="556" spans="4:17">
      <c r="D556" s="231"/>
      <c r="E556" s="232"/>
      <c r="F556" s="231"/>
      <c r="G556" s="224"/>
      <c r="H556" s="224"/>
      <c r="I556" s="233"/>
      <c r="J556" s="224"/>
      <c r="K556" s="234"/>
      <c r="L556" s="231"/>
      <c r="M556" s="194"/>
      <c r="N556" s="225"/>
      <c r="O556" s="229"/>
      <c r="P556" s="236"/>
      <c r="Q556" s="229"/>
    </row>
    <row r="557" spans="4:17">
      <c r="D557" s="231"/>
      <c r="E557" s="232"/>
      <c r="F557" s="231"/>
      <c r="G557" s="224"/>
      <c r="H557" s="224"/>
      <c r="I557" s="233"/>
      <c r="J557" s="224"/>
      <c r="K557" s="234"/>
      <c r="L557" s="231"/>
      <c r="M557" s="194"/>
      <c r="N557" s="225"/>
      <c r="O557" s="229"/>
      <c r="P557" s="236"/>
      <c r="Q557" s="229"/>
    </row>
    <row r="558" spans="4:17">
      <c r="D558" s="231"/>
      <c r="E558" s="232"/>
      <c r="F558" s="231"/>
      <c r="G558" s="224"/>
      <c r="H558" s="224"/>
      <c r="I558" s="233"/>
      <c r="J558" s="224"/>
      <c r="K558" s="234"/>
      <c r="L558" s="231"/>
      <c r="M558" s="194"/>
      <c r="N558" s="225"/>
      <c r="O558" s="229"/>
      <c r="P558" s="236"/>
      <c r="Q558" s="229"/>
    </row>
    <row r="559" spans="4:17">
      <c r="D559" s="231"/>
      <c r="E559" s="232"/>
      <c r="F559" s="231"/>
      <c r="G559" s="224"/>
      <c r="H559" s="224"/>
      <c r="I559" s="233"/>
      <c r="J559" s="224"/>
      <c r="K559" s="234"/>
      <c r="L559" s="231"/>
      <c r="M559" s="194"/>
      <c r="N559" s="225"/>
      <c r="O559" s="229"/>
      <c r="P559" s="236"/>
      <c r="Q559" s="229"/>
    </row>
    <row r="560" spans="4:17">
      <c r="D560" s="231"/>
      <c r="E560" s="232"/>
      <c r="F560" s="231"/>
      <c r="G560" s="224"/>
      <c r="H560" s="224"/>
      <c r="I560" s="233"/>
      <c r="J560" s="224"/>
      <c r="K560" s="234"/>
      <c r="L560" s="231"/>
      <c r="M560" s="194"/>
      <c r="N560" s="225"/>
      <c r="O560" s="229"/>
      <c r="P560" s="236"/>
      <c r="Q560" s="229"/>
    </row>
    <row r="561" spans="4:17">
      <c r="D561" s="231"/>
      <c r="E561" s="232"/>
      <c r="F561" s="231"/>
      <c r="G561" s="224"/>
      <c r="H561" s="224"/>
      <c r="I561" s="233"/>
      <c r="J561" s="224"/>
      <c r="K561" s="234"/>
      <c r="L561" s="231"/>
      <c r="M561" s="194"/>
      <c r="N561" s="225"/>
      <c r="O561" s="229"/>
      <c r="P561" s="236"/>
      <c r="Q561" s="229"/>
    </row>
    <row r="562" spans="4:17">
      <c r="D562" s="231"/>
      <c r="E562" s="232"/>
      <c r="F562" s="231"/>
      <c r="G562" s="224"/>
      <c r="H562" s="224"/>
      <c r="I562" s="233"/>
      <c r="J562" s="224"/>
      <c r="K562" s="234"/>
      <c r="L562" s="231"/>
      <c r="M562" s="194"/>
      <c r="N562" s="225"/>
      <c r="O562" s="229"/>
      <c r="P562" s="236"/>
      <c r="Q562" s="229"/>
    </row>
    <row r="563" spans="4:17">
      <c r="D563" s="231"/>
      <c r="E563" s="232"/>
      <c r="F563" s="231"/>
      <c r="G563" s="224"/>
      <c r="H563" s="224"/>
      <c r="I563" s="233"/>
      <c r="J563" s="224"/>
      <c r="K563" s="234"/>
      <c r="L563" s="231"/>
      <c r="M563" s="194"/>
      <c r="N563" s="225"/>
      <c r="O563" s="229"/>
      <c r="P563" s="236"/>
      <c r="Q563" s="229"/>
    </row>
    <row r="564" spans="4:17">
      <c r="D564" s="231"/>
      <c r="E564" s="232"/>
      <c r="F564" s="231"/>
      <c r="G564" s="224"/>
      <c r="H564" s="224"/>
      <c r="I564" s="233"/>
      <c r="J564" s="224"/>
      <c r="K564" s="234"/>
      <c r="L564" s="231"/>
      <c r="M564" s="194"/>
      <c r="N564" s="225"/>
      <c r="O564" s="229"/>
      <c r="P564" s="236"/>
      <c r="Q564" s="229"/>
    </row>
    <row r="565" spans="4:17">
      <c r="D565" s="231"/>
      <c r="E565" s="232"/>
      <c r="F565" s="231"/>
      <c r="G565" s="224"/>
      <c r="H565" s="224"/>
      <c r="I565" s="233"/>
      <c r="J565" s="224"/>
      <c r="K565" s="234"/>
      <c r="L565" s="231"/>
      <c r="M565" s="194"/>
      <c r="N565" s="225"/>
      <c r="O565" s="229"/>
      <c r="P565" s="236"/>
      <c r="Q565" s="229"/>
    </row>
    <row r="566" spans="4:17">
      <c r="D566" s="231"/>
      <c r="E566" s="232"/>
      <c r="F566" s="231"/>
      <c r="G566" s="224"/>
      <c r="H566" s="224"/>
      <c r="I566" s="233"/>
      <c r="J566" s="224"/>
      <c r="K566" s="234"/>
      <c r="L566" s="231"/>
      <c r="M566" s="194"/>
      <c r="N566" s="225"/>
      <c r="O566" s="229"/>
      <c r="P566" s="236"/>
      <c r="Q566" s="229"/>
    </row>
    <row r="567" spans="4:17">
      <c r="D567" s="231"/>
      <c r="E567" s="232"/>
      <c r="F567" s="231"/>
      <c r="G567" s="224"/>
      <c r="H567" s="224"/>
      <c r="I567" s="233"/>
      <c r="J567" s="224"/>
      <c r="K567" s="234"/>
      <c r="L567" s="231"/>
      <c r="M567" s="194"/>
      <c r="N567" s="225"/>
      <c r="O567" s="229"/>
      <c r="P567" s="236"/>
      <c r="Q567" s="229"/>
    </row>
    <row r="568" spans="4:17" ht="18">
      <c r="D568" s="208"/>
      <c r="G568" s="224"/>
      <c r="H568" s="224"/>
      <c r="I568" s="233"/>
      <c r="J568" s="194"/>
      <c r="K568" s="194"/>
      <c r="L568" s="231"/>
      <c r="O568" s="238">
        <f>SUM(O4:O567)</f>
        <v>17798448270.084625</v>
      </c>
      <c r="Q568" s="238">
        <f>SUM(Q4:Q567)</f>
        <v>2533643117.4615307</v>
      </c>
    </row>
    <row r="569" spans="4:17">
      <c r="G569" s="224"/>
      <c r="H569" s="224"/>
      <c r="I569" s="233"/>
      <c r="J569" s="194"/>
      <c r="K569" s="194"/>
      <c r="L569" s="231"/>
    </row>
    <row r="570" spans="4:17">
      <c r="G570" s="224"/>
      <c r="H570" s="224"/>
      <c r="I570" s="233"/>
      <c r="J570" s="194"/>
      <c r="K570" s="194"/>
      <c r="L570" s="231"/>
    </row>
    <row r="571" spans="4:17">
      <c r="G571" s="224"/>
      <c r="H571" s="224"/>
      <c r="I571" s="233"/>
      <c r="J571" s="194"/>
      <c r="K571" s="194"/>
      <c r="L571" s="231"/>
    </row>
    <row r="572" spans="4:17">
      <c r="G572" s="224"/>
      <c r="H572" s="224"/>
      <c r="I572" s="233"/>
      <c r="J572" s="194"/>
      <c r="K572" s="194"/>
      <c r="L572" s="231"/>
    </row>
    <row r="573" spans="4:17">
      <c r="G573" s="224"/>
      <c r="H573" s="224"/>
      <c r="I573" s="233"/>
      <c r="J573" s="194"/>
      <c r="K573" s="194"/>
      <c r="L573" s="231"/>
    </row>
    <row r="574" spans="4:17">
      <c r="G574" s="224"/>
      <c r="H574" s="224"/>
      <c r="I574" s="233"/>
      <c r="J574" s="194"/>
      <c r="K574" s="194"/>
      <c r="L574" s="231"/>
    </row>
    <row r="575" spans="4:17">
      <c r="G575" s="224"/>
      <c r="H575" s="224"/>
      <c r="I575" s="233"/>
      <c r="J575" s="194"/>
      <c r="K575" s="194"/>
      <c r="L575" s="231"/>
    </row>
    <row r="576" spans="4:17">
      <c r="G576" s="224"/>
      <c r="H576" s="224"/>
      <c r="I576" s="233"/>
      <c r="J576" s="194"/>
      <c r="K576" s="194"/>
      <c r="L576" s="231"/>
    </row>
    <row r="577" spans="7:12">
      <c r="G577" s="224"/>
      <c r="H577" s="224"/>
      <c r="I577" s="233"/>
      <c r="J577" s="194"/>
      <c r="K577" s="194"/>
      <c r="L577" s="231"/>
    </row>
    <row r="578" spans="7:12">
      <c r="G578" s="224"/>
      <c r="H578" s="224"/>
      <c r="I578" s="233"/>
      <c r="J578" s="194"/>
      <c r="K578" s="194"/>
      <c r="L578" s="231"/>
    </row>
    <row r="579" spans="7:12">
      <c r="G579" s="224"/>
      <c r="H579" s="224"/>
      <c r="I579" s="233"/>
      <c r="J579" s="194"/>
      <c r="K579" s="194"/>
      <c r="L579" s="231"/>
    </row>
    <row r="580" spans="7:12">
      <c r="G580" s="224"/>
      <c r="H580" s="224"/>
      <c r="I580" s="233"/>
      <c r="J580" s="194"/>
      <c r="K580" s="194"/>
      <c r="L580" s="231"/>
    </row>
    <row r="581" spans="7:12">
      <c r="G581" s="224"/>
      <c r="H581" s="224"/>
      <c r="I581" s="233"/>
      <c r="J581" s="194"/>
      <c r="K581" s="194"/>
      <c r="L581" s="231"/>
    </row>
    <row r="582" spans="7:12">
      <c r="G582" s="224"/>
      <c r="H582" s="224"/>
      <c r="I582" s="233"/>
      <c r="J582" s="194"/>
      <c r="K582" s="194"/>
      <c r="L582" s="231"/>
    </row>
    <row r="583" spans="7:12">
      <c r="G583" s="224"/>
      <c r="H583" s="224"/>
      <c r="I583" s="233"/>
      <c r="J583" s="194"/>
      <c r="K583" s="194"/>
      <c r="L583" s="231"/>
    </row>
    <row r="584" spans="7:12">
      <c r="G584" s="224"/>
      <c r="H584" s="224"/>
      <c r="I584" s="233"/>
      <c r="J584" s="194"/>
      <c r="K584" s="194"/>
      <c r="L584" s="231"/>
    </row>
    <row r="585" spans="7:12">
      <c r="G585" s="224"/>
      <c r="H585" s="224"/>
      <c r="I585" s="233"/>
      <c r="J585" s="194"/>
      <c r="K585" s="194"/>
      <c r="L585" s="231"/>
    </row>
    <row r="586" spans="7:12">
      <c r="G586" s="224"/>
      <c r="H586" s="224"/>
      <c r="I586" s="233"/>
      <c r="J586" s="194"/>
      <c r="K586" s="194"/>
      <c r="L586" s="231"/>
    </row>
    <row r="587" spans="7:12">
      <c r="G587" s="224"/>
      <c r="H587" s="224"/>
      <c r="I587" s="233"/>
      <c r="J587" s="194"/>
      <c r="K587" s="194"/>
      <c r="L587" s="231"/>
    </row>
    <row r="588" spans="7:12">
      <c r="G588" s="224"/>
      <c r="H588" s="224"/>
      <c r="I588" s="233"/>
      <c r="J588" s="194"/>
      <c r="K588" s="194"/>
      <c r="L588" s="231"/>
    </row>
    <row r="589" spans="7:12">
      <c r="G589" s="224"/>
      <c r="H589" s="224"/>
      <c r="I589" s="233"/>
      <c r="J589" s="194"/>
      <c r="K589" s="194"/>
      <c r="L589" s="231"/>
    </row>
    <row r="590" spans="7:12">
      <c r="G590" s="224"/>
      <c r="H590" s="224"/>
      <c r="I590" s="233"/>
      <c r="J590" s="194"/>
      <c r="K590" s="194"/>
      <c r="L590" s="231"/>
    </row>
    <row r="591" spans="7:12">
      <c r="G591" s="224"/>
      <c r="H591" s="224"/>
      <c r="I591" s="233"/>
      <c r="J591" s="194"/>
      <c r="K591" s="194"/>
      <c r="L591" s="231"/>
    </row>
    <row r="592" spans="7:12">
      <c r="G592" s="224"/>
      <c r="H592" s="224"/>
      <c r="I592" s="233"/>
      <c r="J592" s="194"/>
      <c r="K592" s="194"/>
      <c r="L592" s="231"/>
    </row>
    <row r="593" spans="7:12">
      <c r="G593" s="224"/>
      <c r="H593" s="224"/>
      <c r="I593" s="233"/>
      <c r="J593" s="194"/>
      <c r="K593" s="194"/>
      <c r="L593" s="231"/>
    </row>
    <row r="594" spans="7:12">
      <c r="G594" s="224"/>
      <c r="H594" s="224"/>
      <c r="I594" s="233"/>
      <c r="J594" s="194"/>
      <c r="K594" s="194"/>
      <c r="L594" s="231"/>
    </row>
    <row r="595" spans="7:12">
      <c r="G595" s="224"/>
      <c r="H595" s="224"/>
      <c r="I595" s="233"/>
      <c r="J595" s="194"/>
      <c r="K595" s="194"/>
      <c r="L595" s="231"/>
    </row>
    <row r="596" spans="7:12">
      <c r="G596" s="224"/>
      <c r="H596" s="224"/>
      <c r="I596" s="233"/>
      <c r="J596" s="194"/>
      <c r="K596" s="194"/>
      <c r="L596" s="231"/>
    </row>
    <row r="597" spans="7:12">
      <c r="G597" s="224"/>
      <c r="H597" s="224"/>
      <c r="I597" s="233"/>
      <c r="J597" s="194"/>
      <c r="K597" s="194"/>
      <c r="L597" s="231"/>
    </row>
    <row r="598" spans="7:12">
      <c r="G598" s="224"/>
      <c r="H598" s="224"/>
      <c r="I598" s="233"/>
      <c r="J598" s="194"/>
      <c r="K598" s="194"/>
      <c r="L598" s="231"/>
    </row>
    <row r="599" spans="7:12">
      <c r="G599" s="224"/>
      <c r="H599" s="224"/>
      <c r="I599" s="233"/>
      <c r="J599" s="194"/>
      <c r="K599" s="194"/>
      <c r="L599" s="231"/>
    </row>
    <row r="600" spans="7:12">
      <c r="G600" s="224"/>
      <c r="H600" s="224"/>
      <c r="I600" s="233"/>
      <c r="J600" s="194"/>
      <c r="K600" s="194"/>
      <c r="L600" s="231"/>
    </row>
    <row r="601" spans="7:12">
      <c r="G601" s="224"/>
      <c r="H601" s="224"/>
      <c r="I601" s="233"/>
      <c r="J601" s="194"/>
      <c r="K601" s="194"/>
      <c r="L601" s="231"/>
    </row>
    <row r="602" spans="7:12">
      <c r="G602" s="224"/>
      <c r="H602" s="224"/>
      <c r="I602" s="233"/>
      <c r="J602" s="194"/>
      <c r="K602" s="194"/>
      <c r="L602" s="231"/>
    </row>
    <row r="603" spans="7:12">
      <c r="G603" s="224"/>
      <c r="H603" s="224"/>
      <c r="I603" s="233"/>
      <c r="J603" s="194"/>
      <c r="K603" s="194"/>
      <c r="L603" s="231"/>
    </row>
    <row r="604" spans="7:12">
      <c r="G604" s="224"/>
      <c r="H604" s="224"/>
      <c r="I604" s="233"/>
      <c r="J604" s="194"/>
      <c r="K604" s="194"/>
      <c r="L604" s="231"/>
    </row>
    <row r="605" spans="7:12">
      <c r="G605" s="224"/>
      <c r="H605" s="224"/>
      <c r="I605" s="233"/>
      <c r="J605" s="194"/>
      <c r="K605" s="194"/>
      <c r="L605" s="231"/>
    </row>
    <row r="606" spans="7:12">
      <c r="G606" s="224"/>
      <c r="H606" s="224"/>
      <c r="I606" s="233"/>
      <c r="J606" s="194"/>
      <c r="K606" s="194"/>
      <c r="L606" s="231"/>
    </row>
    <row r="607" spans="7:12">
      <c r="G607" s="224"/>
      <c r="H607" s="224"/>
      <c r="I607" s="233"/>
      <c r="J607" s="194"/>
      <c r="K607" s="194"/>
      <c r="L607" s="231"/>
    </row>
    <row r="608" spans="7:12">
      <c r="G608" s="224"/>
      <c r="H608" s="224"/>
      <c r="I608" s="233"/>
      <c r="J608" s="194"/>
      <c r="K608" s="194"/>
      <c r="L608" s="231"/>
    </row>
    <row r="609" spans="7:12">
      <c r="G609" s="224"/>
      <c r="H609" s="224"/>
      <c r="I609" s="233"/>
      <c r="J609" s="194"/>
      <c r="K609" s="194"/>
      <c r="L609" s="231"/>
    </row>
    <row r="610" spans="7:12">
      <c r="G610" s="224"/>
      <c r="H610" s="224"/>
      <c r="I610" s="233"/>
      <c r="J610" s="194"/>
      <c r="K610" s="194"/>
      <c r="L610" s="231"/>
    </row>
    <row r="611" spans="7:12">
      <c r="G611" s="224"/>
      <c r="H611" s="224"/>
      <c r="I611" s="233"/>
      <c r="J611" s="194"/>
      <c r="K611" s="194"/>
      <c r="L611" s="231"/>
    </row>
    <row r="612" spans="7:12">
      <c r="G612" s="224"/>
      <c r="H612" s="224"/>
      <c r="I612" s="233"/>
      <c r="J612" s="194"/>
      <c r="K612" s="194"/>
      <c r="L612" s="231"/>
    </row>
    <row r="613" spans="7:12">
      <c r="G613" s="224"/>
      <c r="H613" s="224"/>
      <c r="I613" s="233"/>
      <c r="J613" s="194"/>
      <c r="K613" s="194"/>
      <c r="L613" s="231"/>
    </row>
    <row r="614" spans="7:12">
      <c r="G614" s="224"/>
      <c r="H614" s="224"/>
      <c r="I614" s="233"/>
      <c r="J614" s="194"/>
      <c r="K614" s="194"/>
      <c r="L614" s="231"/>
    </row>
    <row r="615" spans="7:12">
      <c r="G615" s="224"/>
      <c r="H615" s="224"/>
      <c r="I615" s="233"/>
      <c r="J615" s="194"/>
      <c r="K615" s="194"/>
      <c r="L615" s="231"/>
    </row>
    <row r="616" spans="7:12">
      <c r="G616" s="224"/>
      <c r="H616" s="224"/>
      <c r="I616" s="233"/>
      <c r="J616" s="194"/>
      <c r="K616" s="194"/>
      <c r="L616" s="231"/>
    </row>
    <row r="617" spans="7:12">
      <c r="G617" s="224"/>
      <c r="H617" s="224"/>
      <c r="I617" s="233"/>
      <c r="J617" s="194"/>
      <c r="K617" s="194"/>
      <c r="L617" s="231"/>
    </row>
    <row r="618" spans="7:12">
      <c r="G618" s="224"/>
      <c r="H618" s="224"/>
      <c r="I618" s="233"/>
      <c r="J618" s="194"/>
      <c r="K618" s="194"/>
      <c r="L618" s="231"/>
    </row>
    <row r="619" spans="7:12">
      <c r="G619" s="224"/>
      <c r="H619" s="224"/>
      <c r="I619" s="233"/>
      <c r="J619" s="194"/>
      <c r="K619" s="194"/>
      <c r="L619" s="231"/>
    </row>
    <row r="620" spans="7:12">
      <c r="G620" s="224"/>
      <c r="H620" s="224"/>
      <c r="I620" s="233"/>
      <c r="J620" s="194"/>
      <c r="K620" s="194"/>
      <c r="L620" s="231"/>
    </row>
    <row r="621" spans="7:12">
      <c r="G621" s="224"/>
      <c r="H621" s="224"/>
      <c r="I621" s="233"/>
      <c r="J621" s="194"/>
      <c r="K621" s="194"/>
      <c r="L621" s="231"/>
    </row>
    <row r="622" spans="7:12">
      <c r="G622" s="224"/>
      <c r="H622" s="224"/>
      <c r="I622" s="233"/>
      <c r="J622" s="194"/>
      <c r="K622" s="194"/>
      <c r="L622" s="231"/>
    </row>
    <row r="623" spans="7:12">
      <c r="G623" s="224"/>
      <c r="H623" s="224"/>
      <c r="I623" s="233"/>
      <c r="J623" s="194"/>
      <c r="K623" s="194"/>
      <c r="L623" s="231"/>
    </row>
    <row r="624" spans="7:12">
      <c r="G624" s="224"/>
      <c r="H624" s="224"/>
      <c r="I624" s="233"/>
      <c r="J624" s="194"/>
      <c r="K624" s="194"/>
      <c r="L624" s="231"/>
    </row>
    <row r="625" spans="7:12">
      <c r="G625" s="224"/>
      <c r="H625" s="224"/>
      <c r="I625" s="233"/>
      <c r="J625" s="194"/>
      <c r="K625" s="194"/>
      <c r="L625" s="231"/>
    </row>
    <row r="626" spans="7:12">
      <c r="G626" s="224"/>
      <c r="H626" s="224"/>
      <c r="I626" s="233"/>
      <c r="J626" s="194"/>
      <c r="K626" s="194"/>
      <c r="L626" s="231"/>
    </row>
    <row r="627" spans="7:12">
      <c r="G627" s="224"/>
      <c r="H627" s="224"/>
      <c r="I627" s="233"/>
      <c r="J627" s="194"/>
      <c r="K627" s="194"/>
      <c r="L627" s="231"/>
    </row>
    <row r="628" spans="7:12">
      <c r="G628" s="224"/>
      <c r="H628" s="224"/>
      <c r="I628" s="233"/>
      <c r="J628" s="194"/>
      <c r="K628" s="194"/>
      <c r="L628" s="231"/>
    </row>
    <row r="629" spans="7:12">
      <c r="G629" s="224"/>
      <c r="H629" s="224"/>
      <c r="I629" s="233"/>
      <c r="J629" s="194"/>
      <c r="K629" s="194"/>
      <c r="L629" s="231"/>
    </row>
    <row r="630" spans="7:12">
      <c r="G630" s="224"/>
      <c r="H630" s="224"/>
      <c r="I630" s="233"/>
      <c r="J630" s="194"/>
      <c r="K630" s="194"/>
      <c r="L630" s="231"/>
    </row>
    <row r="631" spans="7:12">
      <c r="G631" s="224"/>
      <c r="H631" s="224"/>
      <c r="I631" s="233"/>
      <c r="J631" s="194"/>
      <c r="K631" s="194"/>
      <c r="L631" s="231"/>
    </row>
    <row r="632" spans="7:12">
      <c r="G632" s="224"/>
      <c r="H632" s="224"/>
      <c r="I632" s="233"/>
      <c r="J632" s="194"/>
      <c r="K632" s="194"/>
      <c r="L632" s="231"/>
    </row>
    <row r="633" spans="7:12">
      <c r="G633" s="224"/>
      <c r="H633" s="224"/>
      <c r="I633" s="233"/>
      <c r="J633" s="194"/>
      <c r="K633" s="194"/>
      <c r="L633" s="231"/>
    </row>
    <row r="634" spans="7:12">
      <c r="G634" s="224"/>
      <c r="H634" s="224"/>
      <c r="I634" s="233"/>
      <c r="J634" s="194"/>
      <c r="K634" s="194"/>
      <c r="L634" s="231"/>
    </row>
    <row r="635" spans="7:12">
      <c r="G635" s="224"/>
      <c r="H635" s="224"/>
      <c r="I635" s="233"/>
      <c r="J635" s="194"/>
      <c r="K635" s="194"/>
      <c r="L635" s="231"/>
    </row>
    <row r="636" spans="7:12">
      <c r="G636" s="224"/>
      <c r="H636" s="224"/>
      <c r="I636" s="233"/>
      <c r="J636" s="194"/>
      <c r="K636" s="194"/>
      <c r="L636" s="231"/>
    </row>
    <row r="637" spans="7:12">
      <c r="G637" s="224"/>
      <c r="H637" s="224"/>
      <c r="I637" s="233"/>
      <c r="J637" s="194"/>
      <c r="K637" s="194"/>
      <c r="L637" s="231"/>
    </row>
  </sheetData>
  <mergeCells count="9">
    <mergeCell ref="G1:L1"/>
    <mergeCell ref="S2:V2"/>
    <mergeCell ref="W2:X2"/>
    <mergeCell ref="S1:X1"/>
    <mergeCell ref="G2:J2"/>
    <mergeCell ref="K2:L2"/>
    <mergeCell ref="N2:O2"/>
    <mergeCell ref="P2:Q2"/>
    <mergeCell ref="N1:Q1"/>
  </mergeCells>
  <conditionalFormatting sqref="W3:W45">
    <cfRule type="cellIs" dxfId="0" priority="3" operator="equal">
      <formula>$W$4</formula>
    </cfRule>
    <cfRule type="cellIs" dxfId="1" priority="2" operator="equal">
      <formula>$W$6</formula>
    </cfRule>
    <cfRule type="cellIs" dxfId="2" priority="1" operator="equal">
      <formula>$W$11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equal" id="{B71AA2A4-0CBB-429F-AC9C-FBAF87F38232}">
            <xm:f>Variables!#REF!</xm:f>
            <x14:dxf>
              <font>
                <color rgb="FFFF0000"/>
              </font>
            </x14:dxf>
          </x14:cfRule>
          <xm:sqref>S1:X2 T3:W3 S52:X1048576 S51:W51 S4:X50</xm:sqref>
        </x14:conditionalFormatting>
        <x14:conditionalFormatting xmlns:xm="http://schemas.microsoft.com/office/excel/2006/main">
          <x14:cfRule type="cellIs" priority="4" operator="equal" id="{0BCFE7BE-791E-4289-BB9F-9055FD163465}">
            <xm:f>'Waste per capita'!$K$12</xm:f>
            <x14:dxf>
              <font>
                <color rgb="FFFF0000"/>
              </font>
            </x14:dxf>
          </x14:cfRule>
          <x14:cfRule type="cellIs" priority="5" operator="equal" id="{18E014D4-E403-4D5A-AD44-81C4938FB0EF}">
            <xm:f>'Waste per capita'!$K$11</xm:f>
            <x14:dxf>
              <font>
                <color rgb="FFFF0000"/>
              </font>
            </x14:dxf>
          </x14:cfRule>
          <xm:sqref>G1:L1048576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O31"/>
  <sheetViews>
    <sheetView tabSelected="1" zoomScale="80" zoomScaleNormal="80" workbookViewId="0">
      <selection activeCell="C9" sqref="C9"/>
    </sheetView>
  </sheetViews>
  <sheetFormatPr defaultColWidth="11" defaultRowHeight="14.5"/>
  <cols>
    <col min="1" max="1" width="72.4140625" style="147" bestFit="1" customWidth="1"/>
    <col min="2" max="2" width="10.08203125" style="147" bestFit="1" customWidth="1"/>
    <col min="3" max="3" width="11.33203125" style="147" bestFit="1" customWidth="1"/>
    <col min="4" max="4" width="4.6640625" style="161" bestFit="1" customWidth="1"/>
    <col min="5" max="5" width="15.08203125" style="155" bestFit="1" customWidth="1"/>
    <col min="6" max="6" width="65.6640625" style="147" bestFit="1" customWidth="1"/>
    <col min="7" max="7" width="11" style="147"/>
    <col min="8" max="8" width="11.33203125" style="146" bestFit="1" customWidth="1"/>
    <col min="9" max="9" width="11" style="146"/>
    <col min="10" max="10" width="12.6640625" style="146" bestFit="1" customWidth="1"/>
    <col min="11" max="11" width="12.6640625" style="146" customWidth="1"/>
    <col min="12" max="15" width="11" style="146"/>
    <col min="16" max="16384" width="11" style="147"/>
  </cols>
  <sheetData>
    <row r="1" spans="1:14" ht="40" customHeight="1">
      <c r="A1" s="21" t="s">
        <v>7</v>
      </c>
      <c r="B1" s="21"/>
      <c r="C1" s="21" t="s">
        <v>30</v>
      </c>
      <c r="D1" s="21" t="s">
        <v>0</v>
      </c>
      <c r="E1" s="22" t="s">
        <v>31</v>
      </c>
      <c r="F1" s="21" t="s">
        <v>8</v>
      </c>
      <c r="G1" s="21"/>
      <c r="H1" s="296"/>
      <c r="I1" s="296"/>
      <c r="J1" s="296"/>
      <c r="K1" s="139"/>
      <c r="L1" s="296"/>
      <c r="M1" s="296"/>
      <c r="N1" s="296"/>
    </row>
    <row r="2" spans="1:14">
      <c r="A2" s="147" t="s">
        <v>4</v>
      </c>
      <c r="B2" s="147" t="s">
        <v>26</v>
      </c>
      <c r="C2" s="146">
        <v>7.12</v>
      </c>
      <c r="D2" s="148"/>
      <c r="E2" s="149"/>
      <c r="F2" s="147" t="s">
        <v>9</v>
      </c>
      <c r="J2" s="150"/>
      <c r="K2" s="150"/>
      <c r="N2" s="151"/>
    </row>
    <row r="3" spans="1:14">
      <c r="A3" s="147" t="s">
        <v>40</v>
      </c>
      <c r="B3" s="147" t="s">
        <v>26</v>
      </c>
      <c r="C3" s="152">
        <v>6516.1729999999998</v>
      </c>
      <c r="D3" s="148">
        <v>2017</v>
      </c>
      <c r="E3" s="149"/>
      <c r="F3" s="147" t="s">
        <v>9</v>
      </c>
      <c r="J3" s="150"/>
      <c r="K3" s="150"/>
      <c r="N3" s="151"/>
    </row>
    <row r="4" spans="1:14">
      <c r="A4" s="147" t="s">
        <v>11</v>
      </c>
      <c r="B4" s="147" t="s">
        <v>26</v>
      </c>
      <c r="C4" s="152">
        <v>4624.5600000000004</v>
      </c>
      <c r="D4" s="153">
        <v>2010</v>
      </c>
      <c r="E4" s="149"/>
      <c r="F4" s="147" t="s">
        <v>9</v>
      </c>
      <c r="J4" s="150"/>
      <c r="K4" s="150"/>
      <c r="N4" s="151"/>
    </row>
    <row r="5" spans="1:14">
      <c r="A5" s="147" t="s">
        <v>104</v>
      </c>
      <c r="C5" s="152">
        <f>C3*POWER(SUM(1,C2/100),2)</f>
        <v>7477.1093832531187</v>
      </c>
      <c r="D5" s="153">
        <v>2019</v>
      </c>
      <c r="E5" s="149"/>
      <c r="J5" s="150"/>
      <c r="K5" s="150"/>
      <c r="N5" s="151"/>
    </row>
    <row r="6" spans="1:14">
      <c r="A6" s="147" t="s">
        <v>103</v>
      </c>
      <c r="B6" s="147" t="s">
        <v>26</v>
      </c>
      <c r="C6" s="152">
        <f>1647.41-417.73*LN(C5)+29.43*(LN(C5))^2</f>
        <v>262.85480252960178</v>
      </c>
      <c r="D6" s="154">
        <v>2010</v>
      </c>
      <c r="F6" s="147" t="s">
        <v>69</v>
      </c>
    </row>
    <row r="7" spans="1:14">
      <c r="C7" s="157"/>
      <c r="D7" s="148"/>
      <c r="E7" s="149"/>
      <c r="J7" s="150"/>
      <c r="K7" s="150"/>
      <c r="N7" s="151"/>
    </row>
    <row r="8" spans="1:14">
      <c r="A8" s="147" t="s">
        <v>23</v>
      </c>
      <c r="B8" s="147" t="s">
        <v>29</v>
      </c>
      <c r="C8" s="152">
        <v>160000</v>
      </c>
      <c r="D8" s="158"/>
      <c r="E8" s="149"/>
      <c r="F8" s="147" t="s">
        <v>10</v>
      </c>
      <c r="J8" s="150"/>
      <c r="K8" s="150"/>
      <c r="N8" s="151"/>
    </row>
    <row r="9" spans="1:14" ht="29">
      <c r="A9" s="147" t="s">
        <v>81</v>
      </c>
      <c r="B9" s="147" t="s">
        <v>27</v>
      </c>
      <c r="C9" s="149">
        <f>774000/C12</f>
        <v>313360.32388663967</v>
      </c>
      <c r="D9" s="148">
        <v>2005</v>
      </c>
      <c r="E9" s="149">
        <f>C9/C18*C21*POWER(SUM(1,C22/100),2019-2017)</f>
        <v>847579.66733310558</v>
      </c>
      <c r="F9" s="159" t="s">
        <v>68</v>
      </c>
      <c r="J9" s="150"/>
      <c r="K9" s="150"/>
      <c r="N9" s="151"/>
    </row>
    <row r="10" spans="1:14">
      <c r="A10" s="147" t="s">
        <v>151</v>
      </c>
      <c r="B10" s="147" t="s">
        <v>27</v>
      </c>
      <c r="C10" s="149"/>
      <c r="D10" s="148">
        <v>2005</v>
      </c>
      <c r="E10" s="149">
        <f>E9*C16</f>
        <v>222065.87284127367</v>
      </c>
      <c r="F10" s="28"/>
      <c r="J10" s="150"/>
      <c r="K10" s="150"/>
      <c r="N10" s="151"/>
    </row>
    <row r="11" spans="1:14">
      <c r="C11" s="149"/>
      <c r="D11" s="148"/>
      <c r="E11" s="149"/>
      <c r="F11" s="160"/>
      <c r="J11" s="150"/>
      <c r="K11" s="150"/>
      <c r="N11" s="151"/>
    </row>
    <row r="12" spans="1:14">
      <c r="A12" s="147" t="s">
        <v>70</v>
      </c>
      <c r="B12" s="147" t="s">
        <v>25</v>
      </c>
      <c r="C12" s="147">
        <v>2.4700000000000002</v>
      </c>
      <c r="F12" s="12" t="s">
        <v>60</v>
      </c>
    </row>
    <row r="13" spans="1:14" s="146" customFormat="1">
      <c r="A13" s="146" t="s">
        <v>39</v>
      </c>
      <c r="B13" s="147" t="s">
        <v>25</v>
      </c>
      <c r="C13" s="162">
        <v>1</v>
      </c>
      <c r="D13" s="163"/>
      <c r="E13" s="164"/>
      <c r="F13" s="29" t="s">
        <v>71</v>
      </c>
    </row>
    <row r="14" spans="1:14">
      <c r="A14" s="147" t="s">
        <v>228</v>
      </c>
      <c r="B14" s="147" t="s">
        <v>25</v>
      </c>
      <c r="C14" s="165">
        <v>2.3699999999999999E-2</v>
      </c>
      <c r="D14" s="148"/>
      <c r="E14" s="149"/>
      <c r="F14" s="147" t="s">
        <v>152</v>
      </c>
      <c r="J14" s="150"/>
      <c r="K14" s="150"/>
      <c r="N14" s="151"/>
    </row>
    <row r="15" spans="1:14">
      <c r="A15" s="147" t="s">
        <v>55</v>
      </c>
      <c r="B15" s="147" t="s">
        <v>25</v>
      </c>
      <c r="C15" s="20">
        <v>1.085</v>
      </c>
      <c r="D15" s="148">
        <v>2008</v>
      </c>
      <c r="E15" s="149"/>
      <c r="F15" s="147" t="s">
        <v>9</v>
      </c>
      <c r="J15" s="150"/>
      <c r="K15" s="150"/>
      <c r="N15" s="151"/>
    </row>
    <row r="16" spans="1:14">
      <c r="A16" s="147" t="s">
        <v>153</v>
      </c>
      <c r="B16" s="147" t="s">
        <v>25</v>
      </c>
      <c r="C16" s="146">
        <v>0.26200000000000001</v>
      </c>
      <c r="D16" s="148">
        <v>2005</v>
      </c>
      <c r="E16" s="149"/>
      <c r="F16" s="147" t="s">
        <v>9</v>
      </c>
      <c r="J16" s="150"/>
      <c r="K16" s="150"/>
      <c r="N16" s="151"/>
    </row>
    <row r="17" spans="1:14" ht="15.5">
      <c r="A17" s="147" t="s">
        <v>154</v>
      </c>
      <c r="B17" s="147" t="s">
        <v>25</v>
      </c>
      <c r="C17" s="166">
        <v>0.25900000000000001</v>
      </c>
      <c r="D17" s="148">
        <v>2019</v>
      </c>
      <c r="E17" s="149"/>
      <c r="F17" s="12" t="s">
        <v>155</v>
      </c>
      <c r="J17" s="150"/>
      <c r="K17" s="150"/>
      <c r="N17" s="151"/>
    </row>
    <row r="18" spans="1:14">
      <c r="A18" s="147" t="s">
        <v>105</v>
      </c>
      <c r="B18" s="147" t="s">
        <v>25</v>
      </c>
      <c r="C18" s="146">
        <v>66.043999999999997</v>
      </c>
      <c r="D18" s="148">
        <v>2005</v>
      </c>
      <c r="E18" s="149"/>
      <c r="F18" s="147" t="s">
        <v>9</v>
      </c>
      <c r="J18" s="150"/>
      <c r="K18" s="150"/>
      <c r="N18" s="151"/>
    </row>
    <row r="19" spans="1:14">
      <c r="A19" s="147" t="s">
        <v>106</v>
      </c>
      <c r="B19" s="147" t="s">
        <v>25</v>
      </c>
      <c r="C19" s="146">
        <v>118.996</v>
      </c>
      <c r="D19" s="148">
        <v>2012</v>
      </c>
      <c r="E19" s="149"/>
      <c r="F19" s="147" t="s">
        <v>9</v>
      </c>
      <c r="J19" s="150"/>
      <c r="K19" s="150"/>
      <c r="N19" s="151"/>
    </row>
    <row r="20" spans="1:14">
      <c r="A20" s="147" t="s">
        <v>107</v>
      </c>
      <c r="B20" s="147" t="s">
        <v>25</v>
      </c>
      <c r="C20" s="146">
        <v>100</v>
      </c>
      <c r="D20" s="148">
        <v>2010</v>
      </c>
      <c r="E20" s="149"/>
      <c r="J20" s="150"/>
      <c r="K20" s="150"/>
      <c r="N20" s="151"/>
    </row>
    <row r="21" spans="1:14">
      <c r="A21" s="147" t="s">
        <v>108</v>
      </c>
      <c r="B21" s="147" t="s">
        <v>25</v>
      </c>
      <c r="C21" s="146">
        <v>159.82900000000001</v>
      </c>
      <c r="D21" s="148">
        <v>2017</v>
      </c>
      <c r="E21" s="149"/>
      <c r="F21" s="147" t="s">
        <v>9</v>
      </c>
      <c r="J21" s="150"/>
      <c r="K21" s="150"/>
      <c r="N21" s="151"/>
    </row>
    <row r="22" spans="1:14">
      <c r="A22" s="147" t="s">
        <v>6</v>
      </c>
      <c r="B22" s="147" t="s">
        <v>25</v>
      </c>
      <c r="C22" s="146">
        <v>5.72</v>
      </c>
      <c r="D22" s="148"/>
      <c r="E22" s="149"/>
      <c r="F22" s="147" t="s">
        <v>156</v>
      </c>
      <c r="J22" s="150"/>
      <c r="K22" s="150"/>
      <c r="N22" s="151"/>
    </row>
    <row r="23" spans="1:14">
      <c r="A23" s="147" t="s">
        <v>219</v>
      </c>
      <c r="C23" s="146">
        <v>45.307000000000002</v>
      </c>
      <c r="D23" s="148">
        <v>2006</v>
      </c>
      <c r="E23" s="149"/>
      <c r="F23" s="12" t="s">
        <v>217</v>
      </c>
      <c r="J23" s="150"/>
      <c r="K23" s="150"/>
      <c r="N23" s="151"/>
    </row>
    <row r="24" spans="1:14">
      <c r="A24" s="147" t="s">
        <v>218</v>
      </c>
      <c r="B24" s="147" t="s">
        <v>25</v>
      </c>
      <c r="C24" s="20">
        <v>68.388999999999996</v>
      </c>
      <c r="D24" s="148">
        <v>2018</v>
      </c>
      <c r="E24" s="149"/>
      <c r="F24" s="147" t="s">
        <v>9</v>
      </c>
      <c r="J24" s="150"/>
      <c r="K24" s="150"/>
      <c r="N24" s="151"/>
    </row>
    <row r="25" spans="1:14">
      <c r="A25" s="147" t="s">
        <v>57</v>
      </c>
      <c r="B25" s="147" t="s">
        <v>25</v>
      </c>
      <c r="C25" s="20">
        <v>1.24</v>
      </c>
      <c r="D25" s="148">
        <v>2008</v>
      </c>
      <c r="E25" s="149"/>
      <c r="F25" s="12" t="s">
        <v>56</v>
      </c>
      <c r="J25" s="150"/>
      <c r="K25" s="150"/>
      <c r="N25" s="151"/>
    </row>
    <row r="26" spans="1:14">
      <c r="A26" s="147" t="s">
        <v>216</v>
      </c>
      <c r="B26" s="147" t="s">
        <v>25</v>
      </c>
      <c r="D26" s="148">
        <v>2019</v>
      </c>
      <c r="E26" s="20">
        <v>1.28</v>
      </c>
      <c r="F26" s="12" t="s">
        <v>215</v>
      </c>
      <c r="J26" s="150"/>
      <c r="K26" s="150"/>
      <c r="N26" s="151"/>
    </row>
    <row r="27" spans="1:14">
      <c r="A27" s="147" t="s">
        <v>54</v>
      </c>
      <c r="B27" s="147" t="s">
        <v>25</v>
      </c>
      <c r="D27" s="148">
        <v>2019</v>
      </c>
      <c r="E27" s="20">
        <v>1.19</v>
      </c>
      <c r="F27" s="12" t="s">
        <v>58</v>
      </c>
      <c r="J27" s="150"/>
      <c r="K27" s="150"/>
      <c r="N27" s="151"/>
    </row>
    <row r="28" spans="1:14">
      <c r="A28" s="147" t="s">
        <v>214</v>
      </c>
      <c r="B28" s="147" t="s">
        <v>25</v>
      </c>
      <c r="D28" s="148">
        <v>2019</v>
      </c>
      <c r="E28" s="20">
        <v>1.18</v>
      </c>
      <c r="F28" s="12" t="s">
        <v>171</v>
      </c>
      <c r="J28" s="150"/>
      <c r="K28" s="150"/>
      <c r="N28" s="151"/>
    </row>
    <row r="29" spans="1:14">
      <c r="C29" s="146"/>
      <c r="D29" s="148"/>
      <c r="E29" s="149"/>
      <c r="J29" s="150"/>
      <c r="K29" s="150"/>
      <c r="N29" s="151"/>
    </row>
    <row r="30" spans="1:14">
      <c r="A30" s="147" t="s">
        <v>73</v>
      </c>
      <c r="B30" s="147" t="s">
        <v>28</v>
      </c>
      <c r="C30" s="149"/>
      <c r="D30" s="148">
        <v>2018</v>
      </c>
      <c r="E30" s="149">
        <f>'Sanitary Landfilling'!B22</f>
        <v>5.032</v>
      </c>
      <c r="F30" s="147" t="s">
        <v>74</v>
      </c>
      <c r="J30" s="150"/>
      <c r="K30" s="150"/>
      <c r="N30" s="151"/>
    </row>
    <row r="31" spans="1:14">
      <c r="C31" s="156"/>
      <c r="D31" s="154"/>
    </row>
  </sheetData>
  <mergeCells count="2">
    <mergeCell ref="H1:J1"/>
    <mergeCell ref="L1:N1"/>
  </mergeCells>
  <hyperlinks>
    <hyperlink ref="F25" r:id="rId1" xr:uid="{C67DEB66-8814-49A8-A83E-2CFDD8C9C1A3}"/>
    <hyperlink ref="F27" r:id="rId2" xr:uid="{3F6B91D2-2A5F-4640-9B92-3D7996E59279}"/>
    <hyperlink ref="F12" r:id="rId3" xr:uid="{A3147F4E-0D25-430F-A0F2-83F0C65294FA}"/>
    <hyperlink ref="F17" r:id="rId4" xr:uid="{D7F1D801-88DD-4F6D-8ADB-D14B17EEF429}"/>
    <hyperlink ref="F28" r:id="rId5" xr:uid="{971C8EA2-B6CA-452F-A18F-6B198EA1B831}"/>
    <hyperlink ref="F26" r:id="rId6" xr:uid="{1AEEE5E4-D7D6-464F-A077-7BA1384B4EF9}"/>
    <hyperlink ref="F23" r:id="rId7" xr:uid="{DC5D59FF-0ABD-4AD7-B248-0881C162C374}"/>
  </hyperlinks>
  <pageMargins left="0.7" right="0.7" top="0.75" bottom="0.75" header="0.3" footer="0.3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8BA44-6E42-4B23-9743-D8B6DA9BA0E0}">
  <dimension ref="A1:E22"/>
  <sheetViews>
    <sheetView topLeftCell="A7" workbookViewId="0">
      <selection activeCell="A8" sqref="A8"/>
    </sheetView>
  </sheetViews>
  <sheetFormatPr defaultColWidth="8.83203125" defaultRowHeight="15.5"/>
  <cols>
    <col min="1" max="1" width="63.33203125" bestFit="1" customWidth="1"/>
    <col min="2" max="2" width="16.1640625" customWidth="1"/>
    <col min="3" max="3" width="7.6640625" customWidth="1"/>
    <col min="5" max="5" width="10.83203125" bestFit="1" customWidth="1"/>
  </cols>
  <sheetData>
    <row r="1" spans="1:5" ht="62">
      <c r="A1" s="27" t="s">
        <v>66</v>
      </c>
    </row>
    <row r="2" spans="1:5">
      <c r="A2" t="s">
        <v>67</v>
      </c>
    </row>
    <row r="3" spans="1:5" ht="16" thickBot="1"/>
    <row r="4" spans="1:5" ht="16" thickBot="1">
      <c r="A4" s="30" t="s">
        <v>72</v>
      </c>
      <c r="B4" s="31"/>
    </row>
    <row r="5" spans="1:5">
      <c r="A5" s="48" t="s">
        <v>41</v>
      </c>
      <c r="B5" s="32">
        <v>500000</v>
      </c>
    </row>
    <row r="6" spans="1:5">
      <c r="A6" s="49" t="s">
        <v>42</v>
      </c>
      <c r="B6" s="33">
        <v>110000</v>
      </c>
    </row>
    <row r="7" spans="1:5">
      <c r="A7" s="49" t="s">
        <v>43</v>
      </c>
      <c r="B7" s="34">
        <v>20</v>
      </c>
    </row>
    <row r="8" spans="1:5">
      <c r="A8" s="49" t="s">
        <v>59</v>
      </c>
      <c r="B8" s="34">
        <v>11</v>
      </c>
    </row>
    <row r="9" spans="1:5">
      <c r="A9" s="49" t="s">
        <v>44</v>
      </c>
      <c r="B9" s="34">
        <f>200000/10^4</f>
        <v>20</v>
      </c>
    </row>
    <row r="10" spans="1:5" ht="16" thickBot="1">
      <c r="A10" s="50" t="s">
        <v>45</v>
      </c>
      <c r="B10" s="35">
        <f>B7*B5</f>
        <v>10000000</v>
      </c>
    </row>
    <row r="11" spans="1:5" s="24" customFormat="1" ht="16" thickBot="1">
      <c r="B11" s="25"/>
    </row>
    <row r="12" spans="1:5" ht="16" thickBot="1">
      <c r="A12" s="30" t="s">
        <v>72</v>
      </c>
      <c r="B12" s="31"/>
      <c r="E12" s="26"/>
    </row>
    <row r="13" spans="1:5">
      <c r="A13" s="42" t="s">
        <v>48</v>
      </c>
      <c r="B13" s="51">
        <v>400000</v>
      </c>
      <c r="E13" s="26"/>
    </row>
    <row r="14" spans="1:5">
      <c r="A14" s="43" t="s">
        <v>49</v>
      </c>
      <c r="B14" s="36">
        <v>1200000</v>
      </c>
    </row>
    <row r="15" spans="1:5">
      <c r="A15" s="52" t="s">
        <v>50</v>
      </c>
      <c r="B15" s="53">
        <v>250000</v>
      </c>
    </row>
    <row r="16" spans="1:5">
      <c r="A16" s="43" t="s">
        <v>51</v>
      </c>
      <c r="B16" s="37">
        <f>(B13*Variables!$C$25)*Variables!$E$27/Variables!$C$15</f>
        <v>544000</v>
      </c>
    </row>
    <row r="17" spans="1:4">
      <c r="A17" s="43" t="s">
        <v>52</v>
      </c>
      <c r="B17" s="37">
        <f>(B14*Variables!$C$25)*Variables!$E$27/Variables!$C$15</f>
        <v>1632000</v>
      </c>
    </row>
    <row r="18" spans="1:4" ht="16" thickBot="1">
      <c r="A18" s="43" t="s">
        <v>53</v>
      </c>
      <c r="B18" s="37">
        <f>(B15*Variables!$C$25)*Variables!$E$27/Variables!$C$15</f>
        <v>340000</v>
      </c>
      <c r="D18" s="2"/>
    </row>
    <row r="19" spans="1:4">
      <c r="A19" s="44" t="s">
        <v>62</v>
      </c>
      <c r="B19" s="40">
        <f>B16/$B$5</f>
        <v>1.0880000000000001</v>
      </c>
    </row>
    <row r="20" spans="1:4">
      <c r="A20" s="45" t="s">
        <v>63</v>
      </c>
      <c r="B20" s="38">
        <f t="shared" ref="B20:B21" si="0">B17/$B$5</f>
        <v>3.2639999999999998</v>
      </c>
    </row>
    <row r="21" spans="1:4" ht="16" thickBot="1">
      <c r="A21" s="46" t="s">
        <v>64</v>
      </c>
      <c r="B21" s="41">
        <f t="shared" si="0"/>
        <v>0.68</v>
      </c>
    </row>
    <row r="22" spans="1:4" ht="16" thickBot="1">
      <c r="A22" s="47" t="s">
        <v>65</v>
      </c>
      <c r="B22" s="39">
        <f>SUM(B19:B21)</f>
        <v>5.032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4CCB9-7939-4D02-867D-BB024EC96844}">
  <dimension ref="A1:D17"/>
  <sheetViews>
    <sheetView workbookViewId="0">
      <selection activeCell="A17" sqref="A17"/>
    </sheetView>
  </sheetViews>
  <sheetFormatPr defaultRowHeight="14.5"/>
  <cols>
    <col min="1" max="1" width="62.4140625" style="80" customWidth="1"/>
    <col min="2" max="2" width="13.33203125" style="95" customWidth="1"/>
    <col min="3" max="4" width="13.4140625" style="95" bestFit="1" customWidth="1"/>
    <col min="5" max="16384" width="8.6640625" style="80"/>
  </cols>
  <sheetData>
    <row r="1" spans="1:4" ht="15" thickBot="1">
      <c r="A1" s="297" t="s">
        <v>201</v>
      </c>
      <c r="B1" s="298"/>
      <c r="C1" s="298"/>
      <c r="D1" s="298"/>
    </row>
    <row r="2" spans="1:4">
      <c r="A2" s="81"/>
      <c r="B2" s="299" t="s">
        <v>210</v>
      </c>
      <c r="C2" s="300"/>
      <c r="D2" s="301"/>
    </row>
    <row r="3" spans="1:4" ht="15" thickBot="1">
      <c r="A3" s="82" t="s">
        <v>200</v>
      </c>
      <c r="B3" s="83" t="s">
        <v>209</v>
      </c>
      <c r="C3" s="84" t="s">
        <v>211</v>
      </c>
      <c r="D3" s="85" t="s">
        <v>212</v>
      </c>
    </row>
    <row r="4" spans="1:4">
      <c r="A4" s="86" t="s">
        <v>202</v>
      </c>
      <c r="B4" s="87">
        <f>AVERAGE(165,175)*10^6</f>
        <v>170000000</v>
      </c>
      <c r="C4" s="88">
        <f>AVERAGE(150,180)*10^6</f>
        <v>165000000</v>
      </c>
      <c r="D4" s="89">
        <f>AVERAGE(120,150)*10^6</f>
        <v>135000000</v>
      </c>
    </row>
    <row r="5" spans="1:4">
      <c r="A5" s="86" t="s">
        <v>203</v>
      </c>
      <c r="B5" s="110">
        <v>0.2</v>
      </c>
      <c r="C5" s="111">
        <v>0.2</v>
      </c>
      <c r="D5" s="112">
        <v>0.3</v>
      </c>
    </row>
    <row r="6" spans="1:4">
      <c r="A6" s="86" t="s">
        <v>204</v>
      </c>
      <c r="B6" s="90">
        <f>AVERAGE(900,1200)</f>
        <v>1050</v>
      </c>
      <c r="C6" s="91">
        <f>AVERAGE(800,1200)</f>
        <v>1000</v>
      </c>
      <c r="D6" s="92">
        <f>AVERAGE(800,1600)</f>
        <v>1200</v>
      </c>
    </row>
    <row r="7" spans="1:4">
      <c r="A7" s="86" t="s">
        <v>205</v>
      </c>
      <c r="B7" s="110">
        <v>0.5</v>
      </c>
      <c r="C7" s="111">
        <v>0.65</v>
      </c>
      <c r="D7" s="112">
        <v>0.7</v>
      </c>
    </row>
    <row r="8" spans="1:4">
      <c r="A8" s="86" t="s">
        <v>206</v>
      </c>
      <c r="B8" s="110">
        <v>0.27500000000000002</v>
      </c>
      <c r="C8" s="111">
        <f>AVERAGE(0.4,0.7)</f>
        <v>0.55000000000000004</v>
      </c>
      <c r="D8" s="112">
        <v>0.35</v>
      </c>
    </row>
    <row r="9" spans="1:4">
      <c r="A9" s="86" t="s">
        <v>207</v>
      </c>
      <c r="B9" s="110">
        <v>0.22500000000000001</v>
      </c>
      <c r="C9" s="111">
        <v>0.15</v>
      </c>
      <c r="D9" s="112">
        <v>0.125</v>
      </c>
    </row>
    <row r="10" spans="1:4" ht="15" thickBot="1">
      <c r="A10" s="93" t="s">
        <v>208</v>
      </c>
      <c r="B10" s="113">
        <v>0.375</v>
      </c>
      <c r="C10" s="114">
        <v>0.27500000000000002</v>
      </c>
      <c r="D10" s="115">
        <v>7.4999999999999997E-2</v>
      </c>
    </row>
    <row r="11" spans="1:4" ht="15" thickBot="1">
      <c r="A11" s="94" t="s">
        <v>213</v>
      </c>
    </row>
    <row r="12" spans="1:4" ht="29">
      <c r="A12" s="96" t="s">
        <v>222</v>
      </c>
      <c r="B12" s="107">
        <f>SUM(B7,B10)</f>
        <v>0.875</v>
      </c>
      <c r="C12" s="108">
        <f t="shared" ref="C12:D12" si="0">SUM(C7,C10)</f>
        <v>0.92500000000000004</v>
      </c>
      <c r="D12" s="109">
        <f t="shared" si="0"/>
        <v>0.77499999999999991</v>
      </c>
    </row>
    <row r="13" spans="1:4" ht="16.5" thickBot="1">
      <c r="A13" s="97" t="s">
        <v>75</v>
      </c>
      <c r="B13" s="98">
        <f>B6*B12/Variables!C23*Variables!E26</f>
        <v>25.956254000485576</v>
      </c>
      <c r="C13" s="99">
        <f>C6*C12/Variables!C23*Variables!E26</f>
        <v>26.132827156951464</v>
      </c>
      <c r="D13" s="100">
        <f>D6*D12/Variables!C23*Variables!E26</f>
        <v>26.27408568212417</v>
      </c>
    </row>
    <row r="14" spans="1:4">
      <c r="A14" s="103" t="s">
        <v>224</v>
      </c>
      <c r="B14" s="107">
        <f>1-B12</f>
        <v>0.125</v>
      </c>
      <c r="C14" s="108">
        <f t="shared" ref="C14:D14" si="1">1-C12</f>
        <v>7.4999999999999956E-2</v>
      </c>
      <c r="D14" s="109">
        <f t="shared" si="1"/>
        <v>0.22500000000000009</v>
      </c>
    </row>
    <row r="15" spans="1:4" ht="15" thickBot="1">
      <c r="A15" s="93" t="s">
        <v>223</v>
      </c>
      <c r="B15" s="104">
        <f>B6*B14/Variables!$C$23*Variables!$E$26</f>
        <v>3.7080362857836535</v>
      </c>
      <c r="C15" s="105">
        <f>C6*C14/Variables!$C$23*Variables!$E$26</f>
        <v>2.1188778775906578</v>
      </c>
      <c r="D15" s="106">
        <f>D6*D14/Variables!$C$23*Variables!$E$26</f>
        <v>7.6279603593263765</v>
      </c>
    </row>
    <row r="17" spans="1:2" ht="116">
      <c r="A17" s="101" t="s">
        <v>220</v>
      </c>
      <c r="B17" s="12" t="s">
        <v>221</v>
      </c>
    </row>
  </sheetData>
  <mergeCells count="2">
    <mergeCell ref="A1:D1"/>
    <mergeCell ref="B2:D2"/>
  </mergeCells>
  <hyperlinks>
    <hyperlink ref="B17" r:id="rId1" display="http://documents.worldbank.org/curated/en/ 178191468035334268/pdf/370700IN0Munic1ver0P08436401PUBLIC1.pdf" xr:uid="{06053FEA-55D0-4788-ADC7-E3387030547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FAD2-D7D6-4361-9C86-43A06AC1E761}">
  <dimension ref="A1:L63"/>
  <sheetViews>
    <sheetView topLeftCell="C1" zoomScaleNormal="100" workbookViewId="0">
      <selection activeCell="E8" sqref="E8"/>
    </sheetView>
  </sheetViews>
  <sheetFormatPr defaultColWidth="8.83203125" defaultRowHeight="14.5"/>
  <cols>
    <col min="1" max="1" width="3.4140625" style="173" bestFit="1" customWidth="1"/>
    <col min="2" max="2" width="13.25" style="174"/>
    <col min="3" max="3" width="10.9140625" style="172" bestFit="1" customWidth="1"/>
    <col min="4" max="4" width="10.9140625" style="172" customWidth="1"/>
    <col min="5" max="5" width="17.33203125" style="269" bestFit="1" customWidth="1"/>
    <col min="6" max="6" width="17.33203125" style="268" bestFit="1" customWidth="1"/>
    <col min="7" max="7" width="17" style="170" customWidth="1"/>
    <col min="8" max="8" width="16.58203125" style="170" customWidth="1"/>
    <col min="9" max="9" width="11.25" style="169" customWidth="1"/>
    <col min="10" max="10" width="8.83203125" style="274"/>
    <col min="11" max="11" width="19.1640625" style="169" bestFit="1" customWidth="1"/>
    <col min="12" max="12" width="13.4140625" style="169" bestFit="1" customWidth="1"/>
    <col min="13" max="16384" width="8.83203125" style="169"/>
  </cols>
  <sheetData>
    <row r="1" spans="1:12" s="168" customFormat="1" ht="44" thickBot="1">
      <c r="A1" s="175" t="s">
        <v>18</v>
      </c>
      <c r="B1" s="176" t="s">
        <v>1</v>
      </c>
      <c r="C1" s="177" t="s">
        <v>36</v>
      </c>
      <c r="D1" s="177" t="s">
        <v>90</v>
      </c>
      <c r="E1" s="266" t="s">
        <v>88</v>
      </c>
      <c r="F1" s="266" t="s">
        <v>292</v>
      </c>
      <c r="G1" s="167" t="s">
        <v>293</v>
      </c>
      <c r="H1" s="167" t="s">
        <v>294</v>
      </c>
      <c r="I1" s="178" t="s">
        <v>8</v>
      </c>
      <c r="J1" s="272"/>
      <c r="K1" s="302" t="s">
        <v>291</v>
      </c>
      <c r="L1" s="303"/>
    </row>
    <row r="2" spans="1:12" ht="16" thickBot="1">
      <c r="A2" s="179">
        <v>1</v>
      </c>
      <c r="B2" s="180" t="s">
        <v>109</v>
      </c>
      <c r="C2" s="181">
        <f>Population!D2</f>
        <v>482442.94573535857</v>
      </c>
      <c r="D2" s="181" t="str">
        <f>IF(C2&lt;100000,"Small",IF(C2&lt;1000000,"Medium","Large"))</f>
        <v>Medium</v>
      </c>
      <c r="E2" s="270">
        <f>$L$4</f>
        <v>23405297.760473449</v>
      </c>
      <c r="F2" s="267">
        <f t="shared" ref="F2:F35" si="0">G2/$L$11</f>
        <v>222853264.13445601</v>
      </c>
      <c r="G2" s="171">
        <f t="shared" ref="G2:G35" si="1">H2*$L$10</f>
        <v>15891599409.448818</v>
      </c>
      <c r="H2" s="171">
        <f>(7.5*10^5)/508</f>
        <v>1476.3779527559054</v>
      </c>
      <c r="I2" s="182" t="s">
        <v>229</v>
      </c>
      <c r="J2" s="273" t="s">
        <v>96</v>
      </c>
      <c r="K2" s="261" t="s">
        <v>90</v>
      </c>
      <c r="L2" s="262" t="s">
        <v>173</v>
      </c>
    </row>
    <row r="3" spans="1:12">
      <c r="A3" s="179">
        <v>2</v>
      </c>
      <c r="B3" s="180" t="s">
        <v>110</v>
      </c>
      <c r="C3" s="181">
        <f>Population!D3</f>
        <v>353887.65953811951</v>
      </c>
      <c r="D3" s="181" t="str">
        <f t="shared" ref="D3:D46" si="2">IF(C3&lt;100000,"Small",IF(C3&lt;1000000,"Medium","Large"))</f>
        <v>Medium</v>
      </c>
      <c r="E3" s="270">
        <f>$L$4</f>
        <v>23405297.760473449</v>
      </c>
      <c r="F3" s="267">
        <f t="shared" si="0"/>
        <v>0</v>
      </c>
      <c r="G3" s="171">
        <f t="shared" si="1"/>
        <v>0</v>
      </c>
      <c r="H3" s="171"/>
      <c r="I3" s="184"/>
      <c r="J3" s="271" t="s">
        <v>96</v>
      </c>
      <c r="K3" s="185" t="s">
        <v>95</v>
      </c>
      <c r="L3" s="264">
        <f>AVERAGE(F6,F17,F21:F23,F25,F29,F35)</f>
        <v>14423399.891132133</v>
      </c>
    </row>
    <row r="4" spans="1:12">
      <c r="A4" s="179">
        <v>3</v>
      </c>
      <c r="B4" s="180" t="s">
        <v>111</v>
      </c>
      <c r="C4" s="181">
        <f>Population!D4</f>
        <v>10183876.760812402</v>
      </c>
      <c r="D4" s="181" t="str">
        <f t="shared" si="2"/>
        <v>Large</v>
      </c>
      <c r="E4" s="270">
        <f>$L$3</f>
        <v>14423399.891132133</v>
      </c>
      <c r="F4" s="267">
        <f t="shared" si="0"/>
        <v>0</v>
      </c>
      <c r="G4" s="171">
        <f t="shared" si="1"/>
        <v>0</v>
      </c>
      <c r="H4" s="171"/>
      <c r="I4" s="186"/>
      <c r="J4" s="273" t="s">
        <v>96</v>
      </c>
      <c r="K4" s="185" t="s">
        <v>94</v>
      </c>
      <c r="L4" s="264">
        <f>AVERAGE(F2,F12:F13,F15,F19,F26:F27,F32:F33,F37:F39,F41)</f>
        <v>23405297.760473449</v>
      </c>
    </row>
    <row r="5" spans="1:12" ht="15" thickBot="1">
      <c r="A5" s="179">
        <v>4</v>
      </c>
      <c r="B5" s="180" t="s">
        <v>112</v>
      </c>
      <c r="C5" s="181">
        <f>Population!D5</f>
        <v>2168822.2842630199</v>
      </c>
      <c r="D5" s="181" t="str">
        <f t="shared" si="2"/>
        <v>Large</v>
      </c>
      <c r="E5" s="270">
        <f t="shared" ref="E5:E8" si="3">$L$3</f>
        <v>14423399.891132133</v>
      </c>
      <c r="F5" s="267">
        <f t="shared" si="0"/>
        <v>0</v>
      </c>
      <c r="G5" s="171">
        <f t="shared" si="1"/>
        <v>0</v>
      </c>
      <c r="H5" s="171"/>
      <c r="I5" s="186"/>
      <c r="J5" s="273" t="s">
        <v>96</v>
      </c>
      <c r="K5" s="187" t="s">
        <v>93</v>
      </c>
      <c r="L5" s="265">
        <f>AVERAGE(F9,F45:F46)</f>
        <v>4796053.4579697149</v>
      </c>
    </row>
    <row r="6" spans="1:12" ht="15.5">
      <c r="A6" s="179">
        <v>5</v>
      </c>
      <c r="B6" s="180" t="s">
        <v>113</v>
      </c>
      <c r="C6" s="181">
        <f>Population!D6</f>
        <v>1017223.1910658216</v>
      </c>
      <c r="D6" s="181" t="str">
        <f t="shared" si="2"/>
        <v>Large</v>
      </c>
      <c r="E6" s="270">
        <f t="shared" si="3"/>
        <v>14423399.891132133</v>
      </c>
      <c r="F6" s="267">
        <f t="shared" si="0"/>
        <v>83020269.33222267</v>
      </c>
      <c r="G6" s="171">
        <f t="shared" si="1"/>
        <v>5920150500</v>
      </c>
      <c r="H6" s="171">
        <f>(6.6*10^5)/1200</f>
        <v>550</v>
      </c>
      <c r="I6" s="23" t="s">
        <v>232</v>
      </c>
      <c r="J6" s="273" t="s">
        <v>96</v>
      </c>
      <c r="K6" s="183"/>
      <c r="L6" s="183"/>
    </row>
    <row r="7" spans="1:12">
      <c r="A7" s="179">
        <v>6</v>
      </c>
      <c r="B7" s="180" t="s">
        <v>114</v>
      </c>
      <c r="C7" s="181">
        <f>Population!D7</f>
        <v>1159765.5644964206</v>
      </c>
      <c r="D7" s="181" t="str">
        <f t="shared" si="2"/>
        <v>Large</v>
      </c>
      <c r="E7" s="270">
        <f t="shared" si="3"/>
        <v>14423399.891132133</v>
      </c>
      <c r="F7" s="267">
        <f t="shared" si="0"/>
        <v>0</v>
      </c>
      <c r="G7" s="171">
        <f t="shared" si="1"/>
        <v>0</v>
      </c>
      <c r="H7" s="171"/>
      <c r="I7" s="186"/>
      <c r="J7" s="273" t="s">
        <v>96</v>
      </c>
      <c r="K7" s="260"/>
      <c r="L7" s="184"/>
    </row>
    <row r="8" spans="1:12">
      <c r="A8" s="179">
        <v>7</v>
      </c>
      <c r="B8" s="180" t="s">
        <v>115</v>
      </c>
      <c r="C8" s="181">
        <f>Population!D8</f>
        <v>5604401.6412904728</v>
      </c>
      <c r="D8" s="181" t="str">
        <f t="shared" si="2"/>
        <v>Large</v>
      </c>
      <c r="E8" s="270">
        <f t="shared" si="3"/>
        <v>14423399.891132133</v>
      </c>
      <c r="F8" s="267">
        <f t="shared" si="0"/>
        <v>0</v>
      </c>
      <c r="G8" s="171">
        <f t="shared" si="1"/>
        <v>0</v>
      </c>
      <c r="H8" s="171"/>
      <c r="I8" s="186"/>
      <c r="J8" s="273" t="s">
        <v>96</v>
      </c>
      <c r="K8" s="263"/>
      <c r="L8" s="188"/>
    </row>
    <row r="9" spans="1:12" ht="15.5">
      <c r="A9" s="179">
        <v>8</v>
      </c>
      <c r="B9" s="180" t="s">
        <v>116</v>
      </c>
      <c r="C9" s="181">
        <f>Population!D9</f>
        <v>53408.312224510621</v>
      </c>
      <c r="D9" s="181" t="str">
        <f t="shared" si="2"/>
        <v>Small</v>
      </c>
      <c r="E9" s="270">
        <f>$L$5</f>
        <v>4796053.4579697149</v>
      </c>
      <c r="F9" s="267">
        <f t="shared" si="0"/>
        <v>280466.88925496169</v>
      </c>
      <c r="G9" s="171">
        <f t="shared" si="1"/>
        <v>20000009.732704543</v>
      </c>
      <c r="H9" s="171">
        <f>(2.1*10^5)/113021</f>
        <v>1.8580617761300997</v>
      </c>
      <c r="I9" s="23" t="s">
        <v>233</v>
      </c>
      <c r="J9" s="273" t="s">
        <v>97</v>
      </c>
      <c r="K9" s="188"/>
      <c r="L9" s="188"/>
    </row>
    <row r="10" spans="1:12">
      <c r="A10" s="179">
        <v>9</v>
      </c>
      <c r="B10" s="180" t="s">
        <v>117</v>
      </c>
      <c r="C10" s="181">
        <f>Population!D10</f>
        <v>686965.35071162798</v>
      </c>
      <c r="D10" s="181" t="str">
        <f t="shared" si="2"/>
        <v>Medium</v>
      </c>
      <c r="E10" s="270">
        <f>$L$4</f>
        <v>23405297.760473449</v>
      </c>
      <c r="F10" s="267">
        <f t="shared" si="0"/>
        <v>0</v>
      </c>
      <c r="G10" s="171">
        <f t="shared" si="1"/>
        <v>0</v>
      </c>
      <c r="H10" s="171"/>
      <c r="I10" s="186"/>
      <c r="J10" s="273" t="s">
        <v>96</v>
      </c>
      <c r="K10" s="188" t="s">
        <v>230</v>
      </c>
      <c r="L10" s="190">
        <v>10763910</v>
      </c>
    </row>
    <row r="11" spans="1:12">
      <c r="A11" s="179">
        <v>10</v>
      </c>
      <c r="B11" s="180" t="s">
        <v>118</v>
      </c>
      <c r="C11" s="181">
        <f>Population!D11</f>
        <v>637497.35184327734</v>
      </c>
      <c r="D11" s="181" t="str">
        <f t="shared" si="2"/>
        <v>Medium</v>
      </c>
      <c r="E11" s="270">
        <f t="shared" ref="E11:E15" si="4">$L$4</f>
        <v>23405297.760473449</v>
      </c>
      <c r="F11" s="267">
        <f t="shared" si="0"/>
        <v>0</v>
      </c>
      <c r="G11" s="171">
        <f t="shared" si="1"/>
        <v>0</v>
      </c>
      <c r="H11" s="171"/>
      <c r="I11" s="186"/>
      <c r="J11" s="273" t="s">
        <v>96</v>
      </c>
      <c r="K11" s="189" t="s">
        <v>231</v>
      </c>
      <c r="L11" s="188">
        <v>71.309700000000007</v>
      </c>
    </row>
    <row r="12" spans="1:12" ht="15.5">
      <c r="A12" s="179">
        <v>11</v>
      </c>
      <c r="B12" s="180" t="s">
        <v>119</v>
      </c>
      <c r="C12" s="181">
        <f>Population!D12</f>
        <v>248657.05041305005</v>
      </c>
      <c r="D12" s="181" t="str">
        <f t="shared" si="2"/>
        <v>Medium</v>
      </c>
      <c r="E12" s="270">
        <f t="shared" si="4"/>
        <v>23405297.760473449</v>
      </c>
      <c r="F12" s="267">
        <f t="shared" si="0"/>
        <v>190282.53342246776</v>
      </c>
      <c r="G12" s="171">
        <f t="shared" si="1"/>
        <v>13568990.37359615</v>
      </c>
      <c r="H12" s="171">
        <f>(1.1*10^5)/87260</f>
        <v>1.2606005042402018</v>
      </c>
      <c r="I12" s="23" t="s">
        <v>234</v>
      </c>
      <c r="J12" s="273" t="s">
        <v>96</v>
      </c>
      <c r="K12" s="189"/>
      <c r="L12" s="188"/>
    </row>
    <row r="13" spans="1:12" ht="15.5">
      <c r="A13" s="179">
        <v>12</v>
      </c>
      <c r="B13" s="180" t="s">
        <v>120</v>
      </c>
      <c r="C13" s="181">
        <f>Population!D13</f>
        <v>120954.47359530447</v>
      </c>
      <c r="D13" s="181" t="str">
        <f t="shared" si="2"/>
        <v>Medium</v>
      </c>
      <c r="E13" s="270">
        <f t="shared" si="4"/>
        <v>23405297.760473449</v>
      </c>
      <c r="F13" s="267">
        <f t="shared" si="0"/>
        <v>20791452.374711413</v>
      </c>
      <c r="G13" s="171">
        <f t="shared" si="1"/>
        <v>1482632231.4049585</v>
      </c>
      <c r="H13" s="171">
        <f>AVERAGE(10000000,50000000)/(43560*5)</f>
        <v>137.74104683195591</v>
      </c>
      <c r="I13" s="23" t="s">
        <v>235</v>
      </c>
      <c r="J13" s="273" t="s">
        <v>96</v>
      </c>
      <c r="K13" s="189"/>
      <c r="L13" s="188"/>
    </row>
    <row r="14" spans="1:12">
      <c r="A14" s="179">
        <v>13</v>
      </c>
      <c r="B14" s="180" t="s">
        <v>121</v>
      </c>
      <c r="C14" s="181">
        <f>Population!D14</f>
        <v>8119180.3023765497</v>
      </c>
      <c r="D14" s="181" t="str">
        <f t="shared" si="2"/>
        <v>Large</v>
      </c>
      <c r="E14" s="270">
        <f t="shared" ref="E14" si="5">$L$3</f>
        <v>14423399.891132133</v>
      </c>
      <c r="F14" s="267">
        <f t="shared" si="0"/>
        <v>0</v>
      </c>
      <c r="G14" s="171">
        <f t="shared" si="1"/>
        <v>0</v>
      </c>
      <c r="H14" s="171"/>
      <c r="I14" s="16"/>
      <c r="J14" s="273" t="s">
        <v>96</v>
      </c>
      <c r="K14" s="189"/>
      <c r="L14" s="188"/>
    </row>
    <row r="15" spans="1:12" ht="15.5">
      <c r="A15" s="179">
        <v>14</v>
      </c>
      <c r="B15" s="180" t="s">
        <v>122</v>
      </c>
      <c r="C15" s="181">
        <f>Population!D15</f>
        <v>323526.6224659998</v>
      </c>
      <c r="D15" s="181" t="str">
        <f t="shared" si="2"/>
        <v>Medium</v>
      </c>
      <c r="E15" s="270">
        <f t="shared" si="4"/>
        <v>23405297.760473449</v>
      </c>
      <c r="F15" s="267">
        <f t="shared" si="0"/>
        <v>1861666.64563166</v>
      </c>
      <c r="G15" s="171">
        <f t="shared" si="1"/>
        <v>132754890</v>
      </c>
      <c r="H15" s="171">
        <f>99900/(900*9)</f>
        <v>12.333333333333334</v>
      </c>
      <c r="I15" s="23" t="s">
        <v>236</v>
      </c>
      <c r="J15" s="273" t="s">
        <v>96</v>
      </c>
      <c r="K15" s="16"/>
      <c r="L15" s="16"/>
    </row>
    <row r="16" spans="1:12">
      <c r="A16" s="179">
        <v>15</v>
      </c>
      <c r="B16" s="180" t="s">
        <v>123</v>
      </c>
      <c r="C16" s="181">
        <f>Population!D16</f>
        <v>71750.609598395211</v>
      </c>
      <c r="D16" s="181" t="str">
        <f t="shared" si="2"/>
        <v>Small</v>
      </c>
      <c r="E16" s="270">
        <f>$L$5</f>
        <v>4796053.4579697149</v>
      </c>
      <c r="F16" s="267">
        <f t="shared" si="0"/>
        <v>0</v>
      </c>
      <c r="G16" s="171">
        <f t="shared" si="1"/>
        <v>0</v>
      </c>
      <c r="H16" s="171"/>
      <c r="I16" s="186"/>
      <c r="J16" s="273" t="s">
        <v>96</v>
      </c>
      <c r="K16" s="16"/>
      <c r="L16" s="16"/>
    </row>
    <row r="17" spans="1:12" ht="15.5">
      <c r="A17" s="179">
        <v>16</v>
      </c>
      <c r="B17" s="180" t="s">
        <v>124</v>
      </c>
      <c r="C17" s="181">
        <f>Population!D17</f>
        <v>3673962.8876462663</v>
      </c>
      <c r="D17" s="181" t="str">
        <f t="shared" si="2"/>
        <v>Large</v>
      </c>
      <c r="E17" s="270">
        <f t="shared" ref="E17" si="6">$L$3</f>
        <v>14423399.891132133</v>
      </c>
      <c r="F17" s="267">
        <f t="shared" si="0"/>
        <v>16771771.582267208</v>
      </c>
      <c r="G17" s="171">
        <f t="shared" si="1"/>
        <v>1195990000</v>
      </c>
      <c r="H17" s="171">
        <f>100000/(100*9)</f>
        <v>111.11111111111111</v>
      </c>
      <c r="I17" s="23" t="s">
        <v>237</v>
      </c>
      <c r="J17" s="273" t="s">
        <v>96</v>
      </c>
      <c r="K17" s="16"/>
      <c r="L17" s="16"/>
    </row>
    <row r="18" spans="1:12">
      <c r="A18" s="179">
        <v>17</v>
      </c>
      <c r="B18" s="180" t="s">
        <v>125</v>
      </c>
      <c r="C18" s="181">
        <f>Population!D18</f>
        <v>13520.328350949914</v>
      </c>
      <c r="D18" s="181" t="str">
        <f t="shared" si="2"/>
        <v>Small</v>
      </c>
      <c r="E18" s="270">
        <f>$L$5</f>
        <v>4796053.4579697149</v>
      </c>
      <c r="F18" s="267">
        <f t="shared" si="0"/>
        <v>0</v>
      </c>
      <c r="G18" s="171">
        <f t="shared" si="1"/>
        <v>0</v>
      </c>
      <c r="H18" s="171"/>
      <c r="I18" s="186"/>
      <c r="J18" s="273" t="s">
        <v>96</v>
      </c>
      <c r="K18" s="16"/>
      <c r="L18" s="16"/>
    </row>
    <row r="19" spans="1:12" ht="15.5">
      <c r="A19" s="179">
        <v>18</v>
      </c>
      <c r="B19" s="180" t="s">
        <v>126</v>
      </c>
      <c r="C19" s="181">
        <f>Population!D19</f>
        <v>119450.47275198292</v>
      </c>
      <c r="D19" s="181" t="str">
        <f t="shared" si="2"/>
        <v>Medium</v>
      </c>
      <c r="E19" s="270">
        <f t="shared" ref="E19" si="7">$L$4</f>
        <v>23405297.760473449</v>
      </c>
      <c r="F19" s="267">
        <f t="shared" si="0"/>
        <v>50315.314746801625</v>
      </c>
      <c r="G19" s="171">
        <f t="shared" si="1"/>
        <v>3587970</v>
      </c>
      <c r="H19" s="171">
        <f>(2*10^5)/(1000*600)</f>
        <v>0.33333333333333331</v>
      </c>
      <c r="I19" s="23" t="s">
        <v>238</v>
      </c>
      <c r="J19" s="273" t="s">
        <v>96</v>
      </c>
      <c r="K19" s="16"/>
      <c r="L19" s="16"/>
    </row>
    <row r="20" spans="1:12">
      <c r="A20" s="179">
        <v>19</v>
      </c>
      <c r="B20" s="180" t="s">
        <v>127</v>
      </c>
      <c r="C20" s="181">
        <f>Population!D20</f>
        <v>5423441.5141611397</v>
      </c>
      <c r="D20" s="181" t="str">
        <f t="shared" si="2"/>
        <v>Large</v>
      </c>
      <c r="E20" s="270">
        <f t="shared" ref="E20:E25" si="8">$L$3</f>
        <v>14423399.891132133</v>
      </c>
      <c r="F20" s="267">
        <f t="shared" si="0"/>
        <v>0</v>
      </c>
      <c r="G20" s="171">
        <f t="shared" si="1"/>
        <v>0</v>
      </c>
      <c r="H20" s="171"/>
      <c r="I20" s="186"/>
      <c r="J20" s="273" t="s">
        <v>96</v>
      </c>
      <c r="K20" s="16"/>
      <c r="L20" s="16"/>
    </row>
    <row r="21" spans="1:12" ht="15.5">
      <c r="A21" s="179">
        <v>20</v>
      </c>
      <c r="B21" s="180" t="s">
        <v>128</v>
      </c>
      <c r="C21" s="181">
        <f>Population!D21</f>
        <v>3397697.1096434216</v>
      </c>
      <c r="D21" s="181" t="str">
        <f t="shared" si="2"/>
        <v>Large</v>
      </c>
      <c r="E21" s="270">
        <f t="shared" si="8"/>
        <v>14423399.891132133</v>
      </c>
      <c r="F21" s="267">
        <f t="shared" si="0"/>
        <v>5477877.00872437</v>
      </c>
      <c r="G21" s="171">
        <f t="shared" si="1"/>
        <v>390625766.12903225</v>
      </c>
      <c r="H21" s="171">
        <f>(45*10^5)/124000</f>
        <v>36.29032258064516</v>
      </c>
      <c r="I21" s="23" t="s">
        <v>239</v>
      </c>
      <c r="J21" s="273" t="s">
        <v>96</v>
      </c>
      <c r="K21" s="16"/>
      <c r="L21" s="16"/>
    </row>
    <row r="22" spans="1:12" ht="15.5">
      <c r="A22" s="179">
        <v>21</v>
      </c>
      <c r="B22" s="180" t="s">
        <v>129</v>
      </c>
      <c r="C22" s="181">
        <f>Population!D22</f>
        <v>15006687.638268843</v>
      </c>
      <c r="D22" s="181" t="str">
        <f t="shared" si="2"/>
        <v>Large</v>
      </c>
      <c r="E22" s="270">
        <f t="shared" si="8"/>
        <v>14423399.891132133</v>
      </c>
      <c r="F22" s="267">
        <f t="shared" si="0"/>
        <v>277219.36499615223</v>
      </c>
      <c r="G22" s="171">
        <f t="shared" si="1"/>
        <v>19768429.752066117</v>
      </c>
      <c r="H22" s="171">
        <f>(1.6*10^5)/(2*43560)</f>
        <v>1.8365472910927456</v>
      </c>
      <c r="I22" s="23" t="s">
        <v>241</v>
      </c>
      <c r="J22" s="273" t="s">
        <v>96</v>
      </c>
      <c r="K22" s="16"/>
      <c r="L22" s="16"/>
    </row>
    <row r="23" spans="1:12" ht="15.5">
      <c r="A23" s="179">
        <v>22</v>
      </c>
      <c r="B23" s="180" t="s">
        <v>130</v>
      </c>
      <c r="C23" s="181">
        <f>Population!D23</f>
        <v>13308724.96044747</v>
      </c>
      <c r="D23" s="181" t="str">
        <f t="shared" si="2"/>
        <v>Large</v>
      </c>
      <c r="E23" s="270">
        <f t="shared" si="8"/>
        <v>14423399.891132133</v>
      </c>
      <c r="F23" s="267">
        <f t="shared" si="0"/>
        <v>1039572.6187355707</v>
      </c>
      <c r="G23" s="171">
        <f t="shared" si="1"/>
        <v>74131611.570247933</v>
      </c>
      <c r="H23" s="171">
        <f>(27*10^5)/(9*43560)</f>
        <v>6.887052341597796</v>
      </c>
      <c r="I23" s="23" t="s">
        <v>240</v>
      </c>
      <c r="J23" s="273" t="s">
        <v>96</v>
      </c>
      <c r="K23" s="16"/>
      <c r="L23" s="16"/>
    </row>
    <row r="24" spans="1:12">
      <c r="A24" s="179">
        <v>23</v>
      </c>
      <c r="B24" s="180" t="s">
        <v>131</v>
      </c>
      <c r="C24" s="181">
        <f>Population!D24</f>
        <v>48264.315755572054</v>
      </c>
      <c r="D24" s="181" t="str">
        <f t="shared" si="2"/>
        <v>Small</v>
      </c>
      <c r="E24" s="270">
        <f>$L$5</f>
        <v>4796053.4579697149</v>
      </c>
      <c r="F24" s="267">
        <f t="shared" si="0"/>
        <v>0</v>
      </c>
      <c r="G24" s="171">
        <f t="shared" si="1"/>
        <v>0</v>
      </c>
      <c r="J24" s="273" t="s">
        <v>96</v>
      </c>
      <c r="K24" s="16"/>
      <c r="L24" s="16"/>
    </row>
    <row r="25" spans="1:12" ht="15.5">
      <c r="A25" s="179">
        <v>24</v>
      </c>
      <c r="B25" s="180" t="s">
        <v>132</v>
      </c>
      <c r="C25" s="181">
        <f>Population!D25</f>
        <v>2031332.2440583021</v>
      </c>
      <c r="D25" s="181" t="str">
        <f t="shared" si="2"/>
        <v>Large</v>
      </c>
      <c r="E25" s="270">
        <f t="shared" si="8"/>
        <v>14423399.891132133</v>
      </c>
      <c r="F25" s="267">
        <f t="shared" si="0"/>
        <v>3734024.691824106</v>
      </c>
      <c r="G25" s="171">
        <f t="shared" si="1"/>
        <v>266272180.56656948</v>
      </c>
      <c r="H25" s="171">
        <f>9*10^5/36382.017</f>
        <v>24.737495999740752</v>
      </c>
      <c r="I25" s="23" t="s">
        <v>244</v>
      </c>
      <c r="J25" s="273" t="s">
        <v>96</v>
      </c>
      <c r="K25" s="16"/>
      <c r="L25" s="16"/>
    </row>
    <row r="26" spans="1:12" ht="15.5">
      <c r="A26" s="179">
        <v>25</v>
      </c>
      <c r="B26" s="180" t="s">
        <v>133</v>
      </c>
      <c r="C26" s="181">
        <f>Population!D26</f>
        <v>291601.27978538926</v>
      </c>
      <c r="D26" s="181" t="str">
        <f t="shared" si="2"/>
        <v>Medium</v>
      </c>
      <c r="E26" s="267">
        <f>AVERAGE(F26:F27)</f>
        <v>5899096.0778966919</v>
      </c>
      <c r="F26" s="267">
        <f t="shared" si="0"/>
        <v>2310161.3749679346</v>
      </c>
      <c r="G26" s="171">
        <f t="shared" si="1"/>
        <v>164736914.60055095</v>
      </c>
      <c r="H26" s="171">
        <f>40*10^5/261360</f>
        <v>15.304560759106213</v>
      </c>
      <c r="I26" s="23" t="s">
        <v>245</v>
      </c>
      <c r="J26" s="273" t="s">
        <v>96</v>
      </c>
      <c r="K26" s="16"/>
      <c r="L26" s="16"/>
    </row>
    <row r="27" spans="1:12" ht="15.5">
      <c r="A27" s="179"/>
      <c r="B27" s="180"/>
      <c r="C27" s="181"/>
      <c r="D27" s="181"/>
      <c r="E27" s="267"/>
      <c r="F27" s="267">
        <f t="shared" si="0"/>
        <v>9488030.7808254492</v>
      </c>
      <c r="G27" s="171">
        <f t="shared" si="1"/>
        <v>676588628.57142854</v>
      </c>
      <c r="H27" s="171">
        <f>1.1*10^7/175000</f>
        <v>62.857142857142854</v>
      </c>
      <c r="I27" s="23" t="s">
        <v>246</v>
      </c>
      <c r="J27" s="273"/>
      <c r="K27" s="16"/>
      <c r="L27" s="16"/>
    </row>
    <row r="28" spans="1:12">
      <c r="A28" s="179">
        <v>26</v>
      </c>
      <c r="B28" s="180" t="s">
        <v>134</v>
      </c>
      <c r="C28" s="181">
        <f>Population!D27</f>
        <v>120833.86406496594</v>
      </c>
      <c r="D28" s="181" t="str">
        <f t="shared" si="2"/>
        <v>Medium</v>
      </c>
      <c r="E28" s="270">
        <f t="shared" ref="E28" si="9">$L$4</f>
        <v>23405297.760473449</v>
      </c>
      <c r="F28" s="267">
        <f t="shared" si="0"/>
        <v>0</v>
      </c>
      <c r="G28" s="171">
        <f t="shared" si="1"/>
        <v>0</v>
      </c>
      <c r="H28" s="171"/>
      <c r="I28" s="186"/>
      <c r="J28" s="273" t="s">
        <v>96</v>
      </c>
      <c r="K28" s="16"/>
      <c r="L28" s="16"/>
    </row>
    <row r="29" spans="1:12" ht="15.5">
      <c r="A29" s="179">
        <v>27</v>
      </c>
      <c r="B29" s="180" t="s">
        <v>135</v>
      </c>
      <c r="C29" s="181">
        <f>Population!D28</f>
        <v>1218678.495685582</v>
      </c>
      <c r="D29" s="181" t="str">
        <f t="shared" si="2"/>
        <v>Large</v>
      </c>
      <c r="E29" s="267">
        <f>AVERAGE(F29:F30)</f>
        <v>13860775.370946595</v>
      </c>
      <c r="F29" s="267">
        <f t="shared" si="0"/>
        <v>276833.60727412271</v>
      </c>
      <c r="G29" s="171">
        <f t="shared" si="1"/>
        <v>19740921.48463551</v>
      </c>
      <c r="H29" s="171">
        <f>1.43*10^5/77972</f>
        <v>1.8339916893243728</v>
      </c>
      <c r="I29" s="23" t="s">
        <v>242</v>
      </c>
      <c r="J29" s="273" t="s">
        <v>96</v>
      </c>
      <c r="K29" s="16"/>
      <c r="L29" s="16"/>
    </row>
    <row r="30" spans="1:12" ht="15.5">
      <c r="A30" s="179"/>
      <c r="B30" s="180"/>
      <c r="C30" s="181"/>
      <c r="D30" s="181"/>
      <c r="E30" s="267"/>
      <c r="F30" s="267">
        <f t="shared" si="0"/>
        <v>27444717.134619068</v>
      </c>
      <c r="G30" s="171">
        <f t="shared" si="1"/>
        <v>1957074545.4545455</v>
      </c>
      <c r="H30" s="171">
        <f>40*10^5/22000</f>
        <v>181.81818181818181</v>
      </c>
      <c r="I30" s="23" t="s">
        <v>247</v>
      </c>
      <c r="J30" s="273"/>
      <c r="K30" s="16"/>
      <c r="L30" s="16"/>
    </row>
    <row r="31" spans="1:12">
      <c r="A31" s="179">
        <v>28</v>
      </c>
      <c r="B31" s="180" t="s">
        <v>136</v>
      </c>
      <c r="C31" s="181">
        <f>Population!D29</f>
        <v>1294655.2632270395</v>
      </c>
      <c r="D31" s="181" t="str">
        <f t="shared" si="2"/>
        <v>Large</v>
      </c>
      <c r="E31" s="270">
        <f t="shared" ref="E31" si="10">$L$3</f>
        <v>14423399.891132133</v>
      </c>
      <c r="F31" s="267">
        <f t="shared" si="0"/>
        <v>0</v>
      </c>
      <c r="G31" s="171">
        <f t="shared" si="1"/>
        <v>0</v>
      </c>
      <c r="H31" s="171"/>
      <c r="I31" s="16"/>
      <c r="J31" s="273" t="s">
        <v>96</v>
      </c>
      <c r="K31" s="16"/>
      <c r="L31" s="16"/>
    </row>
    <row r="32" spans="1:12" ht="15.5">
      <c r="A32" s="179">
        <v>29</v>
      </c>
      <c r="B32" s="180" t="s">
        <v>137</v>
      </c>
      <c r="C32" s="181">
        <f>Population!D30</f>
        <v>172747.82420858208</v>
      </c>
      <c r="D32" s="181" t="str">
        <f t="shared" si="2"/>
        <v>Medium</v>
      </c>
      <c r="E32" s="270">
        <f t="shared" ref="E32:E37" si="11">$L$4</f>
        <v>23405297.760473449</v>
      </c>
      <c r="F32" s="267">
        <f t="shared" si="0"/>
        <v>3756876.8344278545</v>
      </c>
      <c r="G32" s="171">
        <f t="shared" si="1"/>
        <v>267901760</v>
      </c>
      <c r="H32" s="171">
        <f>3.36*10^5/13500</f>
        <v>24.888888888888889</v>
      </c>
      <c r="I32" s="23" t="s">
        <v>248</v>
      </c>
      <c r="J32" s="273" t="s">
        <v>96</v>
      </c>
      <c r="K32" s="16"/>
      <c r="L32" s="16"/>
    </row>
    <row r="33" spans="1:12" ht="15.5">
      <c r="A33" s="179">
        <v>30</v>
      </c>
      <c r="B33" s="180" t="s">
        <v>138</v>
      </c>
      <c r="C33" s="181">
        <f>Population!D31</f>
        <v>118516.95498716265</v>
      </c>
      <c r="D33" s="181" t="str">
        <f t="shared" si="2"/>
        <v>Medium</v>
      </c>
      <c r="E33" s="270">
        <f t="shared" si="11"/>
        <v>23405297.760473449</v>
      </c>
      <c r="F33" s="267">
        <f t="shared" si="0"/>
        <v>18113513.308848586</v>
      </c>
      <c r="G33" s="171">
        <f t="shared" si="1"/>
        <v>1291669200</v>
      </c>
      <c r="H33" s="171">
        <f>30*10^5/25000</f>
        <v>120</v>
      </c>
      <c r="I33" s="23" t="s">
        <v>249</v>
      </c>
      <c r="J33" s="273" t="s">
        <v>96</v>
      </c>
      <c r="K33" s="16"/>
      <c r="L33" s="16"/>
    </row>
    <row r="34" spans="1:12">
      <c r="A34" s="179">
        <v>31</v>
      </c>
      <c r="B34" s="180" t="s">
        <v>139</v>
      </c>
      <c r="C34" s="181">
        <f>Population!D32</f>
        <v>204527.22935748301</v>
      </c>
      <c r="D34" s="181" t="str">
        <f t="shared" si="2"/>
        <v>Medium</v>
      </c>
      <c r="E34" s="270">
        <f t="shared" si="11"/>
        <v>23405297.760473449</v>
      </c>
      <c r="F34" s="267">
        <f t="shared" si="0"/>
        <v>0</v>
      </c>
      <c r="G34" s="171">
        <f t="shared" si="1"/>
        <v>0</v>
      </c>
      <c r="H34" s="171"/>
      <c r="I34" s="186"/>
      <c r="J34" s="273" t="s">
        <v>96</v>
      </c>
      <c r="K34" s="16"/>
      <c r="L34" s="16"/>
    </row>
    <row r="35" spans="1:12" ht="15.5">
      <c r="A35" s="179">
        <v>32</v>
      </c>
      <c r="B35" s="180" t="s">
        <v>140</v>
      </c>
      <c r="C35" s="181">
        <f>Population!D33</f>
        <v>1423879.9323176574</v>
      </c>
      <c r="D35" s="181" t="str">
        <f t="shared" si="2"/>
        <v>Large</v>
      </c>
      <c r="E35" s="270">
        <f t="shared" ref="E35" si="12">$L$3</f>
        <v>14423399.891132133</v>
      </c>
      <c r="F35" s="267">
        <f t="shared" si="0"/>
        <v>4789630.9230128461</v>
      </c>
      <c r="G35" s="171">
        <f t="shared" si="1"/>
        <v>341547144.23076922</v>
      </c>
      <c r="H35" s="171">
        <f>1.65*10^5/5200</f>
        <v>31.73076923076923</v>
      </c>
      <c r="I35" s="23" t="s">
        <v>250</v>
      </c>
      <c r="J35" s="273" t="s">
        <v>96</v>
      </c>
      <c r="K35" s="16"/>
      <c r="L35" s="16"/>
    </row>
    <row r="36" spans="1:12">
      <c r="A36" s="179">
        <v>33</v>
      </c>
      <c r="B36" s="180" t="s">
        <v>141</v>
      </c>
      <c r="C36" s="181">
        <f>Population!D34</f>
        <v>896962.22226996359</v>
      </c>
      <c r="D36" s="181" t="str">
        <f t="shared" si="2"/>
        <v>Medium</v>
      </c>
      <c r="E36" s="270">
        <f t="shared" si="11"/>
        <v>23405297.760473449</v>
      </c>
      <c r="F36" s="267">
        <f t="shared" ref="F36:F46" si="13">G36/$L$11</f>
        <v>0</v>
      </c>
      <c r="G36" s="171">
        <f t="shared" ref="G36:G46" si="14">H36*$L$10</f>
        <v>0</v>
      </c>
      <c r="H36" s="171"/>
      <c r="I36" s="16"/>
      <c r="J36" s="273" t="s">
        <v>96</v>
      </c>
      <c r="K36" s="16"/>
      <c r="L36" s="16"/>
    </row>
    <row r="37" spans="1:12">
      <c r="A37" s="179">
        <v>34</v>
      </c>
      <c r="B37" s="180" t="s">
        <v>142</v>
      </c>
      <c r="C37" s="181">
        <f>Population!D35</f>
        <v>518879.08485063037</v>
      </c>
      <c r="D37" s="181" t="str">
        <f t="shared" si="2"/>
        <v>Medium</v>
      </c>
      <c r="E37" s="270">
        <f t="shared" si="11"/>
        <v>23405297.760473449</v>
      </c>
      <c r="F37" s="267">
        <f t="shared" si="13"/>
        <v>693138.15765128855</v>
      </c>
      <c r="G37" s="171">
        <f t="shared" si="14"/>
        <v>49427474.080666095</v>
      </c>
      <c r="H37" s="171">
        <v>4.5919627793864954</v>
      </c>
      <c r="I37" s="16" t="s">
        <v>243</v>
      </c>
      <c r="J37" s="273" t="s">
        <v>96</v>
      </c>
      <c r="K37" s="16"/>
      <c r="L37" s="16"/>
    </row>
    <row r="38" spans="1:12" ht="15.5">
      <c r="A38" s="179">
        <v>35</v>
      </c>
      <c r="B38" s="180" t="s">
        <v>143</v>
      </c>
      <c r="C38" s="181">
        <f>Population!D36</f>
        <v>221055.55939507601</v>
      </c>
      <c r="D38" s="181" t="str">
        <f t="shared" si="2"/>
        <v>Medium</v>
      </c>
      <c r="E38" s="267">
        <f>AVERAGE(F38:F39)</f>
        <v>941783.48773317807</v>
      </c>
      <c r="F38" s="267">
        <f t="shared" si="13"/>
        <v>150945.94424040488</v>
      </c>
      <c r="G38" s="171">
        <f t="shared" si="14"/>
        <v>10763910</v>
      </c>
      <c r="H38" s="171">
        <f>45*10^5/4500000</f>
        <v>1</v>
      </c>
      <c r="I38" s="23" t="s">
        <v>251</v>
      </c>
      <c r="J38" s="273" t="s">
        <v>96</v>
      </c>
      <c r="K38" s="16"/>
      <c r="L38" s="16"/>
    </row>
    <row r="39" spans="1:12" ht="15.5">
      <c r="A39" s="179"/>
      <c r="B39" s="180"/>
      <c r="C39" s="181"/>
      <c r="D39" s="181"/>
      <c r="E39" s="267"/>
      <c r="F39" s="267">
        <f t="shared" si="13"/>
        <v>1732621.0312259512</v>
      </c>
      <c r="G39" s="171">
        <f t="shared" si="14"/>
        <v>123552685.95041323</v>
      </c>
      <c r="H39" s="171">
        <f>20*10^5/(4*43560)</f>
        <v>11.478420569329661</v>
      </c>
      <c r="I39" s="23" t="s">
        <v>252</v>
      </c>
      <c r="J39" s="273"/>
      <c r="K39" s="16"/>
      <c r="L39" s="16"/>
    </row>
    <row r="40" spans="1:12">
      <c r="A40" s="179">
        <v>36</v>
      </c>
      <c r="B40" s="180" t="s">
        <v>144</v>
      </c>
      <c r="C40" s="181">
        <f>Population!D37</f>
        <v>1417301.8885329936</v>
      </c>
      <c r="D40" s="181" t="str">
        <f t="shared" si="2"/>
        <v>Large</v>
      </c>
      <c r="E40" s="270">
        <f t="shared" ref="E40" si="15">$L$3</f>
        <v>14423399.891132133</v>
      </c>
      <c r="F40" s="267">
        <f t="shared" si="13"/>
        <v>0</v>
      </c>
      <c r="G40" s="171">
        <f t="shared" si="14"/>
        <v>0</v>
      </c>
      <c r="H40" s="171"/>
      <c r="I40" s="16"/>
      <c r="J40" s="273" t="s">
        <v>96</v>
      </c>
      <c r="K40" s="16"/>
      <c r="L40" s="16"/>
    </row>
    <row r="41" spans="1:12" ht="15.5">
      <c r="A41" s="179">
        <v>37</v>
      </c>
      <c r="B41" s="180" t="s">
        <v>145</v>
      </c>
      <c r="C41" s="181">
        <f>Population!D38</f>
        <v>236463.42689582403</v>
      </c>
      <c r="D41" s="181" t="str">
        <f t="shared" si="2"/>
        <v>Medium</v>
      </c>
      <c r="E41" s="270">
        <f t="shared" ref="E41" si="16">$L$4</f>
        <v>23405297.760473449</v>
      </c>
      <c r="F41" s="267">
        <f t="shared" si="13"/>
        <v>22276602.450998954</v>
      </c>
      <c r="G41" s="171">
        <f t="shared" si="14"/>
        <v>1588537837.8000002</v>
      </c>
      <c r="H41" s="171">
        <v>147.58000000000001</v>
      </c>
      <c r="I41" s="23" t="s">
        <v>253</v>
      </c>
      <c r="J41" s="273" t="s">
        <v>96</v>
      </c>
      <c r="K41" s="16"/>
      <c r="L41" s="16"/>
    </row>
    <row r="42" spans="1:12">
      <c r="A42" s="179">
        <v>38</v>
      </c>
      <c r="B42" s="180" t="s">
        <v>146</v>
      </c>
      <c r="C42" s="181">
        <f>Population!D39</f>
        <v>1039890.5461976461</v>
      </c>
      <c r="D42" s="181" t="str">
        <f t="shared" si="2"/>
        <v>Large</v>
      </c>
      <c r="E42" s="270">
        <f t="shared" ref="E42" si="17">$L$3</f>
        <v>14423399.891132133</v>
      </c>
      <c r="F42" s="267">
        <f t="shared" si="13"/>
        <v>0</v>
      </c>
      <c r="G42" s="171">
        <f t="shared" si="14"/>
        <v>0</v>
      </c>
      <c r="H42" s="171"/>
      <c r="I42" s="16"/>
      <c r="J42" s="273" t="s">
        <v>96</v>
      </c>
      <c r="K42" s="16"/>
      <c r="L42" s="16"/>
    </row>
    <row r="43" spans="1:12">
      <c r="A43" s="179">
        <v>39</v>
      </c>
      <c r="B43" s="180" t="s">
        <v>147</v>
      </c>
      <c r="C43" s="181">
        <f>Population!D40</f>
        <v>85608.644634293029</v>
      </c>
      <c r="D43" s="181" t="str">
        <f t="shared" si="2"/>
        <v>Small</v>
      </c>
      <c r="E43" s="270">
        <f>$L$5</f>
        <v>4796053.4579697149</v>
      </c>
      <c r="F43" s="267">
        <f t="shared" si="13"/>
        <v>0</v>
      </c>
      <c r="G43" s="171">
        <f t="shared" si="14"/>
        <v>0</v>
      </c>
      <c r="H43" s="171"/>
      <c r="I43" s="16"/>
      <c r="J43" s="273" t="s">
        <v>96</v>
      </c>
      <c r="K43" s="16"/>
      <c r="L43" s="16"/>
    </row>
    <row r="44" spans="1:12" ht="15.5">
      <c r="A44" s="179">
        <v>40</v>
      </c>
      <c r="B44" s="180" t="s">
        <v>148</v>
      </c>
      <c r="C44" s="181">
        <f>Population!D41</f>
        <v>152855.6943698473</v>
      </c>
      <c r="D44" s="181" t="str">
        <f t="shared" si="2"/>
        <v>Medium</v>
      </c>
      <c r="E44" s="270">
        <f t="shared" ref="E44" si="18">$L$4</f>
        <v>23405297.760473449</v>
      </c>
      <c r="F44" s="267">
        <f t="shared" si="13"/>
        <v>0</v>
      </c>
      <c r="G44" s="171">
        <f t="shared" si="14"/>
        <v>0</v>
      </c>
      <c r="H44" s="171"/>
      <c r="I44" s="23"/>
      <c r="J44" s="273" t="s">
        <v>96</v>
      </c>
      <c r="K44" s="16"/>
      <c r="L44" s="16"/>
    </row>
    <row r="45" spans="1:12" ht="15.5">
      <c r="A45" s="179">
        <v>41</v>
      </c>
      <c r="B45" s="180" t="s">
        <v>149</v>
      </c>
      <c r="C45" s="181">
        <f>Population!D42</f>
        <v>73571.813506507111</v>
      </c>
      <c r="D45" s="181" t="str">
        <f t="shared" si="2"/>
        <v>Small</v>
      </c>
      <c r="E45" s="270">
        <f>$L$5</f>
        <v>4796053.4579697149</v>
      </c>
      <c r="F45" s="267">
        <f t="shared" si="13"/>
        <v>11088774.599846087</v>
      </c>
      <c r="G45" s="171">
        <f t="shared" si="14"/>
        <v>790737190.08264458</v>
      </c>
      <c r="H45" s="171">
        <f>12*10^5/16335</f>
        <v>73.461891643709819</v>
      </c>
      <c r="I45" s="23" t="s">
        <v>254</v>
      </c>
      <c r="J45" s="273" t="s">
        <v>96</v>
      </c>
      <c r="K45" s="16"/>
      <c r="L45" s="16"/>
    </row>
    <row r="46" spans="1:12" ht="15.5">
      <c r="A46" s="179">
        <v>42</v>
      </c>
      <c r="B46" s="180" t="s">
        <v>150</v>
      </c>
      <c r="C46" s="181">
        <f>Population!D43</f>
        <v>91108.43921773028</v>
      </c>
      <c r="D46" s="181" t="str">
        <f t="shared" si="2"/>
        <v>Small</v>
      </c>
      <c r="E46" s="270">
        <f>$L$5</f>
        <v>4796053.4579697149</v>
      </c>
      <c r="F46" s="267">
        <f t="shared" si="13"/>
        <v>3018918.8848080975</v>
      </c>
      <c r="G46" s="171">
        <f t="shared" si="14"/>
        <v>215278200</v>
      </c>
      <c r="H46" s="171">
        <f>10*10^5/50000</f>
        <v>20</v>
      </c>
      <c r="I46" s="23" t="s">
        <v>255</v>
      </c>
      <c r="J46" s="273" t="s">
        <v>96</v>
      </c>
      <c r="K46" s="16"/>
      <c r="L46" s="16"/>
    </row>
    <row r="47" spans="1:12" ht="15.5">
      <c r="A47" s="179"/>
      <c r="B47" s="180"/>
      <c r="C47" s="181"/>
      <c r="D47" s="181"/>
      <c r="E47" s="267"/>
      <c r="F47" s="267"/>
      <c r="G47" s="171"/>
      <c r="H47" s="171"/>
      <c r="I47" s="23"/>
      <c r="J47" s="273"/>
      <c r="K47" s="16"/>
      <c r="L47" s="16"/>
    </row>
    <row r="48" spans="1:12">
      <c r="A48" s="179"/>
      <c r="B48" s="180"/>
      <c r="C48" s="181"/>
      <c r="D48" s="181"/>
      <c r="E48" s="267"/>
      <c r="F48" s="267"/>
      <c r="G48" s="171"/>
      <c r="H48" s="171"/>
      <c r="I48" s="16"/>
      <c r="J48" s="273"/>
      <c r="K48" s="16"/>
      <c r="L48" s="16"/>
    </row>
    <row r="49" spans="1:12">
      <c r="A49" s="179"/>
      <c r="B49" s="180"/>
      <c r="C49" s="181"/>
      <c r="D49" s="181"/>
      <c r="E49" s="267"/>
      <c r="F49" s="267"/>
      <c r="G49" s="171"/>
      <c r="H49" s="171"/>
      <c r="I49" s="16"/>
      <c r="J49" s="273"/>
      <c r="K49" s="16"/>
      <c r="L49" s="16"/>
    </row>
    <row r="50" spans="1:12">
      <c r="A50" s="179"/>
      <c r="B50" s="180"/>
      <c r="C50" s="181"/>
      <c r="D50" s="181"/>
      <c r="E50" s="267"/>
      <c r="F50" s="267"/>
      <c r="G50" s="171"/>
      <c r="H50" s="171"/>
      <c r="I50" s="16"/>
      <c r="J50" s="273"/>
      <c r="K50" s="16"/>
      <c r="L50" s="16"/>
    </row>
    <row r="51" spans="1:12">
      <c r="A51" s="179"/>
      <c r="B51" s="180"/>
      <c r="C51" s="181"/>
      <c r="D51" s="181"/>
      <c r="E51" s="267"/>
      <c r="F51" s="267"/>
      <c r="G51" s="171"/>
      <c r="H51" s="171"/>
      <c r="I51" s="186"/>
      <c r="J51" s="273"/>
      <c r="K51" s="16"/>
      <c r="L51" s="16"/>
    </row>
    <row r="52" spans="1:12">
      <c r="A52" s="179"/>
      <c r="B52" s="180"/>
      <c r="C52" s="181"/>
      <c r="D52" s="181"/>
      <c r="E52" s="267"/>
      <c r="F52" s="267"/>
      <c r="G52" s="171"/>
      <c r="H52" s="171"/>
      <c r="I52" s="186"/>
      <c r="J52" s="273"/>
      <c r="K52" s="16"/>
      <c r="L52" s="16"/>
    </row>
    <row r="53" spans="1:12">
      <c r="A53" s="179"/>
      <c r="B53" s="180"/>
      <c r="C53" s="181"/>
      <c r="D53" s="181"/>
      <c r="E53" s="267"/>
      <c r="F53" s="267"/>
      <c r="G53" s="171"/>
      <c r="H53" s="171"/>
      <c r="I53" s="16"/>
      <c r="J53" s="273"/>
      <c r="K53" s="16"/>
      <c r="L53" s="16"/>
    </row>
    <row r="54" spans="1:12">
      <c r="A54" s="179"/>
      <c r="B54" s="180"/>
      <c r="C54" s="181"/>
      <c r="D54" s="181"/>
      <c r="E54" s="267"/>
      <c r="F54" s="267"/>
      <c r="G54" s="171"/>
      <c r="H54" s="171"/>
      <c r="I54" s="16"/>
      <c r="J54" s="273"/>
      <c r="K54" s="16"/>
      <c r="L54" s="16"/>
    </row>
    <row r="55" spans="1:12">
      <c r="A55" s="179"/>
      <c r="B55" s="180"/>
      <c r="C55" s="181"/>
      <c r="D55" s="181"/>
      <c r="E55" s="267"/>
      <c r="F55" s="267"/>
      <c r="G55" s="171"/>
      <c r="H55" s="171"/>
      <c r="I55" s="16"/>
      <c r="J55" s="273"/>
      <c r="K55" s="16"/>
      <c r="L55" s="16"/>
    </row>
    <row r="56" spans="1:12">
      <c r="A56" s="179"/>
      <c r="B56" s="180"/>
      <c r="C56" s="181"/>
      <c r="D56" s="181"/>
      <c r="E56" s="267"/>
      <c r="F56" s="267"/>
      <c r="G56" s="171"/>
      <c r="H56" s="171"/>
      <c r="I56" s="16"/>
      <c r="J56" s="273"/>
      <c r="K56" s="16"/>
      <c r="L56" s="16"/>
    </row>
    <row r="57" spans="1:12">
      <c r="A57" s="179"/>
      <c r="B57" s="180"/>
      <c r="C57" s="181"/>
      <c r="D57" s="181"/>
      <c r="E57" s="267"/>
      <c r="F57" s="267"/>
      <c r="G57" s="171"/>
      <c r="H57" s="171"/>
      <c r="I57" s="16"/>
      <c r="J57" s="273"/>
      <c r="K57" s="16"/>
      <c r="L57" s="16"/>
    </row>
    <row r="58" spans="1:12">
      <c r="A58" s="179"/>
      <c r="B58" s="180"/>
      <c r="C58" s="181"/>
      <c r="D58" s="181"/>
      <c r="E58" s="267"/>
      <c r="F58" s="267"/>
      <c r="G58" s="171"/>
      <c r="H58" s="171"/>
      <c r="I58" s="16"/>
      <c r="J58" s="273"/>
      <c r="K58" s="16"/>
      <c r="L58" s="16"/>
    </row>
    <row r="59" spans="1:12">
      <c r="A59" s="179"/>
      <c r="B59" s="180"/>
      <c r="C59" s="181"/>
      <c r="D59" s="181"/>
      <c r="E59" s="267"/>
      <c r="F59" s="267"/>
      <c r="G59" s="171"/>
      <c r="H59" s="171"/>
      <c r="I59" s="16"/>
      <c r="J59" s="273"/>
      <c r="K59" s="16"/>
      <c r="L59" s="16"/>
    </row>
    <row r="60" spans="1:12">
      <c r="A60" s="179"/>
      <c r="B60" s="180"/>
      <c r="C60" s="181"/>
      <c r="D60" s="181"/>
      <c r="E60" s="267"/>
      <c r="F60" s="267"/>
      <c r="G60" s="171"/>
      <c r="H60" s="171"/>
      <c r="I60" s="186"/>
      <c r="J60" s="273"/>
      <c r="K60" s="16"/>
      <c r="L60" s="16"/>
    </row>
    <row r="61" spans="1:12">
      <c r="A61" s="179"/>
      <c r="B61" s="180"/>
      <c r="C61" s="181"/>
      <c r="D61" s="181"/>
      <c r="E61" s="267"/>
      <c r="F61" s="267"/>
      <c r="G61" s="171"/>
      <c r="H61" s="171"/>
      <c r="I61" s="186"/>
      <c r="J61" s="273"/>
      <c r="K61" s="16"/>
      <c r="L61" s="16"/>
    </row>
    <row r="62" spans="1:12">
      <c r="A62" s="179"/>
      <c r="B62" s="180"/>
      <c r="C62" s="181"/>
      <c r="D62" s="181"/>
      <c r="E62" s="267"/>
      <c r="F62" s="267"/>
      <c r="G62" s="171"/>
      <c r="H62" s="171"/>
      <c r="I62" s="186"/>
      <c r="J62" s="273"/>
      <c r="K62" s="16"/>
      <c r="L62" s="16"/>
    </row>
    <row r="63" spans="1:12">
      <c r="A63" s="179"/>
      <c r="B63" s="180"/>
      <c r="C63" s="181"/>
      <c r="D63" s="181"/>
      <c r="E63" s="267"/>
      <c r="F63" s="267"/>
      <c r="G63" s="171"/>
      <c r="H63" s="171"/>
      <c r="I63" s="16"/>
      <c r="J63" s="273"/>
      <c r="K63" s="16"/>
      <c r="L63" s="16"/>
    </row>
  </sheetData>
  <mergeCells count="1">
    <mergeCell ref="K1:L1"/>
  </mergeCells>
  <hyperlinks>
    <hyperlink ref="I2" r:id="rId1" xr:uid="{EB5E2253-AA92-4033-9679-17BDDF015947}"/>
    <hyperlink ref="I6" r:id="rId2" xr:uid="{57FFDB95-2142-44F2-9CB4-D30144E84499}"/>
    <hyperlink ref="I9" r:id="rId3" xr:uid="{6FEAEEF1-19DC-43FB-B4BB-C193CF82A636}"/>
    <hyperlink ref="I12" r:id="rId4" xr:uid="{F5C7F7D4-53C9-4CF6-8CA8-72CFA8C4D1BC}"/>
    <hyperlink ref="I13" r:id="rId5" xr:uid="{604F0C0B-14D9-460E-ACBE-28F6A8B378D2}"/>
    <hyperlink ref="I15" r:id="rId6" xr:uid="{B3BF9BAF-E6F6-4818-9085-FCFA1C98A1EE}"/>
    <hyperlink ref="I17" r:id="rId7" xr:uid="{2311A241-9577-4966-8D03-3AB4C7B0480B}"/>
    <hyperlink ref="I19" r:id="rId8" xr:uid="{D85E41F8-CBAE-4F82-A190-712222AEDC22}"/>
    <hyperlink ref="I21" r:id="rId9" xr:uid="{3E90B9C7-2FB6-4C5E-B21F-85040CF0E297}"/>
    <hyperlink ref="I23" r:id="rId10" xr:uid="{B9BF0484-9405-4D1C-BBFD-AFAD66A61AA7}"/>
    <hyperlink ref="I22" r:id="rId11" xr:uid="{24FD8FC5-3AA7-4C94-AC68-2CE6258FF3EA}"/>
    <hyperlink ref="I29" r:id="rId12" xr:uid="{0B0ACFF2-E214-490D-8998-DF8114AF40E5}"/>
    <hyperlink ref="I25" r:id="rId13" xr:uid="{8B2D918E-E767-409B-8E23-43811A193EDB}"/>
    <hyperlink ref="I26" r:id="rId14" xr:uid="{3DE9CDD3-EFE9-444E-B2B1-0BB415A5BACE}"/>
    <hyperlink ref="I27" r:id="rId15" xr:uid="{EB7F349E-3A3E-48AF-B122-99F3DE4AABE9}"/>
    <hyperlink ref="I30" r:id="rId16" xr:uid="{B927355B-3D79-4BEA-B8FD-8AFA818833F7}"/>
    <hyperlink ref="I32" r:id="rId17" xr:uid="{4AF8474E-DDD0-417A-814F-BEECD01D6166}"/>
    <hyperlink ref="I33" r:id="rId18" xr:uid="{E4943E92-B2E0-4355-82A4-D4C13D4D2E71}"/>
    <hyperlink ref="I35" r:id="rId19" xr:uid="{24E97841-145D-4FA8-8CD9-2515D99B420F}"/>
    <hyperlink ref="I38" r:id="rId20" xr:uid="{B2D7A5EC-824B-4C98-B32B-725D1431CA43}"/>
    <hyperlink ref="I39" r:id="rId21" xr:uid="{F0C4DA54-B9C2-4A75-B330-1E23E3A9FBDC}"/>
    <hyperlink ref="I41" r:id="rId22" xr:uid="{C3A1C0BE-488E-49D5-8A12-7EE1B1A0A185}"/>
    <hyperlink ref="I45" r:id="rId23" xr:uid="{B88EB616-F82C-478E-B1E0-7C595DF7E44E}"/>
    <hyperlink ref="I46" r:id="rId24" xr:uid="{074892CC-0E8A-4F16-9B1E-FCFE0B191BB2}"/>
  </hyperlinks>
  <pageMargins left="0.7" right="0.7" top="0.75" bottom="0.75" header="0.3" footer="0.3"/>
  <pageSetup orientation="portrait" r:id="rId2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B20E7-E206-4605-AF0D-B4A6EE87391D}">
  <dimension ref="A1:I48"/>
  <sheetViews>
    <sheetView workbookViewId="0">
      <selection activeCell="E3" sqref="E3"/>
    </sheetView>
  </sheetViews>
  <sheetFormatPr defaultColWidth="8.83203125" defaultRowHeight="15.5"/>
  <cols>
    <col min="1" max="1" width="3.4140625" style="64" bestFit="1" customWidth="1"/>
    <col min="2" max="2" width="18.5" style="65" bestFit="1" customWidth="1"/>
    <col min="3" max="3" width="16.83203125" style="71" bestFit="1" customWidth="1"/>
    <col min="4" max="4" width="7" bestFit="1" customWidth="1"/>
    <col min="5" max="5" width="17" customWidth="1"/>
    <col min="6" max="6" width="59" customWidth="1"/>
  </cols>
  <sheetData>
    <row r="1" spans="1:9" ht="29.5" thickBot="1">
      <c r="A1" s="62" t="s">
        <v>18</v>
      </c>
      <c r="B1" s="63" t="s">
        <v>1</v>
      </c>
      <c r="C1" s="70" t="s">
        <v>161</v>
      </c>
      <c r="D1" s="18" t="s">
        <v>37</v>
      </c>
      <c r="E1" s="19" t="s">
        <v>38</v>
      </c>
      <c r="F1" s="304" t="s">
        <v>159</v>
      </c>
      <c r="G1" t="s">
        <v>0</v>
      </c>
      <c r="H1" t="s">
        <v>165</v>
      </c>
    </row>
    <row r="2" spans="1:9">
      <c r="A2" s="64">
        <v>1</v>
      </c>
      <c r="B2" s="65" t="s">
        <v>109</v>
      </c>
      <c r="C2" s="73">
        <f>7-(6.2*365.25*(2019-2014))/Variables!C8</f>
        <v>6.9292328125000004</v>
      </c>
      <c r="D2" s="61">
        <v>1</v>
      </c>
      <c r="E2" s="72" t="s">
        <v>158</v>
      </c>
      <c r="F2" s="72" t="s">
        <v>162</v>
      </c>
      <c r="G2" s="74" t="s">
        <v>163</v>
      </c>
    </row>
    <row r="3" spans="1:9" ht="46.5">
      <c r="A3" s="64">
        <v>2</v>
      </c>
      <c r="B3" s="65" t="s">
        <v>110</v>
      </c>
      <c r="C3" s="71">
        <v>0</v>
      </c>
      <c r="D3" s="72">
        <v>2</v>
      </c>
      <c r="E3" s="248" t="s">
        <v>259</v>
      </c>
      <c r="F3" s="249" t="s">
        <v>256</v>
      </c>
      <c r="G3" s="27" t="s">
        <v>257</v>
      </c>
      <c r="H3" t="s">
        <v>258</v>
      </c>
    </row>
    <row r="4" spans="1:9">
      <c r="A4" s="64">
        <v>3</v>
      </c>
      <c r="B4" s="65" t="s">
        <v>111</v>
      </c>
      <c r="C4" s="71">
        <v>0</v>
      </c>
      <c r="D4" s="17">
        <v>1</v>
      </c>
      <c r="E4" s="72" t="s">
        <v>160</v>
      </c>
      <c r="F4" t="s">
        <v>164</v>
      </c>
      <c r="G4">
        <v>2019</v>
      </c>
      <c r="I4" s="75" t="s">
        <v>172</v>
      </c>
    </row>
    <row r="5" spans="1:9">
      <c r="A5" s="64">
        <v>4</v>
      </c>
      <c r="B5" s="65" t="s">
        <v>112</v>
      </c>
      <c r="C5" s="71">
        <v>0</v>
      </c>
      <c r="D5" s="17">
        <v>1</v>
      </c>
      <c r="E5" s="72" t="s">
        <v>168</v>
      </c>
      <c r="F5" s="72" t="s">
        <v>167</v>
      </c>
      <c r="G5">
        <v>2011</v>
      </c>
      <c r="H5" t="s">
        <v>166</v>
      </c>
    </row>
    <row r="6" spans="1:9">
      <c r="A6" s="64">
        <v>5</v>
      </c>
      <c r="B6" s="65" t="s">
        <v>113</v>
      </c>
      <c r="C6" s="79">
        <v>0</v>
      </c>
      <c r="D6" s="17">
        <v>0</v>
      </c>
      <c r="E6" s="72"/>
      <c r="F6" s="23" t="s">
        <v>260</v>
      </c>
      <c r="G6">
        <v>2019</v>
      </c>
      <c r="H6" t="s">
        <v>261</v>
      </c>
    </row>
    <row r="7" spans="1:9">
      <c r="A7" s="64">
        <v>6</v>
      </c>
      <c r="B7" s="65" t="s">
        <v>114</v>
      </c>
      <c r="C7" s="71">
        <f>45-25.5</f>
        <v>19.5</v>
      </c>
      <c r="D7" s="17">
        <v>1</v>
      </c>
      <c r="E7" s="72" t="s">
        <v>169</v>
      </c>
      <c r="F7" s="72" t="s">
        <v>170</v>
      </c>
      <c r="G7">
        <v>2015</v>
      </c>
    </row>
    <row r="8" spans="1:9">
      <c r="A8" s="64">
        <v>7</v>
      </c>
      <c r="B8" s="65" t="s">
        <v>115</v>
      </c>
      <c r="C8" s="71">
        <v>0</v>
      </c>
      <c r="D8" s="17">
        <v>2</v>
      </c>
      <c r="E8" s="75" t="s">
        <v>174</v>
      </c>
      <c r="F8" s="23" t="s">
        <v>175</v>
      </c>
      <c r="G8" t="s">
        <v>176</v>
      </c>
      <c r="H8" t="s">
        <v>177</v>
      </c>
    </row>
    <row r="9" spans="1:9">
      <c r="A9" s="64">
        <v>8</v>
      </c>
      <c r="B9" s="65" t="s">
        <v>116</v>
      </c>
      <c r="C9" s="79">
        <v>0</v>
      </c>
      <c r="D9" s="248">
        <v>0</v>
      </c>
      <c r="H9" t="s">
        <v>262</v>
      </c>
    </row>
    <row r="10" spans="1:9">
      <c r="A10" s="64">
        <v>9</v>
      </c>
      <c r="B10" s="65" t="s">
        <v>117</v>
      </c>
      <c r="C10" s="79">
        <v>0</v>
      </c>
      <c r="D10" s="17">
        <v>0</v>
      </c>
      <c r="E10" s="17"/>
      <c r="F10" s="23" t="s">
        <v>178</v>
      </c>
      <c r="G10">
        <v>2017</v>
      </c>
    </row>
    <row r="11" spans="1:9">
      <c r="A11" s="64">
        <v>10</v>
      </c>
      <c r="B11" s="65" t="s">
        <v>118</v>
      </c>
      <c r="C11" s="79">
        <v>94</v>
      </c>
      <c r="D11" s="248">
        <v>1</v>
      </c>
      <c r="E11" t="s">
        <v>264</v>
      </c>
      <c r="F11" s="23" t="s">
        <v>263</v>
      </c>
    </row>
    <row r="12" spans="1:9">
      <c r="A12" s="64">
        <v>11</v>
      </c>
      <c r="B12" s="65" t="s">
        <v>119</v>
      </c>
      <c r="D12" s="17"/>
      <c r="E12" s="17"/>
      <c r="F12" s="17"/>
    </row>
    <row r="13" spans="1:9">
      <c r="A13" s="64">
        <v>12</v>
      </c>
      <c r="B13" s="65" t="s">
        <v>120</v>
      </c>
      <c r="D13" s="17"/>
      <c r="E13" s="17"/>
      <c r="F13" s="17"/>
    </row>
    <row r="14" spans="1:9">
      <c r="A14" s="64">
        <v>13</v>
      </c>
      <c r="B14" s="65" t="s">
        <v>121</v>
      </c>
      <c r="C14" s="250">
        <f>13</f>
        <v>13</v>
      </c>
      <c r="D14" s="17">
        <v>1</v>
      </c>
      <c r="E14" s="248" t="s">
        <v>266</v>
      </c>
      <c r="F14" s="23" t="s">
        <v>265</v>
      </c>
      <c r="G14">
        <v>2015</v>
      </c>
      <c r="H14" t="s">
        <v>267</v>
      </c>
    </row>
    <row r="15" spans="1:9">
      <c r="A15" s="64">
        <v>14</v>
      </c>
      <c r="B15" s="65" t="s">
        <v>122</v>
      </c>
      <c r="D15" s="17"/>
      <c r="E15" s="17"/>
      <c r="F15" s="17"/>
    </row>
    <row r="16" spans="1:9">
      <c r="A16" s="64">
        <v>15</v>
      </c>
      <c r="B16" s="65" t="s">
        <v>123</v>
      </c>
      <c r="D16" s="17"/>
      <c r="E16" s="17"/>
      <c r="F16" s="17"/>
    </row>
    <row r="17" spans="1:8">
      <c r="A17" s="64">
        <v>16</v>
      </c>
      <c r="B17" s="65" t="s">
        <v>124</v>
      </c>
      <c r="C17" s="71">
        <f>44+121</f>
        <v>165</v>
      </c>
      <c r="D17" s="17">
        <v>2</v>
      </c>
      <c r="E17" t="s">
        <v>179</v>
      </c>
      <c r="F17" s="23" t="s">
        <v>181</v>
      </c>
      <c r="G17">
        <v>2011</v>
      </c>
      <c r="H17" t="s">
        <v>180</v>
      </c>
    </row>
    <row r="18" spans="1:8">
      <c r="A18" s="64">
        <v>17</v>
      </c>
      <c r="B18" s="65" t="s">
        <v>125</v>
      </c>
      <c r="C18" s="71">
        <v>0</v>
      </c>
      <c r="D18" s="17">
        <v>0</v>
      </c>
      <c r="E18" s="17"/>
      <c r="F18" s="23" t="s">
        <v>182</v>
      </c>
      <c r="G18">
        <v>2019</v>
      </c>
    </row>
    <row r="19" spans="1:8">
      <c r="A19" s="64">
        <v>18</v>
      </c>
      <c r="B19" s="65" t="s">
        <v>126</v>
      </c>
      <c r="C19" s="71">
        <v>0.8</v>
      </c>
      <c r="D19" s="17">
        <v>1</v>
      </c>
      <c r="E19" s="75" t="s">
        <v>185</v>
      </c>
      <c r="F19" s="23" t="s">
        <v>183</v>
      </c>
      <c r="G19">
        <v>2014</v>
      </c>
      <c r="H19" t="s">
        <v>184</v>
      </c>
    </row>
    <row r="20" spans="1:8">
      <c r="A20" s="64">
        <v>19</v>
      </c>
      <c r="B20" s="65" t="s">
        <v>127</v>
      </c>
      <c r="C20" s="71">
        <v>0</v>
      </c>
      <c r="D20" s="17">
        <v>1</v>
      </c>
      <c r="E20" s="75" t="s">
        <v>187</v>
      </c>
      <c r="F20" s="23" t="s">
        <v>186</v>
      </c>
      <c r="H20" t="s">
        <v>166</v>
      </c>
    </row>
    <row r="21" spans="1:8">
      <c r="A21" s="64">
        <v>20</v>
      </c>
      <c r="B21" s="65" t="s">
        <v>128</v>
      </c>
      <c r="C21" s="79">
        <v>0</v>
      </c>
      <c r="D21" s="17">
        <v>1</v>
      </c>
      <c r="E21" s="75" t="s">
        <v>189</v>
      </c>
      <c r="F21" s="23" t="s">
        <v>188</v>
      </c>
      <c r="H21" t="s">
        <v>166</v>
      </c>
    </row>
    <row r="22" spans="1:8">
      <c r="A22" s="64">
        <v>21</v>
      </c>
      <c r="B22" s="65" t="s">
        <v>129</v>
      </c>
      <c r="C22" s="79">
        <v>0</v>
      </c>
      <c r="D22" s="17">
        <v>3</v>
      </c>
      <c r="E22" s="248" t="s">
        <v>270</v>
      </c>
      <c r="F22" s="23" t="s">
        <v>268</v>
      </c>
      <c r="G22">
        <v>2018</v>
      </c>
      <c r="H22" t="s">
        <v>269</v>
      </c>
    </row>
    <row r="23" spans="1:8">
      <c r="A23" s="64">
        <v>22</v>
      </c>
      <c r="B23" s="65" t="s">
        <v>130</v>
      </c>
      <c r="C23" s="73">
        <f>28+16+12.8+3.2+9.84+55+28+16-('Waste per capita'!E23*Population!C23)/(Variables!C8*1000)</f>
        <v>148.91729776028887</v>
      </c>
      <c r="D23" s="17">
        <v>8</v>
      </c>
      <c r="E23" s="251" t="s">
        <v>272</v>
      </c>
      <c r="F23" s="251" t="s">
        <v>273</v>
      </c>
      <c r="G23">
        <v>2007</v>
      </c>
      <c r="H23" t="s">
        <v>271</v>
      </c>
    </row>
    <row r="24" spans="1:8">
      <c r="A24" s="64">
        <v>23</v>
      </c>
      <c r="B24" s="65" t="s">
        <v>131</v>
      </c>
      <c r="C24" s="79">
        <v>0</v>
      </c>
      <c r="D24" s="248">
        <v>0</v>
      </c>
      <c r="E24" s="248" t="s">
        <v>274</v>
      </c>
      <c r="F24" s="252" t="s">
        <v>275</v>
      </c>
      <c r="G24">
        <v>2015</v>
      </c>
    </row>
    <row r="25" spans="1:8">
      <c r="A25" s="64">
        <v>24</v>
      </c>
      <c r="B25" s="65" t="s">
        <v>132</v>
      </c>
      <c r="C25" s="71">
        <v>0</v>
      </c>
      <c r="D25" s="17">
        <v>1</v>
      </c>
      <c r="E25" s="17" t="s">
        <v>191</v>
      </c>
      <c r="F25" s="23" t="s">
        <v>190</v>
      </c>
      <c r="H25" t="s">
        <v>166</v>
      </c>
    </row>
    <row r="26" spans="1:8">
      <c r="A26" s="64">
        <v>25</v>
      </c>
      <c r="B26" s="65" t="s">
        <v>133</v>
      </c>
      <c r="C26" s="17">
        <v>23.88</v>
      </c>
      <c r="D26" s="248">
        <v>1</v>
      </c>
      <c r="E26" s="248" t="s">
        <v>277</v>
      </c>
      <c r="F26" s="23" t="s">
        <v>276</v>
      </c>
      <c r="G26">
        <v>2019</v>
      </c>
    </row>
    <row r="27" spans="1:8">
      <c r="A27" s="64">
        <v>26</v>
      </c>
      <c r="B27" s="65" t="s">
        <v>134</v>
      </c>
      <c r="C27" s="71">
        <v>0</v>
      </c>
      <c r="D27" s="17">
        <v>0</v>
      </c>
      <c r="E27" s="17"/>
      <c r="F27" s="23" t="s">
        <v>192</v>
      </c>
      <c r="H27" t="s">
        <v>193</v>
      </c>
    </row>
    <row r="28" spans="1:8">
      <c r="A28" s="64">
        <v>27</v>
      </c>
      <c r="B28" s="65" t="s">
        <v>135</v>
      </c>
      <c r="C28" s="71">
        <v>0</v>
      </c>
      <c r="D28" s="17">
        <v>0</v>
      </c>
      <c r="E28" s="17"/>
      <c r="F28" s="23" t="s">
        <v>194</v>
      </c>
    </row>
    <row r="29" spans="1:8">
      <c r="A29" s="64">
        <v>28</v>
      </c>
      <c r="B29" s="65" t="s">
        <v>136</v>
      </c>
      <c r="C29" s="254">
        <v>0</v>
      </c>
      <c r="D29" s="255">
        <v>0</v>
      </c>
      <c r="E29" s="248" t="s">
        <v>274</v>
      </c>
      <c r="F29" s="253" t="s">
        <v>278</v>
      </c>
    </row>
    <row r="30" spans="1:8">
      <c r="A30" s="64">
        <v>29</v>
      </c>
      <c r="B30" s="65" t="s">
        <v>137</v>
      </c>
      <c r="C30" s="79">
        <v>5</v>
      </c>
      <c r="D30" s="17">
        <v>1</v>
      </c>
      <c r="E30" s="75" t="s">
        <v>196</v>
      </c>
      <c r="F30" s="23" t="s">
        <v>195</v>
      </c>
      <c r="G30">
        <v>2019</v>
      </c>
    </row>
    <row r="31" spans="1:8">
      <c r="A31" s="64">
        <v>30</v>
      </c>
      <c r="B31" s="65" t="s">
        <v>138</v>
      </c>
      <c r="C31" s="79">
        <v>0</v>
      </c>
      <c r="D31" s="17">
        <v>0</v>
      </c>
      <c r="E31" s="17"/>
      <c r="F31" s="17" t="s">
        <v>197</v>
      </c>
      <c r="G31">
        <v>2012</v>
      </c>
    </row>
    <row r="32" spans="1:8">
      <c r="A32" s="64">
        <v>31</v>
      </c>
      <c r="B32" s="65" t="s">
        <v>139</v>
      </c>
      <c r="C32" s="79">
        <v>0</v>
      </c>
      <c r="D32" s="17">
        <v>0</v>
      </c>
      <c r="E32" s="248" t="s">
        <v>274</v>
      </c>
      <c r="F32" s="23" t="s">
        <v>279</v>
      </c>
      <c r="G32">
        <v>2009</v>
      </c>
      <c r="H32" t="s">
        <v>280</v>
      </c>
    </row>
    <row r="33" spans="1:8">
      <c r="A33" s="64">
        <v>32</v>
      </c>
      <c r="B33" s="65" t="s">
        <v>140</v>
      </c>
      <c r="C33" s="79">
        <v>10</v>
      </c>
      <c r="D33" s="17">
        <v>1</v>
      </c>
      <c r="E33" s="75" t="s">
        <v>199</v>
      </c>
      <c r="F33" s="23" t="s">
        <v>198</v>
      </c>
      <c r="G33">
        <v>2012</v>
      </c>
    </row>
    <row r="34" spans="1:8">
      <c r="A34" s="64">
        <v>33</v>
      </c>
      <c r="B34" s="65" t="s">
        <v>141</v>
      </c>
      <c r="C34" s="254">
        <v>0</v>
      </c>
      <c r="D34" s="255">
        <v>0</v>
      </c>
      <c r="E34" s="248" t="s">
        <v>274</v>
      </c>
      <c r="F34" s="23" t="s">
        <v>281</v>
      </c>
      <c r="G34">
        <v>2017</v>
      </c>
      <c r="H34" t="s">
        <v>258</v>
      </c>
    </row>
    <row r="35" spans="1:8">
      <c r="A35" s="64">
        <v>34</v>
      </c>
      <c r="B35" s="65" t="s">
        <v>142</v>
      </c>
      <c r="C35" s="79">
        <v>0</v>
      </c>
      <c r="D35" s="17">
        <v>0</v>
      </c>
      <c r="E35" s="248" t="s">
        <v>283</v>
      </c>
      <c r="F35" s="23" t="s">
        <v>282</v>
      </c>
      <c r="H35" t="s">
        <v>258</v>
      </c>
    </row>
    <row r="36" spans="1:8">
      <c r="A36" s="64">
        <v>35</v>
      </c>
      <c r="B36" s="65" t="s">
        <v>143</v>
      </c>
      <c r="C36" s="254">
        <v>0</v>
      </c>
      <c r="D36" s="255">
        <v>0</v>
      </c>
      <c r="E36" s="248" t="s">
        <v>274</v>
      </c>
      <c r="F36" s="253" t="s">
        <v>278</v>
      </c>
    </row>
    <row r="37" spans="1:8">
      <c r="A37" s="64">
        <v>36</v>
      </c>
      <c r="B37" s="65" t="s">
        <v>144</v>
      </c>
      <c r="C37" s="254">
        <v>0</v>
      </c>
      <c r="D37" s="255">
        <v>0</v>
      </c>
      <c r="E37" s="248" t="s">
        <v>274</v>
      </c>
      <c r="F37" s="253" t="s">
        <v>278</v>
      </c>
    </row>
    <row r="38" spans="1:8" ht="43.5">
      <c r="A38" s="64">
        <v>37</v>
      </c>
      <c r="B38" s="65" t="s">
        <v>145</v>
      </c>
      <c r="C38" s="259">
        <v>0</v>
      </c>
      <c r="D38" s="258">
        <v>0</v>
      </c>
      <c r="E38" s="248" t="s">
        <v>284</v>
      </c>
      <c r="F38" s="256" t="s">
        <v>286</v>
      </c>
      <c r="H38" t="s">
        <v>285</v>
      </c>
    </row>
    <row r="39" spans="1:8">
      <c r="A39" s="64">
        <v>38</v>
      </c>
      <c r="B39" s="65" t="s">
        <v>146</v>
      </c>
      <c r="C39" s="73">
        <f>2+14-(350*365*4)/Variables!C8</f>
        <v>12.80625</v>
      </c>
      <c r="D39" s="17">
        <v>2</v>
      </c>
      <c r="E39" s="248" t="s">
        <v>288</v>
      </c>
      <c r="F39" s="23" t="s">
        <v>287</v>
      </c>
      <c r="G39">
        <v>2016</v>
      </c>
      <c r="H39" t="s">
        <v>289</v>
      </c>
    </row>
    <row r="40" spans="1:8">
      <c r="A40" s="64">
        <v>39</v>
      </c>
      <c r="B40" s="65" t="s">
        <v>147</v>
      </c>
      <c r="C40" s="254">
        <v>0</v>
      </c>
      <c r="D40" s="255">
        <v>0</v>
      </c>
      <c r="E40" s="248" t="s">
        <v>274</v>
      </c>
      <c r="F40" s="253" t="s">
        <v>278</v>
      </c>
    </row>
    <row r="41" spans="1:8">
      <c r="A41" s="64">
        <v>40</v>
      </c>
      <c r="B41" s="65" t="s">
        <v>148</v>
      </c>
      <c r="C41" s="257">
        <v>0</v>
      </c>
      <c r="D41" s="258">
        <v>1</v>
      </c>
      <c r="F41" s="23" t="s">
        <v>290</v>
      </c>
      <c r="G41">
        <v>2014</v>
      </c>
      <c r="H41" t="s">
        <v>258</v>
      </c>
    </row>
    <row r="42" spans="1:8">
      <c r="A42" s="64">
        <v>41</v>
      </c>
      <c r="B42" s="65" t="s">
        <v>149</v>
      </c>
      <c r="C42" s="254">
        <v>0</v>
      </c>
      <c r="D42" s="255">
        <v>0</v>
      </c>
      <c r="E42" s="248" t="s">
        <v>274</v>
      </c>
      <c r="F42" s="253" t="s">
        <v>278</v>
      </c>
    </row>
    <row r="43" spans="1:8">
      <c r="A43" s="64">
        <v>42</v>
      </c>
      <c r="B43" s="65" t="s">
        <v>150</v>
      </c>
      <c r="C43" s="254">
        <v>0</v>
      </c>
      <c r="D43" s="255">
        <v>0</v>
      </c>
      <c r="E43" s="248" t="s">
        <v>274</v>
      </c>
      <c r="F43" s="253" t="s">
        <v>278</v>
      </c>
    </row>
    <row r="44" spans="1:8">
      <c r="D44" s="17"/>
      <c r="E44" s="17"/>
      <c r="F44" s="17"/>
    </row>
    <row r="45" spans="1:8">
      <c r="D45" s="17"/>
      <c r="E45" s="17"/>
      <c r="F45" s="17"/>
    </row>
    <row r="46" spans="1:8">
      <c r="D46" s="17"/>
      <c r="E46" s="17"/>
      <c r="F46" s="17"/>
    </row>
    <row r="47" spans="1:8">
      <c r="D47" s="17"/>
      <c r="E47" s="17"/>
      <c r="F47" s="17"/>
    </row>
    <row r="48" spans="1:8">
      <c r="D48" s="17"/>
      <c r="E48" s="17"/>
      <c r="F48" s="17"/>
    </row>
  </sheetData>
  <hyperlinks>
    <hyperlink ref="F8" r:id="rId1" display="http://rasayanjournal.co.in/vol-9/issue-2/23_Vol.9, No.2, 287-293, April-June, 2016, RJC-1412.pdf" xr:uid="{D588E834-F9A3-498F-8CD3-FB1FC0B31FA5}"/>
    <hyperlink ref="F10" r:id="rId2" xr:uid="{0CB08D7D-DAE4-4204-AB9A-3FE834CCB7AD}"/>
    <hyperlink ref="F17" r:id="rId3" xr:uid="{E8C3B848-8018-4666-A61B-07146BFD94E7}"/>
    <hyperlink ref="F18" r:id="rId4" xr:uid="{8418185F-3379-48FC-A5DE-DA9107063233}"/>
    <hyperlink ref="F19" r:id="rId5" display="https://www.sipmiunagaland.com/Semi Annual SSMR - Jul-Dec 2014.pdf" xr:uid="{95AB1FDC-1010-4079-936C-2E810BFFD1CE}"/>
    <hyperlink ref="F20" r:id="rId6" xr:uid="{8BEADA7E-F58B-4CAB-9BA5-A2B151449B0D}"/>
    <hyperlink ref="F21" r:id="rId7" xr:uid="{AABF6C8F-F865-46DA-8D82-FB07079150D9}"/>
    <hyperlink ref="F25" r:id="rId8" xr:uid="{3DBB55D1-099F-475C-9A5A-4BF58728DE24}"/>
    <hyperlink ref="F27" r:id="rId9" xr:uid="{A8C555CC-C68D-40A5-99BA-C0047756CD10}"/>
    <hyperlink ref="F28" r:id="rId10" xr:uid="{23BE0E65-8483-4FF8-BC37-E9076EA90534}"/>
    <hyperlink ref="F30" r:id="rId11" xr:uid="{85D31D81-0E79-4B7B-BB6C-AE20B02727DB}"/>
    <hyperlink ref="F33" r:id="rId12" xr:uid="{0C21C7FF-500B-415E-B073-209343330AB8}"/>
    <hyperlink ref="F3" r:id="rId13" display="https://www.downtoearth.org.in/feature/two-years-of-swachh-bharat-mission-55883" xr:uid="{F3E24EE8-0560-402A-AA0D-C8CCBFEA8C48}"/>
    <hyperlink ref="F6" r:id="rId14" xr:uid="{87AEADD7-2952-4EC1-80A3-AFD4A5193715}"/>
    <hyperlink ref="F11" r:id="rId15" xr:uid="{1A4C907E-03C2-43E4-9909-A13E97C7AC15}"/>
    <hyperlink ref="F14" r:id="rId16" xr:uid="{67D6BD12-A3A7-487A-8CFB-CC88446CE658}"/>
    <hyperlink ref="F22" r:id="rId17" xr:uid="{CFF56F6B-995F-4582-846E-C96132F27960}"/>
    <hyperlink ref="F26" r:id="rId18" display="https://tcpd.py.gov.in/sites/default/files/FINAL REPORT -CDP-2036 _6-11-2019.pdf" xr:uid="{191D4A4B-8487-43CE-AEFC-E280EF9C6AFC}"/>
    <hyperlink ref="F32" r:id="rId19" xr:uid="{D253BDBA-1541-4BF4-A308-530933B83E7D}"/>
    <hyperlink ref="F34" r:id="rId20" xr:uid="{D31745C1-8BD7-481E-9969-ABF936B1A4EA}"/>
    <hyperlink ref="F35" r:id="rId21" xr:uid="{115F5DDD-BC0B-4ECD-942D-370D53D68BA4}"/>
    <hyperlink ref="F39" r:id="rId22" xr:uid="{97D48CA3-BAB5-4A5E-BA19-9D23988C5FB7}"/>
    <hyperlink ref="F41" r:id="rId23" xr:uid="{B0158753-A443-4D22-8C46-283C7B972FAC}"/>
  </hyperlinks>
  <pageMargins left="0.7" right="0.7" top="0.75" bottom="0.75" header="0.3" footer="0.3"/>
  <pageSetup orientation="portrait" r:id="rId2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F26F-A88F-45B0-8D83-24625190E750}">
  <dimension ref="A1:AB1000"/>
  <sheetViews>
    <sheetView workbookViewId="0"/>
  </sheetViews>
  <sheetFormatPr defaultColWidth="11.33203125" defaultRowHeight="14.5"/>
  <cols>
    <col min="1" max="1" width="3.4140625" style="134" bestFit="1" customWidth="1"/>
    <col min="2" max="2" width="17.1640625" style="135" bestFit="1" customWidth="1"/>
    <col min="3" max="3" width="12.4140625" style="67" bestFit="1" customWidth="1"/>
    <col min="4" max="16384" width="11.33203125" style="133"/>
  </cols>
  <sheetData>
    <row r="1" spans="1:28" ht="15" thickBot="1">
      <c r="A1" s="62" t="s">
        <v>18</v>
      </c>
      <c r="B1" s="63" t="s">
        <v>1</v>
      </c>
      <c r="C1" s="66">
        <v>2011</v>
      </c>
      <c r="D1" s="131">
        <v>2019</v>
      </c>
      <c r="E1" s="131">
        <v>2020</v>
      </c>
      <c r="F1" s="131">
        <v>2021</v>
      </c>
      <c r="G1" s="131">
        <v>2022</v>
      </c>
      <c r="H1" s="131">
        <v>2023</v>
      </c>
      <c r="I1" s="131">
        <v>2024</v>
      </c>
      <c r="J1" s="131">
        <v>2025</v>
      </c>
      <c r="K1" s="131">
        <v>2026</v>
      </c>
      <c r="L1" s="131">
        <v>2027</v>
      </c>
      <c r="M1" s="131">
        <v>2028</v>
      </c>
      <c r="N1" s="131">
        <v>2029</v>
      </c>
      <c r="O1" s="131">
        <v>2030</v>
      </c>
      <c r="P1" s="131"/>
      <c r="Q1" s="131"/>
      <c r="R1" s="131"/>
      <c r="S1" s="14"/>
      <c r="T1" s="132"/>
      <c r="U1" s="131"/>
      <c r="V1" s="131"/>
      <c r="W1" s="131"/>
      <c r="X1" s="131"/>
      <c r="Y1" s="131"/>
      <c r="Z1" s="131"/>
      <c r="AA1" s="131"/>
      <c r="AB1" s="131"/>
    </row>
    <row r="2" spans="1:28" ht="14.25" customHeight="1">
      <c r="A2" s="134">
        <v>1</v>
      </c>
      <c r="B2" s="135" t="s">
        <v>109</v>
      </c>
      <c r="C2" s="67">
        <v>400004</v>
      </c>
      <c r="D2" s="136">
        <f>$C2*POWER(SUM(Variables!$C$14,1),D$1-$C$1)</f>
        <v>482442.94573535857</v>
      </c>
      <c r="E2" s="136">
        <f>$C2*POWER(SUM(Variables!$C$14,1),E$1-$C$1)</f>
        <v>493876.84354928654</v>
      </c>
      <c r="F2" s="136">
        <f>$C2*POWER(SUM(Variables!$C$14,1),F$1-$C$1)</f>
        <v>505581.7247414047</v>
      </c>
      <c r="G2" s="136">
        <f>$C2*POWER(SUM(Variables!$C$14,1),G$1-$C$1)</f>
        <v>517564.01161777606</v>
      </c>
      <c r="H2" s="136">
        <f>$C2*POWER(SUM(Variables!$C$14,1),H$1-$C$1)</f>
        <v>529830.27869311743</v>
      </c>
      <c r="I2" s="136">
        <f>$C2*POWER(SUM(Variables!$C$14,1),I$1-$C$1)</f>
        <v>542387.25629814435</v>
      </c>
      <c r="J2" s="136">
        <f>$C2*POWER(SUM(Variables!$C$14,1),J$1-$C$1)</f>
        <v>555241.83427241049</v>
      </c>
      <c r="K2" s="136">
        <f>$C2*POWER(SUM(Variables!$C$14,1),K$1-$C$1)</f>
        <v>568401.06574466662</v>
      </c>
      <c r="L2" s="136">
        <f>$C2*POWER(SUM(Variables!$C$14,1),L$1-$C$1)</f>
        <v>581872.17100281536</v>
      </c>
      <c r="M2" s="136">
        <f>$C2*POWER(SUM(Variables!$C$14,1),M$1-$C$1)</f>
        <v>595662.54145558202</v>
      </c>
      <c r="N2" s="136">
        <f>$C2*POWER(SUM(Variables!$C$14,1),N$1-$C$1)</f>
        <v>609779.74368807941</v>
      </c>
      <c r="O2" s="136">
        <f>$C2*POWER(SUM(Variables!$C$14,1),O$1-$C$1)</f>
        <v>624231.52361348702</v>
      </c>
      <c r="P2" s="136"/>
      <c r="Q2" s="80"/>
      <c r="R2" s="80"/>
      <c r="S2" s="15"/>
      <c r="T2" s="137"/>
      <c r="U2" s="80"/>
      <c r="V2" s="80"/>
      <c r="W2" s="80"/>
      <c r="X2" s="80"/>
      <c r="Y2" s="80"/>
      <c r="Z2" s="80"/>
      <c r="AA2" s="80"/>
      <c r="AB2" s="80"/>
    </row>
    <row r="3" spans="1:28" ht="14.25" customHeight="1">
      <c r="A3" s="134">
        <v>2</v>
      </c>
      <c r="B3" s="135" t="s">
        <v>110</v>
      </c>
      <c r="C3" s="67">
        <v>293416</v>
      </c>
      <c r="D3" s="136">
        <f>$C3*POWER(SUM(Variables!$C$14,1),D$1-$C$1)</f>
        <v>353887.65953811951</v>
      </c>
      <c r="E3" s="136">
        <f>$C3*POWER(SUM(Variables!$C$14,1),E$1-$C$1)</f>
        <v>362274.79706917296</v>
      </c>
      <c r="F3" s="136">
        <f>$C3*POWER(SUM(Variables!$C$14,1),F$1-$C$1)</f>
        <v>370860.70975971239</v>
      </c>
      <c r="G3" s="136">
        <f>$C3*POWER(SUM(Variables!$C$14,1),G$1-$C$1)</f>
        <v>379650.10858101764</v>
      </c>
      <c r="H3" s="136">
        <f>$C3*POWER(SUM(Variables!$C$14,1),H$1-$C$1)</f>
        <v>388647.81615438784</v>
      </c>
      <c r="I3" s="136">
        <f>$C3*POWER(SUM(Variables!$C$14,1),I$1-$C$1)</f>
        <v>397858.76939724683</v>
      </c>
      <c r="J3" s="136">
        <f>$C3*POWER(SUM(Variables!$C$14,1),J$1-$C$1)</f>
        <v>407288.0222319616</v>
      </c>
      <c r="K3" s="136">
        <f>$C3*POWER(SUM(Variables!$C$14,1),K$1-$C$1)</f>
        <v>416940.74835885921</v>
      </c>
      <c r="L3" s="136">
        <f>$C3*POWER(SUM(Variables!$C$14,1),L$1-$C$1)</f>
        <v>426822.24409496418</v>
      </c>
      <c r="M3" s="136">
        <f>$C3*POWER(SUM(Variables!$C$14,1),M$1-$C$1)</f>
        <v>436937.93128001486</v>
      </c>
      <c r="N3" s="136">
        <f>$C3*POWER(SUM(Variables!$C$14,1),N$1-$C$1)</f>
        <v>447293.36025135126</v>
      </c>
      <c r="O3" s="136">
        <f>$C3*POWER(SUM(Variables!$C$14,1),O$1-$C$1)</f>
        <v>457894.21288930834</v>
      </c>
      <c r="P3" s="136"/>
      <c r="Q3" s="80"/>
      <c r="R3" s="80"/>
      <c r="S3" s="136"/>
      <c r="T3" s="137"/>
      <c r="U3" s="80"/>
      <c r="V3" s="80"/>
      <c r="W3" s="80"/>
      <c r="X3" s="80"/>
      <c r="Y3" s="80"/>
      <c r="Z3" s="80"/>
      <c r="AA3" s="80"/>
      <c r="AB3" s="80"/>
    </row>
    <row r="4" spans="1:28" ht="14.25" customHeight="1">
      <c r="A4" s="134">
        <v>3</v>
      </c>
      <c r="B4" s="135" t="s">
        <v>111</v>
      </c>
      <c r="C4" s="67">
        <v>8443675</v>
      </c>
      <c r="D4" s="136">
        <f>$C4*POWER(SUM(Variables!$C$14,1),D$1-$C$1)</f>
        <v>10183876.760812402</v>
      </c>
      <c r="E4" s="136">
        <f>$C4*POWER(SUM(Variables!$C$14,1),E$1-$C$1)</f>
        <v>10425234.640043655</v>
      </c>
      <c r="F4" s="136">
        <f>$C4*POWER(SUM(Variables!$C$14,1),F$1-$C$1)</f>
        <v>10672312.70101269</v>
      </c>
      <c r="G4" s="136">
        <f>$C4*POWER(SUM(Variables!$C$14,1),G$1-$C$1)</f>
        <v>10925246.512026692</v>
      </c>
      <c r="H4" s="136">
        <f>$C4*POWER(SUM(Variables!$C$14,1),H$1-$C$1)</f>
        <v>11184174.854361728</v>
      </c>
      <c r="I4" s="136">
        <f>$C4*POWER(SUM(Variables!$C$14,1),I$1-$C$1)</f>
        <v>11449239.798410101</v>
      </c>
      <c r="J4" s="136">
        <f>$C4*POWER(SUM(Variables!$C$14,1),J$1-$C$1)</f>
        <v>11720586.781632422</v>
      </c>
      <c r="K4" s="136">
        <f>$C4*POWER(SUM(Variables!$C$14,1),K$1-$C$1)</f>
        <v>11998364.688357111</v>
      </c>
      <c r="L4" s="136">
        <f>$C4*POWER(SUM(Variables!$C$14,1),L$1-$C$1)</f>
        <v>12282725.931471176</v>
      </c>
      <c r="M4" s="136">
        <f>$C4*POWER(SUM(Variables!$C$14,1),M$1-$C$1)</f>
        <v>12573826.536047043</v>
      </c>
      <c r="N4" s="136">
        <f>$C4*POWER(SUM(Variables!$C$14,1),N$1-$C$1)</f>
        <v>12871826.22495136</v>
      </c>
      <c r="O4" s="136">
        <f>$C4*POWER(SUM(Variables!$C$14,1),O$1-$C$1)</f>
        <v>13176888.506482709</v>
      </c>
      <c r="P4" s="136"/>
      <c r="Q4" s="80"/>
      <c r="R4" s="80"/>
      <c r="S4" s="136"/>
      <c r="T4" s="137"/>
      <c r="U4" s="80"/>
      <c r="V4" s="80"/>
      <c r="W4" s="80"/>
      <c r="X4" s="80"/>
      <c r="Y4" s="80"/>
      <c r="Z4" s="80"/>
      <c r="AA4" s="80"/>
      <c r="AB4" s="80"/>
    </row>
    <row r="5" spans="1:28" ht="14.25" customHeight="1">
      <c r="A5" s="134">
        <v>4</v>
      </c>
      <c r="B5" s="135" t="s">
        <v>112</v>
      </c>
      <c r="C5" s="67">
        <v>1798218</v>
      </c>
      <c r="D5" s="136">
        <f>$C5*POWER(SUM(Variables!$C$14,1),D$1-$C$1)</f>
        <v>2168822.2842630199</v>
      </c>
      <c r="E5" s="136">
        <f>$C5*POWER(SUM(Variables!$C$14,1),E$1-$C$1)</f>
        <v>2220223.3724000533</v>
      </c>
      <c r="F5" s="136">
        <f>$C5*POWER(SUM(Variables!$C$14,1),F$1-$C$1)</f>
        <v>2272842.6663259347</v>
      </c>
      <c r="G5" s="136">
        <f>$C5*POWER(SUM(Variables!$C$14,1),G$1-$C$1)</f>
        <v>2326709.0375178596</v>
      </c>
      <c r="H5" s="136">
        <f>$C5*POWER(SUM(Variables!$C$14,1),H$1-$C$1)</f>
        <v>2381852.0417070338</v>
      </c>
      <c r="I5" s="136">
        <f>$C5*POWER(SUM(Variables!$C$14,1),I$1-$C$1)</f>
        <v>2438301.9350954904</v>
      </c>
      <c r="J5" s="136">
        <f>$C5*POWER(SUM(Variables!$C$14,1),J$1-$C$1)</f>
        <v>2496089.6909572538</v>
      </c>
      <c r="K5" s="136">
        <f>$C5*POWER(SUM(Variables!$C$14,1),K$1-$C$1)</f>
        <v>2555247.0166329411</v>
      </c>
      <c r="L5" s="136">
        <f>$C5*POWER(SUM(Variables!$C$14,1),L$1-$C$1)</f>
        <v>2615806.370927142</v>
      </c>
      <c r="M5" s="136">
        <f>$C5*POWER(SUM(Variables!$C$14,1),M$1-$C$1)</f>
        <v>2677800.9819181152</v>
      </c>
      <c r="N5" s="136">
        <f>$C5*POWER(SUM(Variables!$C$14,1),N$1-$C$1)</f>
        <v>2741264.8651895751</v>
      </c>
      <c r="O5" s="136">
        <f>$C5*POWER(SUM(Variables!$C$14,1),O$1-$C$1)</f>
        <v>2806232.8424945683</v>
      </c>
      <c r="P5" s="136"/>
      <c r="Q5" s="80"/>
      <c r="R5" s="80"/>
      <c r="S5" s="136"/>
      <c r="T5" s="137"/>
      <c r="U5" s="80"/>
      <c r="V5" s="80"/>
      <c r="W5" s="80"/>
      <c r="X5" s="80"/>
      <c r="Y5" s="80"/>
      <c r="Z5" s="80"/>
      <c r="AA5" s="80"/>
      <c r="AB5" s="80"/>
    </row>
    <row r="6" spans="1:28" ht="14.25" customHeight="1">
      <c r="A6" s="134">
        <v>5</v>
      </c>
      <c r="B6" s="135" t="s">
        <v>113</v>
      </c>
      <c r="C6" s="67">
        <v>843402</v>
      </c>
      <c r="D6" s="136">
        <f>$C6*POWER(SUM(Variables!$C$14,1),D$1-$C$1)</f>
        <v>1017223.1910658216</v>
      </c>
      <c r="E6" s="136">
        <f>$C6*POWER(SUM(Variables!$C$14,1),E$1-$C$1)</f>
        <v>1041331.3806940814</v>
      </c>
      <c r="F6" s="136">
        <f>$C6*POWER(SUM(Variables!$C$14,1),F$1-$C$1)</f>
        <v>1066010.9344165314</v>
      </c>
      <c r="G6" s="136">
        <f>$C6*POWER(SUM(Variables!$C$14,1),G$1-$C$1)</f>
        <v>1091275.3935622033</v>
      </c>
      <c r="H6" s="136">
        <f>$C6*POWER(SUM(Variables!$C$14,1),H$1-$C$1)</f>
        <v>1117138.6203896278</v>
      </c>
      <c r="I6" s="136">
        <f>$C6*POWER(SUM(Variables!$C$14,1),I$1-$C$1)</f>
        <v>1143614.8056928618</v>
      </c>
      <c r="J6" s="136">
        <f>$C6*POWER(SUM(Variables!$C$14,1),J$1-$C$1)</f>
        <v>1170718.4765877828</v>
      </c>
      <c r="K6" s="136">
        <f>$C6*POWER(SUM(Variables!$C$14,1),K$1-$C$1)</f>
        <v>1198464.5044829135</v>
      </c>
      <c r="L6" s="136">
        <f>$C6*POWER(SUM(Variables!$C$14,1),L$1-$C$1)</f>
        <v>1226868.1132391586</v>
      </c>
      <c r="M6" s="136">
        <f>$C6*POWER(SUM(Variables!$C$14,1),M$1-$C$1)</f>
        <v>1255944.8875229268</v>
      </c>
      <c r="N6" s="136">
        <f>$C6*POWER(SUM(Variables!$C$14,1),N$1-$C$1)</f>
        <v>1285710.7813572201</v>
      </c>
      <c r="O6" s="136">
        <f>$C6*POWER(SUM(Variables!$C$14,1),O$1-$C$1)</f>
        <v>1316182.1268753866</v>
      </c>
      <c r="P6" s="136"/>
      <c r="Q6" s="80"/>
      <c r="R6" s="80"/>
      <c r="S6" s="136"/>
      <c r="T6" s="137"/>
      <c r="U6" s="80"/>
      <c r="V6" s="80"/>
      <c r="W6" s="80"/>
      <c r="X6" s="80"/>
      <c r="Y6" s="80"/>
      <c r="Z6" s="80"/>
      <c r="AA6" s="80"/>
      <c r="AB6" s="80"/>
    </row>
    <row r="7" spans="1:28" ht="14.25" customHeight="1">
      <c r="A7" s="134">
        <v>6</v>
      </c>
      <c r="B7" s="135" t="s">
        <v>114</v>
      </c>
      <c r="C7" s="67">
        <v>961587</v>
      </c>
      <c r="D7" s="136">
        <f>$C7*POWER(SUM(Variables!$C$14,1),D$1-$C$1)</f>
        <v>1159765.5644964206</v>
      </c>
      <c r="E7" s="136">
        <f>$C7*POWER(SUM(Variables!$C$14,1),E$1-$C$1)</f>
        <v>1187252.0083749858</v>
      </c>
      <c r="F7" s="136">
        <f>$C7*POWER(SUM(Variables!$C$14,1),F$1-$C$1)</f>
        <v>1215389.880973473</v>
      </c>
      <c r="G7" s="136">
        <f>$C7*POWER(SUM(Variables!$C$14,1),G$1-$C$1)</f>
        <v>1244194.6211525444</v>
      </c>
      <c r="H7" s="136">
        <f>$C7*POWER(SUM(Variables!$C$14,1),H$1-$C$1)</f>
        <v>1273682.0336738601</v>
      </c>
      <c r="I7" s="136">
        <f>$C7*POWER(SUM(Variables!$C$14,1),I$1-$C$1)</f>
        <v>1303868.2978719305</v>
      </c>
      <c r="J7" s="136">
        <f>$C7*POWER(SUM(Variables!$C$14,1),J$1-$C$1)</f>
        <v>1334769.9765314956</v>
      </c>
      <c r="K7" s="136">
        <f>$C7*POWER(SUM(Variables!$C$14,1),K$1-$C$1)</f>
        <v>1366404.0249752922</v>
      </c>
      <c r="L7" s="136">
        <f>$C7*POWER(SUM(Variables!$C$14,1),L$1-$C$1)</f>
        <v>1398787.8003672068</v>
      </c>
      <c r="M7" s="136">
        <f>$C7*POWER(SUM(Variables!$C$14,1),M$1-$C$1)</f>
        <v>1431939.0712359096</v>
      </c>
      <c r="N7" s="136">
        <f>$C7*POWER(SUM(Variables!$C$14,1),N$1-$C$1)</f>
        <v>1465876.0272242008</v>
      </c>
      <c r="O7" s="136">
        <f>$C7*POWER(SUM(Variables!$C$14,1),O$1-$C$1)</f>
        <v>1500617.2890694146</v>
      </c>
      <c r="P7" s="136"/>
      <c r="Q7" s="80"/>
      <c r="R7" s="80"/>
      <c r="S7" s="136"/>
      <c r="T7" s="137"/>
      <c r="U7" s="80"/>
      <c r="V7" s="80"/>
      <c r="W7" s="80"/>
      <c r="X7" s="80"/>
      <c r="Y7" s="80"/>
      <c r="Z7" s="80"/>
      <c r="AA7" s="80"/>
      <c r="AB7" s="80"/>
    </row>
    <row r="8" spans="1:28" ht="14.25" customHeight="1">
      <c r="A8" s="134">
        <v>7</v>
      </c>
      <c r="B8" s="135" t="s">
        <v>115</v>
      </c>
      <c r="C8" s="67">
        <v>4646732</v>
      </c>
      <c r="D8" s="136">
        <f>$C8*POWER(SUM(Variables!$C$14,1),D$1-$C$1)</f>
        <v>5604401.6412904728</v>
      </c>
      <c r="E8" s="136">
        <f>$C8*POWER(SUM(Variables!$C$14,1),E$1-$C$1)</f>
        <v>5737225.9601890566</v>
      </c>
      <c r="F8" s="136">
        <f>$C8*POWER(SUM(Variables!$C$14,1),F$1-$C$1)</f>
        <v>5873198.2154455381</v>
      </c>
      <c r="G8" s="136">
        <f>$C8*POWER(SUM(Variables!$C$14,1),G$1-$C$1)</f>
        <v>6012393.0131515982</v>
      </c>
      <c r="H8" s="136">
        <f>$C8*POWER(SUM(Variables!$C$14,1),H$1-$C$1)</f>
        <v>6154886.7275632918</v>
      </c>
      <c r="I8" s="136">
        <f>$C8*POWER(SUM(Variables!$C$14,1),I$1-$C$1)</f>
        <v>6300757.5430065421</v>
      </c>
      <c r="J8" s="136">
        <f>$C8*POWER(SUM(Variables!$C$14,1),J$1-$C$1)</f>
        <v>6450085.4967757976</v>
      </c>
      <c r="K8" s="136">
        <f>$C8*POWER(SUM(Variables!$C$14,1),K$1-$C$1)</f>
        <v>6602952.5230493853</v>
      </c>
      <c r="L8" s="136">
        <f>$C8*POWER(SUM(Variables!$C$14,1),L$1-$C$1)</f>
        <v>6759442.4978456562</v>
      </c>
      <c r="M8" s="136">
        <f>$C8*POWER(SUM(Variables!$C$14,1),M$1-$C$1)</f>
        <v>6919641.2850445984</v>
      </c>
      <c r="N8" s="136">
        <f>$C8*POWER(SUM(Variables!$C$14,1),N$1-$C$1)</f>
        <v>7083636.7835001564</v>
      </c>
      <c r="O8" s="136">
        <f>$C8*POWER(SUM(Variables!$C$14,1),O$1-$C$1)</f>
        <v>7251518.9752691109</v>
      </c>
      <c r="P8" s="136"/>
      <c r="Q8" s="80"/>
      <c r="R8" s="80"/>
      <c r="S8" s="136"/>
      <c r="T8" s="137"/>
      <c r="U8" s="80"/>
      <c r="V8" s="80"/>
      <c r="W8" s="80"/>
      <c r="X8" s="80"/>
      <c r="Y8" s="80"/>
      <c r="Z8" s="80"/>
      <c r="AA8" s="80"/>
      <c r="AB8" s="80"/>
    </row>
    <row r="9" spans="1:28" ht="14.25" customHeight="1">
      <c r="A9" s="134">
        <v>8</v>
      </c>
      <c r="B9" s="135" t="s">
        <v>116</v>
      </c>
      <c r="C9" s="67">
        <v>44282</v>
      </c>
      <c r="D9" s="136">
        <f>$C9*POWER(SUM(Variables!$C$14,1),D$1-$C$1)</f>
        <v>53408.312224510621</v>
      </c>
      <c r="E9" s="136">
        <f>$C9*POWER(SUM(Variables!$C$14,1),E$1-$C$1)</f>
        <v>54674.089224231524</v>
      </c>
      <c r="F9" s="136">
        <f>$C9*POWER(SUM(Variables!$C$14,1),F$1-$C$1)</f>
        <v>55969.865138845817</v>
      </c>
      <c r="G9" s="136">
        <f>$C9*POWER(SUM(Variables!$C$14,1),G$1-$C$1)</f>
        <v>57296.350942636469</v>
      </c>
      <c r="H9" s="136">
        <f>$C9*POWER(SUM(Variables!$C$14,1),H$1-$C$1)</f>
        <v>58654.274459976965</v>
      </c>
      <c r="I9" s="136">
        <f>$C9*POWER(SUM(Variables!$C$14,1),I$1-$C$1)</f>
        <v>60044.380764678419</v>
      </c>
      <c r="J9" s="136">
        <f>$C9*POWER(SUM(Variables!$C$14,1),J$1-$C$1)</f>
        <v>61467.432588801312</v>
      </c>
      <c r="K9" s="136">
        <f>$C9*POWER(SUM(Variables!$C$14,1),K$1-$C$1)</f>
        <v>62924.210741155912</v>
      </c>
      <c r="L9" s="136">
        <f>$C9*POWER(SUM(Variables!$C$14,1),L$1-$C$1)</f>
        <v>64415.514535721311</v>
      </c>
      <c r="M9" s="136">
        <f>$C9*POWER(SUM(Variables!$C$14,1),M$1-$C$1)</f>
        <v>65942.162230217902</v>
      </c>
      <c r="N9" s="136">
        <f>$C9*POWER(SUM(Variables!$C$14,1),N$1-$C$1)</f>
        <v>67504.991475074072</v>
      </c>
      <c r="O9" s="136">
        <f>$C9*POWER(SUM(Variables!$C$14,1),O$1-$C$1)</f>
        <v>69104.859773033342</v>
      </c>
      <c r="P9" s="136"/>
      <c r="Q9" s="80"/>
      <c r="R9" s="80"/>
      <c r="S9" s="136"/>
      <c r="T9" s="137"/>
      <c r="U9" s="80"/>
      <c r="V9" s="80"/>
      <c r="W9" s="80"/>
      <c r="X9" s="80"/>
      <c r="Y9" s="80"/>
      <c r="Z9" s="80"/>
      <c r="AA9" s="80"/>
      <c r="AB9" s="80"/>
    </row>
    <row r="10" spans="1:28" ht="14.25" customHeight="1">
      <c r="A10" s="134">
        <v>9</v>
      </c>
      <c r="B10" s="135" t="s">
        <v>117</v>
      </c>
      <c r="C10" s="67">
        <v>569578</v>
      </c>
      <c r="D10" s="136">
        <f>$C10*POWER(SUM(Variables!$C$14,1),D$1-$C$1)</f>
        <v>686965.35071162798</v>
      </c>
      <c r="E10" s="136">
        <f>$C10*POWER(SUM(Variables!$C$14,1),E$1-$C$1)</f>
        <v>703246.42952349363</v>
      </c>
      <c r="F10" s="136">
        <f>$C10*POWER(SUM(Variables!$C$14,1),F$1-$C$1)</f>
        <v>719913.36990320042</v>
      </c>
      <c r="G10" s="136">
        <f>$C10*POWER(SUM(Variables!$C$14,1),G$1-$C$1)</f>
        <v>736975.31676990644</v>
      </c>
      <c r="H10" s="136">
        <f>$C10*POWER(SUM(Variables!$C$14,1),H$1-$C$1)</f>
        <v>754441.63177735335</v>
      </c>
      <c r="I10" s="136">
        <f>$C10*POWER(SUM(Variables!$C$14,1),I$1-$C$1)</f>
        <v>772321.89845047658</v>
      </c>
      <c r="J10" s="136">
        <f>$C10*POWER(SUM(Variables!$C$14,1),J$1-$C$1)</f>
        <v>790625.927443753</v>
      </c>
      <c r="K10" s="136">
        <f>$C10*POWER(SUM(Variables!$C$14,1),K$1-$C$1)</f>
        <v>809363.76192417007</v>
      </c>
      <c r="L10" s="136">
        <f>$C10*POWER(SUM(Variables!$C$14,1),L$1-$C$1)</f>
        <v>828545.68308177299</v>
      </c>
      <c r="M10" s="136">
        <f>$C10*POWER(SUM(Variables!$C$14,1),M$1-$C$1)</f>
        <v>848182.21577081108</v>
      </c>
      <c r="N10" s="136">
        <f>$C10*POWER(SUM(Variables!$C$14,1),N$1-$C$1)</f>
        <v>868284.13428457931</v>
      </c>
      <c r="O10" s="136">
        <f>$C10*POWER(SUM(Variables!$C$14,1),O$1-$C$1)</f>
        <v>888862.46826712403</v>
      </c>
      <c r="P10" s="136"/>
      <c r="Q10" s="80"/>
      <c r="R10" s="80"/>
      <c r="S10" s="136"/>
      <c r="T10" s="137"/>
      <c r="U10" s="80"/>
      <c r="V10" s="80"/>
      <c r="W10" s="80"/>
      <c r="X10" s="80"/>
      <c r="Y10" s="80"/>
      <c r="Z10" s="80"/>
      <c r="AA10" s="80"/>
      <c r="AB10" s="80"/>
    </row>
    <row r="11" spans="1:28" ht="14.25" customHeight="1">
      <c r="A11" s="134">
        <v>10</v>
      </c>
      <c r="B11" s="135" t="s">
        <v>118</v>
      </c>
      <c r="C11" s="67">
        <v>528563</v>
      </c>
      <c r="D11" s="136">
        <f>$C11*POWER(SUM(Variables!$C$14,1),D$1-$C$1)</f>
        <v>637497.35184327734</v>
      </c>
      <c r="E11" s="136">
        <f>$C11*POWER(SUM(Variables!$C$14,1),E$1-$C$1)</f>
        <v>652606.03908196301</v>
      </c>
      <c r="F11" s="136">
        <f>$C11*POWER(SUM(Variables!$C$14,1),F$1-$C$1)</f>
        <v>668072.80220820569</v>
      </c>
      <c r="G11" s="136">
        <f>$C11*POWER(SUM(Variables!$C$14,1),G$1-$C$1)</f>
        <v>683906.12762054021</v>
      </c>
      <c r="H11" s="136">
        <f>$C11*POWER(SUM(Variables!$C$14,1),H$1-$C$1)</f>
        <v>700114.70284514711</v>
      </c>
      <c r="I11" s="136">
        <f>$C11*POWER(SUM(Variables!$C$14,1),I$1-$C$1)</f>
        <v>716707.42130257713</v>
      </c>
      <c r="J11" s="136">
        <f>$C11*POWER(SUM(Variables!$C$14,1),J$1-$C$1)</f>
        <v>733693.38718744833</v>
      </c>
      <c r="K11" s="136">
        <f>$C11*POWER(SUM(Variables!$C$14,1),K$1-$C$1)</f>
        <v>751081.920463791</v>
      </c>
      <c r="L11" s="136">
        <f>$C11*POWER(SUM(Variables!$C$14,1),L$1-$C$1)</f>
        <v>768882.56197878288</v>
      </c>
      <c r="M11" s="136">
        <f>$C11*POWER(SUM(Variables!$C$14,1),M$1-$C$1)</f>
        <v>787105.07869768003</v>
      </c>
      <c r="N11" s="136">
        <f>$C11*POWER(SUM(Variables!$C$14,1),N$1-$C$1)</f>
        <v>805759.46906281519</v>
      </c>
      <c r="O11" s="136">
        <f>$C11*POWER(SUM(Variables!$C$14,1),O$1-$C$1)</f>
        <v>824855.96847960399</v>
      </c>
      <c r="P11" s="136"/>
      <c r="Q11" s="80"/>
      <c r="R11" s="80"/>
      <c r="S11" s="136"/>
      <c r="T11" s="137"/>
      <c r="U11" s="80"/>
      <c r="V11" s="80"/>
      <c r="W11" s="80"/>
      <c r="X11" s="80"/>
      <c r="Y11" s="80"/>
      <c r="Z11" s="80"/>
      <c r="AA11" s="80"/>
      <c r="AB11" s="80"/>
    </row>
    <row r="12" spans="1:28" ht="14.25" customHeight="1">
      <c r="A12" s="134">
        <v>11</v>
      </c>
      <c r="B12" s="135" t="s">
        <v>119</v>
      </c>
      <c r="C12" s="67">
        <v>206167</v>
      </c>
      <c r="D12" s="136">
        <f>$C12*POWER(SUM(Variables!$C$14,1),D$1-$C$1)</f>
        <v>248657.05041305005</v>
      </c>
      <c r="E12" s="136">
        <f>$C12*POWER(SUM(Variables!$C$14,1),E$1-$C$1)</f>
        <v>254550.22250783932</v>
      </c>
      <c r="F12" s="136">
        <f>$C12*POWER(SUM(Variables!$C$14,1),F$1-$C$1)</f>
        <v>260583.06278127513</v>
      </c>
      <c r="G12" s="136">
        <f>$C12*POWER(SUM(Variables!$C$14,1),G$1-$C$1)</f>
        <v>266758.8813691914</v>
      </c>
      <c r="H12" s="136">
        <f>$C12*POWER(SUM(Variables!$C$14,1),H$1-$C$1)</f>
        <v>273081.06685764127</v>
      </c>
      <c r="I12" s="136">
        <f>$C12*POWER(SUM(Variables!$C$14,1),I$1-$C$1)</f>
        <v>279553.08814216737</v>
      </c>
      <c r="J12" s="136">
        <f>$C12*POWER(SUM(Variables!$C$14,1),J$1-$C$1)</f>
        <v>286178.49633113679</v>
      </c>
      <c r="K12" s="136">
        <f>$C12*POWER(SUM(Variables!$C$14,1),K$1-$C$1)</f>
        <v>292960.92669418477</v>
      </c>
      <c r="L12" s="136">
        <f>$C12*POWER(SUM(Variables!$C$14,1),L$1-$C$1)</f>
        <v>299904.10065683699</v>
      </c>
      <c r="M12" s="136">
        <f>$C12*POWER(SUM(Variables!$C$14,1),M$1-$C$1)</f>
        <v>307011.82784240402</v>
      </c>
      <c r="N12" s="136">
        <f>$C12*POWER(SUM(Variables!$C$14,1),N$1-$C$1)</f>
        <v>314288.00816226902</v>
      </c>
      <c r="O12" s="136">
        <f>$C12*POWER(SUM(Variables!$C$14,1),O$1-$C$1)</f>
        <v>321736.63395571487</v>
      </c>
      <c r="P12" s="136"/>
      <c r="Q12" s="80"/>
      <c r="R12" s="80"/>
      <c r="S12" s="136"/>
      <c r="T12" s="137"/>
      <c r="U12" s="80"/>
      <c r="V12" s="80"/>
      <c r="W12" s="80"/>
      <c r="X12" s="80"/>
      <c r="Y12" s="80"/>
      <c r="Z12" s="80"/>
      <c r="AA12" s="80"/>
      <c r="AB12" s="80"/>
    </row>
    <row r="13" spans="1:28" ht="14.25" customHeight="1">
      <c r="A13" s="134">
        <v>12</v>
      </c>
      <c r="B13" s="135" t="s">
        <v>120</v>
      </c>
      <c r="C13" s="67">
        <v>100286</v>
      </c>
      <c r="D13" s="136">
        <f>$C13*POWER(SUM(Variables!$C$14,1),D$1-$C$1)</f>
        <v>120954.47359530447</v>
      </c>
      <c r="E13" s="136">
        <f>$C13*POWER(SUM(Variables!$C$14,1),E$1-$C$1)</f>
        <v>123821.09461951318</v>
      </c>
      <c r="F13" s="136">
        <f>$C13*POWER(SUM(Variables!$C$14,1),F$1-$C$1)</f>
        <v>126755.65456199566</v>
      </c>
      <c r="G13" s="136">
        <f>$C13*POWER(SUM(Variables!$C$14,1),G$1-$C$1)</f>
        <v>129759.76357511496</v>
      </c>
      <c r="H13" s="136">
        <f>$C13*POWER(SUM(Variables!$C$14,1),H$1-$C$1)</f>
        <v>132835.06997184522</v>
      </c>
      <c r="I13" s="136">
        <f>$C13*POWER(SUM(Variables!$C$14,1),I$1-$C$1)</f>
        <v>135983.26113017794</v>
      </c>
      <c r="J13" s="136">
        <f>$C13*POWER(SUM(Variables!$C$14,1),J$1-$C$1)</f>
        <v>139206.06441896319</v>
      </c>
      <c r="K13" s="136">
        <f>$C13*POWER(SUM(Variables!$C$14,1),K$1-$C$1)</f>
        <v>142505.24814569263</v>
      </c>
      <c r="L13" s="136">
        <f>$C13*POWER(SUM(Variables!$C$14,1),L$1-$C$1)</f>
        <v>145882.62252674557</v>
      </c>
      <c r="M13" s="136">
        <f>$C13*POWER(SUM(Variables!$C$14,1),M$1-$C$1)</f>
        <v>149340.04068062943</v>
      </c>
      <c r="N13" s="136">
        <f>$C13*POWER(SUM(Variables!$C$14,1),N$1-$C$1)</f>
        <v>152879.39964476039</v>
      </c>
      <c r="O13" s="136">
        <f>$C13*POWER(SUM(Variables!$C$14,1),O$1-$C$1)</f>
        <v>156502.64141634121</v>
      </c>
      <c r="P13" s="136"/>
      <c r="Q13" s="80"/>
      <c r="R13" s="80"/>
      <c r="S13" s="136"/>
      <c r="T13" s="137"/>
      <c r="U13" s="80"/>
      <c r="V13" s="80"/>
      <c r="W13" s="80"/>
      <c r="X13" s="80"/>
      <c r="Y13" s="80"/>
      <c r="Z13" s="80"/>
      <c r="AA13" s="80"/>
      <c r="AB13" s="80"/>
    </row>
    <row r="14" spans="1:28" ht="14.25" customHeight="1">
      <c r="A14" s="134">
        <v>13</v>
      </c>
      <c r="B14" s="135" t="s">
        <v>121</v>
      </c>
      <c r="C14" s="67">
        <v>6731790</v>
      </c>
      <c r="D14" s="136">
        <f>$C14*POWER(SUM(Variables!$C$14,1),D$1-$C$1)</f>
        <v>8119180.3023765497</v>
      </c>
      <c r="E14" s="136">
        <f>$C14*POWER(SUM(Variables!$C$14,1),E$1-$C$1)</f>
        <v>8311604.8755428735</v>
      </c>
      <c r="F14" s="136">
        <f>$C14*POWER(SUM(Variables!$C$14,1),F$1-$C$1)</f>
        <v>8508589.9110932406</v>
      </c>
      <c r="G14" s="136">
        <f>$C14*POWER(SUM(Variables!$C$14,1),G$1-$C$1)</f>
        <v>8710243.4919861518</v>
      </c>
      <c r="H14" s="136">
        <f>$C14*POWER(SUM(Variables!$C$14,1),H$1-$C$1)</f>
        <v>8916676.262746226</v>
      </c>
      <c r="I14" s="136">
        <f>$C14*POWER(SUM(Variables!$C$14,1),I$1-$C$1)</f>
        <v>9128001.49017331</v>
      </c>
      <c r="J14" s="136">
        <f>$C14*POWER(SUM(Variables!$C$14,1),J$1-$C$1)</f>
        <v>9344335.1254904196</v>
      </c>
      <c r="K14" s="136">
        <f>$C14*POWER(SUM(Variables!$C$14,1),K$1-$C$1)</f>
        <v>9565795.8679645434</v>
      </c>
      <c r="L14" s="136">
        <f>$C14*POWER(SUM(Variables!$C$14,1),L$1-$C$1)</f>
        <v>9792505.230035305</v>
      </c>
      <c r="M14" s="136">
        <f>$C14*POWER(SUM(Variables!$C$14,1),M$1-$C$1)</f>
        <v>10024587.603987142</v>
      </c>
      <c r="N14" s="136">
        <f>$C14*POWER(SUM(Variables!$C$14,1),N$1-$C$1)</f>
        <v>10262170.330201637</v>
      </c>
      <c r="O14" s="136">
        <f>$C14*POWER(SUM(Variables!$C$14,1),O$1-$C$1)</f>
        <v>10505383.767027419</v>
      </c>
      <c r="P14" s="136"/>
      <c r="Q14" s="80"/>
      <c r="R14" s="80"/>
      <c r="S14" s="136"/>
      <c r="T14" s="137"/>
      <c r="U14" s="80"/>
      <c r="V14" s="80"/>
      <c r="W14" s="80"/>
      <c r="X14" s="80"/>
      <c r="Y14" s="80"/>
      <c r="Z14" s="80"/>
      <c r="AA14" s="80"/>
      <c r="AB14" s="80"/>
    </row>
    <row r="15" spans="1:28" ht="14.25" customHeight="1">
      <c r="A15" s="134">
        <v>14</v>
      </c>
      <c r="B15" s="135" t="s">
        <v>122</v>
      </c>
      <c r="C15" s="67">
        <v>268243</v>
      </c>
      <c r="D15" s="136">
        <f>$C15*POWER(SUM(Variables!$C$14,1),D$1-$C$1)</f>
        <v>323526.6224659998</v>
      </c>
      <c r="E15" s="136">
        <f>$C15*POWER(SUM(Variables!$C$14,1),E$1-$C$1)</f>
        <v>331194.20341844397</v>
      </c>
      <c r="F15" s="136">
        <f>$C15*POWER(SUM(Variables!$C$14,1),F$1-$C$1)</f>
        <v>339043.50603946112</v>
      </c>
      <c r="G15" s="136">
        <f>$C15*POWER(SUM(Variables!$C$14,1),G$1-$C$1)</f>
        <v>347078.83713259641</v>
      </c>
      <c r="H15" s="136">
        <f>$C15*POWER(SUM(Variables!$C$14,1),H$1-$C$1)</f>
        <v>355304.60557263903</v>
      </c>
      <c r="I15" s="136">
        <f>$C15*POWER(SUM(Variables!$C$14,1),I$1-$C$1)</f>
        <v>363725.32472471055</v>
      </c>
      <c r="J15" s="136">
        <f>$C15*POWER(SUM(Variables!$C$14,1),J$1-$C$1)</f>
        <v>372345.61492068629</v>
      </c>
      <c r="K15" s="136">
        <f>$C15*POWER(SUM(Variables!$C$14,1),K$1-$C$1)</f>
        <v>381170.2059943066</v>
      </c>
      <c r="L15" s="136">
        <f>$C15*POWER(SUM(Variables!$C$14,1),L$1-$C$1)</f>
        <v>390203.9398763717</v>
      </c>
      <c r="M15" s="136">
        <f>$C15*POWER(SUM(Variables!$C$14,1),M$1-$C$1)</f>
        <v>399451.77325144171</v>
      </c>
      <c r="N15" s="136">
        <f>$C15*POWER(SUM(Variables!$C$14,1),N$1-$C$1)</f>
        <v>408918.78027750092</v>
      </c>
      <c r="O15" s="136">
        <f>$C15*POWER(SUM(Variables!$C$14,1),O$1-$C$1)</f>
        <v>418610.15537007776</v>
      </c>
      <c r="P15" s="136"/>
      <c r="Q15" s="80"/>
      <c r="R15" s="80"/>
      <c r="S15" s="136"/>
      <c r="T15" s="137"/>
      <c r="U15" s="80"/>
      <c r="V15" s="80"/>
      <c r="W15" s="80"/>
      <c r="X15" s="80"/>
      <c r="Y15" s="80"/>
      <c r="Z15" s="80"/>
      <c r="AA15" s="80"/>
      <c r="AB15" s="80"/>
    </row>
    <row r="16" spans="1:28" ht="14.25" customHeight="1">
      <c r="A16" s="134">
        <v>15</v>
      </c>
      <c r="B16" s="135" t="s">
        <v>123</v>
      </c>
      <c r="C16" s="67">
        <v>59490</v>
      </c>
      <c r="D16" s="136">
        <f>$C16*POWER(SUM(Variables!$C$14,1),D$1-$C$1)</f>
        <v>71750.609598395211</v>
      </c>
      <c r="E16" s="136">
        <f>$C16*POWER(SUM(Variables!$C$14,1),E$1-$C$1)</f>
        <v>73451.099045877185</v>
      </c>
      <c r="F16" s="136">
        <f>$C16*POWER(SUM(Variables!$C$14,1),F$1-$C$1)</f>
        <v>75191.890093264476</v>
      </c>
      <c r="G16" s="136">
        <f>$C16*POWER(SUM(Variables!$C$14,1),G$1-$C$1)</f>
        <v>76973.937888474858</v>
      </c>
      <c r="H16" s="136">
        <f>$C16*POWER(SUM(Variables!$C$14,1),H$1-$C$1)</f>
        <v>78798.220216431728</v>
      </c>
      <c r="I16" s="136">
        <f>$C16*POWER(SUM(Variables!$C$14,1),I$1-$C$1)</f>
        <v>80665.738035561153</v>
      </c>
      <c r="J16" s="136">
        <f>$C16*POWER(SUM(Variables!$C$14,1),J$1-$C$1)</f>
        <v>82577.516027003978</v>
      </c>
      <c r="K16" s="136">
        <f>$C16*POWER(SUM(Variables!$C$14,1),K$1-$C$1)</f>
        <v>84534.603156843979</v>
      </c>
      <c r="L16" s="136">
        <f>$C16*POWER(SUM(Variables!$C$14,1),L$1-$C$1)</f>
        <v>86538.07325166119</v>
      </c>
      <c r="M16" s="136">
        <f>$C16*POWER(SUM(Variables!$C$14,1),M$1-$C$1)</f>
        <v>88589.025587725555</v>
      </c>
      <c r="N16" s="136">
        <f>$C16*POWER(SUM(Variables!$C$14,1),N$1-$C$1)</f>
        <v>90688.585494154671</v>
      </c>
      <c r="O16" s="136">
        <f>$C16*POWER(SUM(Variables!$C$14,1),O$1-$C$1)</f>
        <v>92837.904970366144</v>
      </c>
      <c r="P16" s="136"/>
      <c r="Q16" s="80"/>
      <c r="R16" s="80"/>
      <c r="S16" s="136"/>
      <c r="T16" s="137"/>
      <c r="U16" s="80"/>
      <c r="V16" s="80"/>
      <c r="W16" s="80"/>
      <c r="X16" s="80"/>
      <c r="Y16" s="80"/>
      <c r="Z16" s="80"/>
      <c r="AA16" s="80"/>
      <c r="AB16" s="80"/>
    </row>
    <row r="17" spans="1:28" ht="14.25" customHeight="1">
      <c r="A17" s="134">
        <v>16</v>
      </c>
      <c r="B17" s="135" t="s">
        <v>124</v>
      </c>
      <c r="C17" s="67">
        <v>3046163</v>
      </c>
      <c r="D17" s="136">
        <f>$C17*POWER(SUM(Variables!$C$14,1),D$1-$C$1)</f>
        <v>3673962.8876462663</v>
      </c>
      <c r="E17" s="136">
        <f>$C17*POWER(SUM(Variables!$C$14,1),E$1-$C$1)</f>
        <v>3761035.8080834826</v>
      </c>
      <c r="F17" s="136">
        <f>$C17*POWER(SUM(Variables!$C$14,1),F$1-$C$1)</f>
        <v>3850172.3567350614</v>
      </c>
      <c r="G17" s="136">
        <f>$C17*POWER(SUM(Variables!$C$14,1),G$1-$C$1)</f>
        <v>3941421.4415896828</v>
      </c>
      <c r="H17" s="136">
        <f>$C17*POWER(SUM(Variables!$C$14,1),H$1-$C$1)</f>
        <v>4034833.1297553591</v>
      </c>
      <c r="I17" s="136">
        <f>$C17*POWER(SUM(Variables!$C$14,1),I$1-$C$1)</f>
        <v>4130458.6749305613</v>
      </c>
      <c r="J17" s="136">
        <f>$C17*POWER(SUM(Variables!$C$14,1),J$1-$C$1)</f>
        <v>4228350.545526416</v>
      </c>
      <c r="K17" s="136">
        <f>$C17*POWER(SUM(Variables!$C$14,1),K$1-$C$1)</f>
        <v>4328562.4534553932</v>
      </c>
      <c r="L17" s="136">
        <f>$C17*POWER(SUM(Variables!$C$14,1),L$1-$C$1)</f>
        <v>4431149.3836022858</v>
      </c>
      <c r="M17" s="136">
        <f>$C17*POWER(SUM(Variables!$C$14,1),M$1-$C$1)</f>
        <v>4536167.6239936603</v>
      </c>
      <c r="N17" s="136">
        <f>$C17*POWER(SUM(Variables!$C$14,1),N$1-$C$1)</f>
        <v>4643674.7966823103</v>
      </c>
      <c r="O17" s="136">
        <f>$C17*POWER(SUM(Variables!$C$14,1),O$1-$C$1)</f>
        <v>4753729.8893636819</v>
      </c>
      <c r="P17" s="136"/>
      <c r="Q17" s="80"/>
      <c r="R17" s="80"/>
      <c r="S17" s="15"/>
      <c r="T17" s="137"/>
      <c r="U17" s="80"/>
      <c r="V17" s="80"/>
      <c r="W17" s="80"/>
      <c r="X17" s="80"/>
      <c r="Y17" s="80"/>
      <c r="Z17" s="80"/>
      <c r="AA17" s="80"/>
      <c r="AB17" s="80"/>
    </row>
    <row r="18" spans="1:28" ht="14.25" customHeight="1">
      <c r="A18" s="134">
        <v>17</v>
      </c>
      <c r="B18" s="135" t="s">
        <v>125</v>
      </c>
      <c r="C18" s="67">
        <v>11210</v>
      </c>
      <c r="D18" s="136">
        <f>$C18*POWER(SUM(Variables!$C$14,1),D$1-$C$1)</f>
        <v>13520.328350949914</v>
      </c>
      <c r="E18" s="136">
        <f>$C18*POWER(SUM(Variables!$C$14,1),E$1-$C$1)</f>
        <v>13840.760132867426</v>
      </c>
      <c r="F18" s="136">
        <f>$C18*POWER(SUM(Variables!$C$14,1),F$1-$C$1)</f>
        <v>14168.786148016387</v>
      </c>
      <c r="G18" s="136">
        <f>$C18*POWER(SUM(Variables!$C$14,1),G$1-$C$1)</f>
        <v>14504.586379724376</v>
      </c>
      <c r="H18" s="136">
        <f>$C18*POWER(SUM(Variables!$C$14,1),H$1-$C$1)</f>
        <v>14848.345076923848</v>
      </c>
      <c r="I18" s="136">
        <f>$C18*POWER(SUM(Variables!$C$14,1),I$1-$C$1)</f>
        <v>15200.250855246943</v>
      </c>
      <c r="J18" s="136">
        <f>$C18*POWER(SUM(Variables!$C$14,1),J$1-$C$1)</f>
        <v>15560.496800516297</v>
      </c>
      <c r="K18" s="136">
        <f>$C18*POWER(SUM(Variables!$C$14,1),K$1-$C$1)</f>
        <v>15929.280574688535</v>
      </c>
      <c r="L18" s="136">
        <f>$C18*POWER(SUM(Variables!$C$14,1),L$1-$C$1)</f>
        <v>16306.804524308656</v>
      </c>
      <c r="M18" s="136">
        <f>$C18*POWER(SUM(Variables!$C$14,1),M$1-$C$1)</f>
        <v>16693.275791534772</v>
      </c>
      <c r="N18" s="136">
        <f>$C18*POWER(SUM(Variables!$C$14,1),N$1-$C$1)</f>
        <v>17088.906427794147</v>
      </c>
      <c r="O18" s="136">
        <f>$C18*POWER(SUM(Variables!$C$14,1),O$1-$C$1)</f>
        <v>17493.913510132872</v>
      </c>
      <c r="P18" s="136"/>
      <c r="Q18" s="80"/>
      <c r="R18" s="80"/>
      <c r="S18" s="136"/>
      <c r="T18" s="137"/>
      <c r="U18" s="80"/>
      <c r="V18" s="80"/>
      <c r="W18" s="80"/>
      <c r="X18" s="80"/>
      <c r="Y18" s="80"/>
      <c r="Z18" s="80"/>
      <c r="AA18" s="80"/>
      <c r="AB18" s="80"/>
    </row>
    <row r="19" spans="1:28" ht="14.25" customHeight="1">
      <c r="A19" s="134">
        <v>18</v>
      </c>
      <c r="B19" s="135" t="s">
        <v>126</v>
      </c>
      <c r="C19" s="67">
        <v>99039</v>
      </c>
      <c r="D19" s="136">
        <f>$C19*POWER(SUM(Variables!$C$14,1),D$1-$C$1)</f>
        <v>119450.47275198292</v>
      </c>
      <c r="E19" s="136">
        <f>$C19*POWER(SUM(Variables!$C$14,1),E$1-$C$1)</f>
        <v>122281.44895620491</v>
      </c>
      <c r="F19" s="136">
        <f>$C19*POWER(SUM(Variables!$C$14,1),F$1-$C$1)</f>
        <v>125179.51929646698</v>
      </c>
      <c r="G19" s="136">
        <f>$C19*POWER(SUM(Variables!$C$14,1),G$1-$C$1)</f>
        <v>128146.27390379326</v>
      </c>
      <c r="H19" s="136">
        <f>$C19*POWER(SUM(Variables!$C$14,1),H$1-$C$1)</f>
        <v>131183.3405953132</v>
      </c>
      <c r="I19" s="136">
        <f>$C19*POWER(SUM(Variables!$C$14,1),I$1-$C$1)</f>
        <v>134292.38576742212</v>
      </c>
      <c r="J19" s="136">
        <f>$C19*POWER(SUM(Variables!$C$14,1),J$1-$C$1)</f>
        <v>137475.11531011004</v>
      </c>
      <c r="K19" s="136">
        <f>$C19*POWER(SUM(Variables!$C$14,1),K$1-$C$1)</f>
        <v>140733.27554295966</v>
      </c>
      <c r="L19" s="136">
        <f>$C19*POWER(SUM(Variables!$C$14,1),L$1-$C$1)</f>
        <v>144068.65417332784</v>
      </c>
      <c r="M19" s="136">
        <f>$C19*POWER(SUM(Variables!$C$14,1),M$1-$C$1)</f>
        <v>147483.0812772357</v>
      </c>
      <c r="N19" s="136">
        <f>$C19*POWER(SUM(Variables!$C$14,1),N$1-$C$1)</f>
        <v>150978.4303035062</v>
      </c>
      <c r="O19" s="136">
        <f>$C19*POWER(SUM(Variables!$C$14,1),O$1-$C$1)</f>
        <v>154556.61910169933</v>
      </c>
      <c r="P19" s="136"/>
      <c r="Q19" s="80"/>
      <c r="R19" s="80"/>
      <c r="S19" s="136"/>
      <c r="T19" s="137"/>
      <c r="U19" s="80"/>
      <c r="V19" s="80"/>
      <c r="W19" s="80"/>
      <c r="X19" s="80"/>
      <c r="Y19" s="80"/>
      <c r="Z19" s="80"/>
      <c r="AA19" s="80"/>
      <c r="AB19" s="80"/>
    </row>
    <row r="20" spans="1:28" ht="14.25" customHeight="1">
      <c r="A20" s="134">
        <v>19</v>
      </c>
      <c r="B20" s="135" t="s">
        <v>127</v>
      </c>
      <c r="C20" s="67">
        <v>4496694</v>
      </c>
      <c r="D20" s="136">
        <f>$C20*POWER(SUM(Variables!$C$14,1),D$1-$C$1)</f>
        <v>5423441.5141611397</v>
      </c>
      <c r="E20" s="136">
        <f>$C20*POWER(SUM(Variables!$C$14,1),E$1-$C$1)</f>
        <v>5551977.0780467587</v>
      </c>
      <c r="F20" s="136">
        <f>$C20*POWER(SUM(Variables!$C$14,1),F$1-$C$1)</f>
        <v>5683558.9347964674</v>
      </c>
      <c r="G20" s="136">
        <f>$C20*POWER(SUM(Variables!$C$14,1),G$1-$C$1)</f>
        <v>5818259.2815511441</v>
      </c>
      <c r="H20" s="136">
        <f>$C20*POWER(SUM(Variables!$C$14,1),H$1-$C$1)</f>
        <v>5956152.0265239077</v>
      </c>
      <c r="I20" s="136">
        <f>$C20*POWER(SUM(Variables!$C$14,1),I$1-$C$1)</f>
        <v>6097312.8295525238</v>
      </c>
      <c r="J20" s="136">
        <f>$C20*POWER(SUM(Variables!$C$14,1),J$1-$C$1)</f>
        <v>6241819.1436129194</v>
      </c>
      <c r="K20" s="136">
        <f>$C20*POWER(SUM(Variables!$C$14,1),K$1-$C$1)</f>
        <v>6389750.2573165465</v>
      </c>
      <c r="L20" s="136">
        <f>$C20*POWER(SUM(Variables!$C$14,1),L$1-$C$1)</f>
        <v>6541187.3384149494</v>
      </c>
      <c r="M20" s="136">
        <f>$C20*POWER(SUM(Variables!$C$14,1),M$1-$C$1)</f>
        <v>6696213.4783353843</v>
      </c>
      <c r="N20" s="136">
        <f>$C20*POWER(SUM(Variables!$C$14,1),N$1-$C$1)</f>
        <v>6854913.737771933</v>
      </c>
      <c r="O20" s="136">
        <f>$C20*POWER(SUM(Variables!$C$14,1),O$1-$C$1)</f>
        <v>7017375.1933571296</v>
      </c>
      <c r="P20" s="136"/>
      <c r="Q20" s="80"/>
      <c r="R20" s="80"/>
      <c r="S20" s="136"/>
      <c r="T20" s="137"/>
      <c r="U20" s="80"/>
      <c r="V20" s="80"/>
      <c r="W20" s="80"/>
      <c r="X20" s="80"/>
      <c r="Y20" s="80"/>
      <c r="Z20" s="80"/>
      <c r="AA20" s="80"/>
      <c r="AB20" s="80"/>
    </row>
    <row r="21" spans="1:28" ht="14.25" customHeight="1">
      <c r="A21" s="134">
        <v>20</v>
      </c>
      <c r="B21" s="135" t="s">
        <v>128</v>
      </c>
      <c r="C21" s="67">
        <v>2817105</v>
      </c>
      <c r="D21" s="136">
        <f>$C21*POWER(SUM(Variables!$C$14,1),D$1-$C$1)</f>
        <v>3397697.1096434216</v>
      </c>
      <c r="E21" s="136">
        <f>$C21*POWER(SUM(Variables!$C$14,1),E$1-$C$1)</f>
        <v>3478222.5311419708</v>
      </c>
      <c r="F21" s="136">
        <f>$C21*POWER(SUM(Variables!$C$14,1),F$1-$C$1)</f>
        <v>3560656.4051300357</v>
      </c>
      <c r="G21" s="136">
        <f>$C21*POWER(SUM(Variables!$C$14,1),G$1-$C$1)</f>
        <v>3645043.9619316179</v>
      </c>
      <c r="H21" s="136">
        <f>$C21*POWER(SUM(Variables!$C$14,1),H$1-$C$1)</f>
        <v>3731431.5038293982</v>
      </c>
      <c r="I21" s="136">
        <f>$C21*POWER(SUM(Variables!$C$14,1),I$1-$C$1)</f>
        <v>3819866.4304701551</v>
      </c>
      <c r="J21" s="136">
        <f>$C21*POWER(SUM(Variables!$C$14,1),J$1-$C$1)</f>
        <v>3910397.2648722981</v>
      </c>
      <c r="K21" s="136">
        <f>$C21*POWER(SUM(Variables!$C$14,1),K$1-$C$1)</f>
        <v>4003073.6800497724</v>
      </c>
      <c r="L21" s="136">
        <f>$C21*POWER(SUM(Variables!$C$14,1),L$1-$C$1)</f>
        <v>4097946.5262669525</v>
      </c>
      <c r="M21" s="136">
        <f>$C21*POWER(SUM(Variables!$C$14,1),M$1-$C$1)</f>
        <v>4195067.8589394791</v>
      </c>
      <c r="N21" s="136">
        <f>$C21*POWER(SUM(Variables!$C$14,1),N$1-$C$1)</f>
        <v>4294490.9671963453</v>
      </c>
      <c r="O21" s="136">
        <f>$C21*POWER(SUM(Variables!$C$14,1),O$1-$C$1)</f>
        <v>4396270.4031188991</v>
      </c>
      <c r="P21" s="136"/>
      <c r="Q21" s="80"/>
      <c r="R21" s="80"/>
      <c r="S21" s="136"/>
      <c r="T21" s="137"/>
      <c r="U21" s="80"/>
      <c r="V21" s="80"/>
      <c r="W21" s="80"/>
      <c r="X21" s="80"/>
      <c r="Y21" s="80"/>
      <c r="Z21" s="80"/>
      <c r="AA21" s="80"/>
      <c r="AB21" s="80"/>
    </row>
    <row r="22" spans="1:28" ht="14.25" customHeight="1">
      <c r="A22" s="134">
        <v>21</v>
      </c>
      <c r="B22" s="135" t="s">
        <v>129</v>
      </c>
      <c r="C22" s="67">
        <v>12442373</v>
      </c>
      <c r="D22" s="136">
        <f>$C22*POWER(SUM(Variables!$C$14,1),D$1-$C$1)</f>
        <v>15006687.638268843</v>
      </c>
      <c r="E22" s="136">
        <f>$C22*POWER(SUM(Variables!$C$14,1),E$1-$C$1)</f>
        <v>15362346.135295814</v>
      </c>
      <c r="F22" s="136">
        <f>$C22*POWER(SUM(Variables!$C$14,1),F$1-$C$1)</f>
        <v>15726433.738702327</v>
      </c>
      <c r="G22" s="136">
        <f>$C22*POWER(SUM(Variables!$C$14,1),G$1-$C$1)</f>
        <v>16099150.218309574</v>
      </c>
      <c r="H22" s="136">
        <f>$C22*POWER(SUM(Variables!$C$14,1),H$1-$C$1)</f>
        <v>16480700.078483514</v>
      </c>
      <c r="I22" s="136">
        <f>$C22*POWER(SUM(Variables!$C$14,1),I$1-$C$1)</f>
        <v>16871292.670343574</v>
      </c>
      <c r="J22" s="136">
        <f>$C22*POWER(SUM(Variables!$C$14,1),J$1-$C$1)</f>
        <v>17271142.306630719</v>
      </c>
      <c r="K22" s="136">
        <f>$C22*POWER(SUM(Variables!$C$14,1),K$1-$C$1)</f>
        <v>17680468.379297871</v>
      </c>
      <c r="L22" s="136">
        <f>$C22*POWER(SUM(Variables!$C$14,1),L$1-$C$1)</f>
        <v>18099495.479887232</v>
      </c>
      <c r="M22" s="136">
        <f>$C22*POWER(SUM(Variables!$C$14,1),M$1-$C$1)</f>
        <v>18528453.522760559</v>
      </c>
      <c r="N22" s="136">
        <f>$C22*POWER(SUM(Variables!$C$14,1),N$1-$C$1)</f>
        <v>18967577.871249985</v>
      </c>
      <c r="O22" s="136">
        <f>$C22*POWER(SUM(Variables!$C$14,1),O$1-$C$1)</f>
        <v>19417109.466798615</v>
      </c>
      <c r="P22" s="80"/>
      <c r="Q22" s="80"/>
      <c r="R22" s="80"/>
      <c r="S22" s="80"/>
      <c r="T22" s="137"/>
      <c r="U22" s="80"/>
      <c r="V22" s="80"/>
      <c r="W22" s="80"/>
      <c r="X22" s="80"/>
      <c r="Y22" s="80"/>
      <c r="Z22" s="80"/>
      <c r="AA22" s="80"/>
      <c r="AB22" s="80"/>
    </row>
    <row r="23" spans="1:28" ht="14.25" customHeight="1">
      <c r="A23" s="134">
        <v>22</v>
      </c>
      <c r="B23" s="135" t="s">
        <v>130</v>
      </c>
      <c r="C23" s="67">
        <v>11034555</v>
      </c>
      <c r="D23" s="136">
        <f>$C23*POWER(SUM(Variables!$C$14,1),D$1-$C$1)</f>
        <v>13308724.96044747</v>
      </c>
      <c r="E23" s="136">
        <f>$C23*POWER(SUM(Variables!$C$14,1),E$1-$C$1)</f>
        <v>13624141.742010074</v>
      </c>
      <c r="F23" s="136">
        <f>$C23*POWER(SUM(Variables!$C$14,1),F$1-$C$1)</f>
        <v>13947033.901295714</v>
      </c>
      <c r="G23" s="136">
        <f>$C23*POWER(SUM(Variables!$C$14,1),G$1-$C$1)</f>
        <v>14277578.604756424</v>
      </c>
      <c r="H23" s="136">
        <f>$C23*POWER(SUM(Variables!$C$14,1),H$1-$C$1)</f>
        <v>14615957.217689155</v>
      </c>
      <c r="I23" s="136">
        <f>$C23*POWER(SUM(Variables!$C$14,1),I$1-$C$1)</f>
        <v>14962355.403748387</v>
      </c>
      <c r="J23" s="136">
        <f>$C23*POWER(SUM(Variables!$C$14,1),J$1-$C$1)</f>
        <v>15316963.226817226</v>
      </c>
      <c r="K23" s="136">
        <f>$C23*POWER(SUM(Variables!$C$14,1),K$1-$C$1)</f>
        <v>15679975.255292797</v>
      </c>
      <c r="L23" s="136">
        <f>$C23*POWER(SUM(Variables!$C$14,1),L$1-$C$1)</f>
        <v>16051590.668843238</v>
      </c>
      <c r="M23" s="136">
        <f>$C23*POWER(SUM(Variables!$C$14,1),M$1-$C$1)</f>
        <v>16432013.367694823</v>
      </c>
      <c r="N23" s="136">
        <f>$C23*POWER(SUM(Variables!$C$14,1),N$1-$C$1)</f>
        <v>16821452.08450919</v>
      </c>
      <c r="O23" s="136">
        <f>$C23*POWER(SUM(Variables!$C$14,1),O$1-$C$1)</f>
        <v>17220120.498912062</v>
      </c>
      <c r="P23" s="80"/>
      <c r="Q23" s="80"/>
      <c r="R23" s="80"/>
      <c r="S23" s="80"/>
      <c r="T23" s="137"/>
      <c r="U23" s="80"/>
      <c r="V23" s="80"/>
      <c r="W23" s="80"/>
      <c r="X23" s="80"/>
      <c r="Y23" s="80"/>
      <c r="Z23" s="80"/>
      <c r="AA23" s="80"/>
      <c r="AB23" s="80"/>
    </row>
    <row r="24" spans="1:28" ht="14.25" customHeight="1">
      <c r="A24" s="134">
        <v>23</v>
      </c>
      <c r="B24" s="135" t="s">
        <v>131</v>
      </c>
      <c r="C24" s="67">
        <v>40017</v>
      </c>
      <c r="D24" s="136">
        <f>$C24*POWER(SUM(Variables!$C$14,1),D$1-$C$1)</f>
        <v>48264.315755572054</v>
      </c>
      <c r="E24" s="136">
        <f>$C24*POWER(SUM(Variables!$C$14,1),E$1-$C$1)</f>
        <v>49408.18003897911</v>
      </c>
      <c r="F24" s="136">
        <f>$C24*POWER(SUM(Variables!$C$14,1),F$1-$C$1)</f>
        <v>50579.153905902916</v>
      </c>
      <c r="G24" s="136">
        <f>$C24*POWER(SUM(Variables!$C$14,1),G$1-$C$1)</f>
        <v>51777.879853472827</v>
      </c>
      <c r="H24" s="136">
        <f>$C24*POWER(SUM(Variables!$C$14,1),H$1-$C$1)</f>
        <v>53005.015606000139</v>
      </c>
      <c r="I24" s="136">
        <f>$C24*POWER(SUM(Variables!$C$14,1),I$1-$C$1)</f>
        <v>54261.234475862344</v>
      </c>
      <c r="J24" s="136">
        <f>$C24*POWER(SUM(Variables!$C$14,1),J$1-$C$1)</f>
        <v>55547.225732940293</v>
      </c>
      <c r="K24" s="136">
        <f>$C24*POWER(SUM(Variables!$C$14,1),K$1-$C$1)</f>
        <v>56863.694982810986</v>
      </c>
      <c r="L24" s="136">
        <f>$C24*POWER(SUM(Variables!$C$14,1),L$1-$C$1)</f>
        <v>58211.364553903608</v>
      </c>
      <c r="M24" s="136">
        <f>$C24*POWER(SUM(Variables!$C$14,1),M$1-$C$1)</f>
        <v>59590.973893831127</v>
      </c>
      <c r="N24" s="136">
        <f>$C24*POWER(SUM(Variables!$C$14,1),N$1-$C$1)</f>
        <v>61003.279975114929</v>
      </c>
      <c r="O24" s="136">
        <f>$C24*POWER(SUM(Variables!$C$14,1),O$1-$C$1)</f>
        <v>62449.057710525165</v>
      </c>
      <c r="P24" s="80"/>
      <c r="Q24" s="80"/>
      <c r="R24" s="80"/>
      <c r="S24" s="80"/>
      <c r="T24" s="137"/>
      <c r="U24" s="80"/>
      <c r="V24" s="80"/>
      <c r="W24" s="80"/>
      <c r="X24" s="80"/>
      <c r="Y24" s="80"/>
      <c r="Z24" s="80"/>
      <c r="AA24" s="80"/>
      <c r="AB24" s="80"/>
    </row>
    <row r="25" spans="1:28" ht="14.25" customHeight="1">
      <c r="A25" s="134">
        <v>24</v>
      </c>
      <c r="B25" s="135" t="s">
        <v>132</v>
      </c>
      <c r="C25" s="67">
        <v>1684222</v>
      </c>
      <c r="D25" s="136">
        <f>$C25*POWER(SUM(Variables!$C$14,1),D$1-$C$1)</f>
        <v>2031332.2440583021</v>
      </c>
      <c r="E25" s="136">
        <f>$C25*POWER(SUM(Variables!$C$14,1),E$1-$C$1)</f>
        <v>2079474.8182424838</v>
      </c>
      <c r="F25" s="136">
        <f>$C25*POWER(SUM(Variables!$C$14,1),F$1-$C$1)</f>
        <v>2128758.3714348311</v>
      </c>
      <c r="G25" s="136">
        <f>$C25*POWER(SUM(Variables!$C$14,1),G$1-$C$1)</f>
        <v>2179209.9448378365</v>
      </c>
      <c r="H25" s="136">
        <f>$C25*POWER(SUM(Variables!$C$14,1),H$1-$C$1)</f>
        <v>2230857.2205304937</v>
      </c>
      <c r="I25" s="136">
        <f>$C25*POWER(SUM(Variables!$C$14,1),I$1-$C$1)</f>
        <v>2283728.5366570666</v>
      </c>
      <c r="J25" s="136">
        <f>$C25*POWER(SUM(Variables!$C$14,1),J$1-$C$1)</f>
        <v>2337852.9029758396</v>
      </c>
      <c r="K25" s="136">
        <f>$C25*POWER(SUM(Variables!$C$14,1),K$1-$C$1)</f>
        <v>2393260.0167763671</v>
      </c>
      <c r="L25" s="136">
        <f>$C25*POWER(SUM(Variables!$C$14,1),L$1-$C$1)</f>
        <v>2449980.2791739674</v>
      </c>
      <c r="M25" s="136">
        <f>$C25*POWER(SUM(Variables!$C$14,1),M$1-$C$1)</f>
        <v>2508044.8117903904</v>
      </c>
      <c r="N25" s="136">
        <f>$C25*POWER(SUM(Variables!$C$14,1),N$1-$C$1)</f>
        <v>2567485.4738298226</v>
      </c>
      <c r="O25" s="136">
        <f>$C25*POWER(SUM(Variables!$C$14,1),O$1-$C$1)</f>
        <v>2628334.87955959</v>
      </c>
      <c r="P25" s="80"/>
      <c r="Q25" s="80"/>
      <c r="R25" s="80"/>
      <c r="S25" s="80"/>
      <c r="T25" s="137"/>
      <c r="U25" s="80"/>
      <c r="V25" s="80"/>
      <c r="W25" s="80"/>
      <c r="X25" s="80"/>
      <c r="Y25" s="80"/>
      <c r="Z25" s="80"/>
      <c r="AA25" s="80"/>
      <c r="AB25" s="80"/>
    </row>
    <row r="26" spans="1:28" ht="14.25" customHeight="1">
      <c r="A26" s="134">
        <v>25</v>
      </c>
      <c r="B26" s="135" t="s">
        <v>133</v>
      </c>
      <c r="C26" s="67">
        <v>241773</v>
      </c>
      <c r="D26" s="136">
        <f>$C26*POWER(SUM(Variables!$C$14,1),D$1-$C$1)</f>
        <v>291601.27978538926</v>
      </c>
      <c r="E26" s="136">
        <f>$C26*POWER(SUM(Variables!$C$14,1),E$1-$C$1)</f>
        <v>298512.23011630296</v>
      </c>
      <c r="F26" s="136">
        <f>$C26*POWER(SUM(Variables!$C$14,1),F$1-$C$1)</f>
        <v>305586.96997005941</v>
      </c>
      <c r="G26" s="136">
        <f>$C26*POWER(SUM(Variables!$C$14,1),G$1-$C$1)</f>
        <v>312829.38115834986</v>
      </c>
      <c r="H26" s="136">
        <f>$C26*POWER(SUM(Variables!$C$14,1),H$1-$C$1)</f>
        <v>320243.43749180279</v>
      </c>
      <c r="I26" s="136">
        <f>$C26*POWER(SUM(Variables!$C$14,1),I$1-$C$1)</f>
        <v>327833.20696035854</v>
      </c>
      <c r="J26" s="136">
        <f>$C26*POWER(SUM(Variables!$C$14,1),J$1-$C$1)</f>
        <v>335602.85396531905</v>
      </c>
      <c r="K26" s="136">
        <f>$C26*POWER(SUM(Variables!$C$14,1),K$1-$C$1)</f>
        <v>343556.64160429715</v>
      </c>
      <c r="L26" s="136">
        <f>$C26*POWER(SUM(Variables!$C$14,1),L$1-$C$1)</f>
        <v>351698.93401031906</v>
      </c>
      <c r="M26" s="136">
        <f>$C26*POWER(SUM(Variables!$C$14,1),M$1-$C$1)</f>
        <v>360034.19874636363</v>
      </c>
      <c r="N26" s="136">
        <f>$C26*POWER(SUM(Variables!$C$14,1),N$1-$C$1)</f>
        <v>368567.0092566525</v>
      </c>
      <c r="O26" s="136">
        <f>$C26*POWER(SUM(Variables!$C$14,1),O$1-$C$1)</f>
        <v>377302.04737603519</v>
      </c>
      <c r="P26" s="80"/>
      <c r="Q26" s="80"/>
      <c r="R26" s="80"/>
      <c r="S26" s="80"/>
      <c r="T26" s="137"/>
      <c r="U26" s="80"/>
      <c r="V26" s="80"/>
      <c r="W26" s="80"/>
      <c r="X26" s="80"/>
      <c r="Y26" s="80"/>
      <c r="Z26" s="80"/>
      <c r="AA26" s="80"/>
      <c r="AB26" s="80"/>
    </row>
    <row r="27" spans="1:28" ht="14.25" customHeight="1">
      <c r="A27" s="134">
        <v>26</v>
      </c>
      <c r="B27" s="135" t="s">
        <v>134</v>
      </c>
      <c r="C27" s="67">
        <v>100186</v>
      </c>
      <c r="D27" s="136">
        <f>$C27*POWER(SUM(Variables!$C$14,1),D$1-$C$1)</f>
        <v>120833.86406496594</v>
      </c>
      <c r="E27" s="136">
        <f>$C27*POWER(SUM(Variables!$C$14,1),E$1-$C$1)</f>
        <v>123697.62664330562</v>
      </c>
      <c r="F27" s="136">
        <f>$C27*POWER(SUM(Variables!$C$14,1),F$1-$C$1)</f>
        <v>126629.26039475198</v>
      </c>
      <c r="G27" s="136">
        <f>$C27*POWER(SUM(Variables!$C$14,1),G$1-$C$1)</f>
        <v>129630.37386610762</v>
      </c>
      <c r="H27" s="136">
        <f>$C27*POWER(SUM(Variables!$C$14,1),H$1-$C$1)</f>
        <v>132702.61372673439</v>
      </c>
      <c r="I27" s="136">
        <f>$C27*POWER(SUM(Variables!$C$14,1),I$1-$C$1)</f>
        <v>135847.66567205801</v>
      </c>
      <c r="J27" s="136">
        <f>$C27*POWER(SUM(Variables!$C$14,1),J$1-$C$1)</f>
        <v>139067.25534848581</v>
      </c>
      <c r="K27" s="136">
        <f>$C27*POWER(SUM(Variables!$C$14,1),K$1-$C$1)</f>
        <v>142363.14930024493</v>
      </c>
      <c r="L27" s="136">
        <f>$C27*POWER(SUM(Variables!$C$14,1),L$1-$C$1)</f>
        <v>145737.15593866076</v>
      </c>
      <c r="M27" s="136">
        <f>$C27*POWER(SUM(Variables!$C$14,1),M$1-$C$1)</f>
        <v>149191.126534407</v>
      </c>
      <c r="N27" s="136">
        <f>$C27*POWER(SUM(Variables!$C$14,1),N$1-$C$1)</f>
        <v>152726.95623327247</v>
      </c>
      <c r="O27" s="136">
        <f>$C27*POWER(SUM(Variables!$C$14,1),O$1-$C$1)</f>
        <v>156346.58509600104</v>
      </c>
      <c r="P27" s="80"/>
      <c r="Q27" s="80"/>
      <c r="R27" s="80"/>
      <c r="S27" s="80"/>
      <c r="T27" s="137"/>
      <c r="U27" s="80"/>
      <c r="V27" s="80"/>
      <c r="W27" s="80"/>
      <c r="X27" s="80"/>
      <c r="Y27" s="80"/>
      <c r="Z27" s="80"/>
      <c r="AA27" s="80"/>
      <c r="AB27" s="80"/>
    </row>
    <row r="28" spans="1:28" ht="14.25" customHeight="1">
      <c r="A28" s="134">
        <v>27</v>
      </c>
      <c r="B28" s="135" t="s">
        <v>135</v>
      </c>
      <c r="C28" s="67">
        <v>1010433</v>
      </c>
      <c r="D28" s="136">
        <f>$C28*POWER(SUM(Variables!$C$14,1),D$1-$C$1)</f>
        <v>1218678.495685582</v>
      </c>
      <c r="E28" s="136">
        <f>$C28*POWER(SUM(Variables!$C$14,1),E$1-$C$1)</f>
        <v>1247561.1760333304</v>
      </c>
      <c r="F28" s="136">
        <f>$C28*POWER(SUM(Variables!$C$14,1),F$1-$C$1)</f>
        <v>1277128.3759053203</v>
      </c>
      <c r="G28" s="136">
        <f>$C28*POWER(SUM(Variables!$C$14,1),G$1-$C$1)</f>
        <v>1307396.3184142767</v>
      </c>
      <c r="H28" s="136">
        <f>$C28*POWER(SUM(Variables!$C$14,1),H$1-$C$1)</f>
        <v>1338381.6111606953</v>
      </c>
      <c r="I28" s="136">
        <f>$C28*POWER(SUM(Variables!$C$14,1),I$1-$C$1)</f>
        <v>1370101.2553452037</v>
      </c>
      <c r="J28" s="136">
        <f>$C28*POWER(SUM(Variables!$C$14,1),J$1-$C$1)</f>
        <v>1402572.6550968853</v>
      </c>
      <c r="K28" s="136">
        <f>$C28*POWER(SUM(Variables!$C$14,1),K$1-$C$1)</f>
        <v>1435813.6270226818</v>
      </c>
      <c r="L28" s="136">
        <f>$C28*POWER(SUM(Variables!$C$14,1),L$1-$C$1)</f>
        <v>1469842.4099831195</v>
      </c>
      <c r="M28" s="136">
        <f>$C28*POWER(SUM(Variables!$C$14,1),M$1-$C$1)</f>
        <v>1504677.6750997193</v>
      </c>
      <c r="N28" s="136">
        <f>$C28*POWER(SUM(Variables!$C$14,1),N$1-$C$1)</f>
        <v>1540338.5359995828</v>
      </c>
      <c r="O28" s="136">
        <f>$C28*POWER(SUM(Variables!$C$14,1),O$1-$C$1)</f>
        <v>1576844.5593027731</v>
      </c>
      <c r="P28" s="80"/>
      <c r="Q28" s="80"/>
      <c r="R28" s="80"/>
      <c r="S28" s="80"/>
      <c r="T28" s="137"/>
      <c r="U28" s="80"/>
      <c r="V28" s="80"/>
      <c r="W28" s="80"/>
      <c r="X28" s="80"/>
      <c r="Y28" s="80"/>
      <c r="Z28" s="80"/>
      <c r="AA28" s="80"/>
      <c r="AB28" s="80"/>
    </row>
    <row r="29" spans="1:28" ht="14.25" customHeight="1">
      <c r="A29" s="134">
        <v>28</v>
      </c>
      <c r="B29" s="135" t="s">
        <v>136</v>
      </c>
      <c r="C29" s="67">
        <v>1073427</v>
      </c>
      <c r="D29" s="136">
        <f>$C29*POWER(SUM(Variables!$C$14,1),D$1-$C$1)</f>
        <v>1294655.2632270395</v>
      </c>
      <c r="E29" s="136">
        <f>$C29*POWER(SUM(Variables!$C$14,1),E$1-$C$1)</f>
        <v>1325338.5929655205</v>
      </c>
      <c r="F29" s="136">
        <f>$C29*POWER(SUM(Variables!$C$14,1),F$1-$C$1)</f>
        <v>1356749.1176188034</v>
      </c>
      <c r="G29" s="136">
        <f>$C29*POWER(SUM(Variables!$C$14,1),G$1-$C$1)</f>
        <v>1388904.0717063691</v>
      </c>
      <c r="H29" s="136">
        <f>$C29*POWER(SUM(Variables!$C$14,1),H$1-$C$1)</f>
        <v>1421821.0982058104</v>
      </c>
      <c r="I29" s="136">
        <f>$C29*POWER(SUM(Variables!$C$14,1),I$1-$C$1)</f>
        <v>1455518.2582332881</v>
      </c>
      <c r="J29" s="136">
        <f>$C29*POWER(SUM(Variables!$C$14,1),J$1-$C$1)</f>
        <v>1490014.0409534173</v>
      </c>
      <c r="K29" s="136">
        <f>$C29*POWER(SUM(Variables!$C$14,1),K$1-$C$1)</f>
        <v>1525327.3737240136</v>
      </c>
      <c r="L29" s="136">
        <f>$C29*POWER(SUM(Variables!$C$14,1),L$1-$C$1)</f>
        <v>1561477.6324812728</v>
      </c>
      <c r="M29" s="136">
        <f>$C29*POWER(SUM(Variables!$C$14,1),M$1-$C$1)</f>
        <v>1598484.652371079</v>
      </c>
      <c r="N29" s="136">
        <f>$C29*POWER(SUM(Variables!$C$14,1),N$1-$C$1)</f>
        <v>1636368.7386322736</v>
      </c>
      <c r="O29" s="136">
        <f>$C29*POWER(SUM(Variables!$C$14,1),O$1-$C$1)</f>
        <v>1675150.6777378588</v>
      </c>
      <c r="P29" s="80"/>
      <c r="Q29" s="80"/>
      <c r="R29" s="80"/>
      <c r="S29" s="80"/>
      <c r="T29" s="137"/>
      <c r="U29" s="80"/>
      <c r="V29" s="80"/>
      <c r="W29" s="80"/>
      <c r="X29" s="80"/>
      <c r="Y29" s="80"/>
      <c r="Z29" s="80"/>
      <c r="AA29" s="80"/>
      <c r="AB29" s="80"/>
    </row>
    <row r="30" spans="1:28" ht="14.25" customHeight="1">
      <c r="A30" s="134">
        <v>29</v>
      </c>
      <c r="B30" s="135" t="s">
        <v>137</v>
      </c>
      <c r="C30" s="67">
        <v>143229</v>
      </c>
      <c r="D30" s="136">
        <f>$C30*POWER(SUM(Variables!$C$14,1),D$1-$C$1)</f>
        <v>172747.82420858208</v>
      </c>
      <c r="E30" s="136">
        <f>$C30*POWER(SUM(Variables!$C$14,1),E$1-$C$1)</f>
        <v>176841.94764232548</v>
      </c>
      <c r="F30" s="136">
        <f>$C30*POWER(SUM(Variables!$C$14,1),F$1-$C$1)</f>
        <v>181033.10180144862</v>
      </c>
      <c r="G30" s="136">
        <f>$C30*POWER(SUM(Variables!$C$14,1),G$1-$C$1)</f>
        <v>185323.58631414297</v>
      </c>
      <c r="H30" s="136">
        <f>$C30*POWER(SUM(Variables!$C$14,1),H$1-$C$1)</f>
        <v>189715.75530978819</v>
      </c>
      <c r="I30" s="136">
        <f>$C30*POWER(SUM(Variables!$C$14,1),I$1-$C$1)</f>
        <v>194212.01871063019</v>
      </c>
      <c r="J30" s="136">
        <f>$C30*POWER(SUM(Variables!$C$14,1),J$1-$C$1)</f>
        <v>198814.84355407214</v>
      </c>
      <c r="K30" s="136">
        <f>$C30*POWER(SUM(Variables!$C$14,1),K$1-$C$1)</f>
        <v>203526.75534630369</v>
      </c>
      <c r="L30" s="136">
        <f>$C30*POWER(SUM(Variables!$C$14,1),L$1-$C$1)</f>
        <v>208350.3394480111</v>
      </c>
      <c r="M30" s="136">
        <f>$C30*POWER(SUM(Variables!$C$14,1),M$1-$C$1)</f>
        <v>213288.24249292898</v>
      </c>
      <c r="N30" s="136">
        <f>$C30*POWER(SUM(Variables!$C$14,1),N$1-$C$1)</f>
        <v>218343.17384001141</v>
      </c>
      <c r="O30" s="136">
        <f>$C30*POWER(SUM(Variables!$C$14,1),O$1-$C$1)</f>
        <v>223517.9070600197</v>
      </c>
      <c r="P30" s="80"/>
      <c r="Q30" s="80"/>
      <c r="R30" s="80"/>
      <c r="S30" s="80"/>
      <c r="T30" s="137"/>
      <c r="U30" s="80"/>
      <c r="V30" s="80"/>
      <c r="W30" s="80"/>
      <c r="X30" s="80"/>
      <c r="Y30" s="80"/>
      <c r="Z30" s="80"/>
      <c r="AA30" s="80"/>
      <c r="AB30" s="80"/>
    </row>
    <row r="31" spans="1:28" ht="14.25" customHeight="1">
      <c r="A31" s="134">
        <v>30</v>
      </c>
      <c r="B31" s="135" t="s">
        <v>138</v>
      </c>
      <c r="C31" s="67">
        <v>98265</v>
      </c>
      <c r="D31" s="136">
        <f>$C31*POWER(SUM(Variables!$C$14,1),D$1-$C$1)</f>
        <v>118516.95498716265</v>
      </c>
      <c r="E31" s="136">
        <f>$C31*POWER(SUM(Variables!$C$14,1),E$1-$C$1)</f>
        <v>121325.8068203584</v>
      </c>
      <c r="F31" s="136">
        <f>$C31*POWER(SUM(Variables!$C$14,1),F$1-$C$1)</f>
        <v>124201.22844200091</v>
      </c>
      <c r="G31" s="136">
        <f>$C31*POWER(SUM(Variables!$C$14,1),G$1-$C$1)</f>
        <v>127144.79755607634</v>
      </c>
      <c r="H31" s="136">
        <f>$C31*POWER(SUM(Variables!$C$14,1),H$1-$C$1)</f>
        <v>130158.12925815539</v>
      </c>
      <c r="I31" s="136">
        <f>$C31*POWER(SUM(Variables!$C$14,1),I$1-$C$1)</f>
        <v>133242.87692157365</v>
      </c>
      <c r="J31" s="136">
        <f>$C31*POWER(SUM(Variables!$C$14,1),J$1-$C$1)</f>
        <v>136400.73310461498</v>
      </c>
      <c r="K31" s="136">
        <f>$C31*POWER(SUM(Variables!$C$14,1),K$1-$C$1)</f>
        <v>139633.43047919439</v>
      </c>
      <c r="L31" s="136">
        <f>$C31*POWER(SUM(Variables!$C$14,1),L$1-$C$1)</f>
        <v>142942.74278155129</v>
      </c>
      <c r="M31" s="136">
        <f>$C31*POWER(SUM(Variables!$C$14,1),M$1-$C$1)</f>
        <v>146330.48578547407</v>
      </c>
      <c r="N31" s="136">
        <f>$C31*POWER(SUM(Variables!$C$14,1),N$1-$C$1)</f>
        <v>149798.51829858983</v>
      </c>
      <c r="O31" s="136">
        <f>$C31*POWER(SUM(Variables!$C$14,1),O$1-$C$1)</f>
        <v>153348.74318226642</v>
      </c>
      <c r="P31" s="80"/>
      <c r="Q31" s="80"/>
      <c r="R31" s="80"/>
      <c r="S31" s="80"/>
      <c r="T31" s="137"/>
      <c r="U31" s="80"/>
      <c r="V31" s="80"/>
      <c r="W31" s="80"/>
      <c r="X31" s="80"/>
      <c r="Y31" s="80"/>
      <c r="Z31" s="80"/>
      <c r="AA31" s="80"/>
      <c r="AB31" s="80"/>
    </row>
    <row r="32" spans="1:28" ht="14.25" customHeight="1">
      <c r="A32" s="134">
        <v>31</v>
      </c>
      <c r="B32" s="135" t="s">
        <v>139</v>
      </c>
      <c r="C32" s="67">
        <v>169578</v>
      </c>
      <c r="D32" s="136">
        <f>$C32*POWER(SUM(Variables!$C$14,1),D$1-$C$1)</f>
        <v>204527.22935748301</v>
      </c>
      <c r="E32" s="136">
        <f>$C32*POWER(SUM(Variables!$C$14,1),E$1-$C$1)</f>
        <v>209374.52469325534</v>
      </c>
      <c r="F32" s="136">
        <f>$C32*POWER(SUM(Variables!$C$14,1),F$1-$C$1)</f>
        <v>214336.70092848552</v>
      </c>
      <c r="G32" s="136">
        <f>$C32*POWER(SUM(Variables!$C$14,1),G$1-$C$1)</f>
        <v>219416.48074049066</v>
      </c>
      <c r="H32" s="136">
        <f>$C32*POWER(SUM(Variables!$C$14,1),H$1-$C$1)</f>
        <v>224616.65133404033</v>
      </c>
      <c r="I32" s="136">
        <f>$C32*POWER(SUM(Variables!$C$14,1),I$1-$C$1)</f>
        <v>229940.0659706571</v>
      </c>
      <c r="J32" s="136">
        <f>$C32*POWER(SUM(Variables!$C$14,1),J$1-$C$1)</f>
        <v>235389.64553416171</v>
      </c>
      <c r="K32" s="136">
        <f>$C32*POWER(SUM(Variables!$C$14,1),K$1-$C$1)</f>
        <v>240968.38013332136</v>
      </c>
      <c r="L32" s="136">
        <f>$C32*POWER(SUM(Variables!$C$14,1),L$1-$C$1)</f>
        <v>246679.33074248111</v>
      </c>
      <c r="M32" s="136">
        <f>$C32*POWER(SUM(Variables!$C$14,1),M$1-$C$1)</f>
        <v>252525.63088107793</v>
      </c>
      <c r="N32" s="136">
        <f>$C32*POWER(SUM(Variables!$C$14,1),N$1-$C$1)</f>
        <v>258510.48833295947</v>
      </c>
      <c r="O32" s="136">
        <f>$C32*POWER(SUM(Variables!$C$14,1),O$1-$C$1)</f>
        <v>264637.18690645066</v>
      </c>
      <c r="P32" s="80"/>
      <c r="Q32" s="80"/>
      <c r="R32" s="80"/>
      <c r="S32" s="80"/>
      <c r="T32" s="137"/>
      <c r="U32" s="80"/>
      <c r="V32" s="80"/>
      <c r="W32" s="80"/>
      <c r="X32" s="80"/>
      <c r="Y32" s="80"/>
      <c r="Z32" s="80"/>
      <c r="AA32" s="80"/>
      <c r="AB32" s="80"/>
    </row>
    <row r="33" spans="1:28" ht="14.25" customHeight="1">
      <c r="A33" s="134">
        <v>32</v>
      </c>
      <c r="B33" s="135" t="s">
        <v>140</v>
      </c>
      <c r="C33" s="67">
        <v>1180570</v>
      </c>
      <c r="D33" s="136">
        <f>$C33*POWER(SUM(Variables!$C$14,1),D$1-$C$1)</f>
        <v>1423879.9323176574</v>
      </c>
      <c r="E33" s="136">
        <f>$C33*POWER(SUM(Variables!$C$14,1),E$1-$C$1)</f>
        <v>1457625.8867135858</v>
      </c>
      <c r="F33" s="136">
        <f>$C33*POWER(SUM(Variables!$C$14,1),F$1-$C$1)</f>
        <v>1492171.620228698</v>
      </c>
      <c r="G33" s="136">
        <f>$C33*POWER(SUM(Variables!$C$14,1),G$1-$C$1)</f>
        <v>1527536.0876281185</v>
      </c>
      <c r="H33" s="136">
        <f>$C33*POWER(SUM(Variables!$C$14,1),H$1-$C$1)</f>
        <v>1563738.6929049052</v>
      </c>
      <c r="I33" s="136">
        <f>$C33*POWER(SUM(Variables!$C$14,1),I$1-$C$1)</f>
        <v>1600799.2999267513</v>
      </c>
      <c r="J33" s="136">
        <f>$C33*POWER(SUM(Variables!$C$14,1),J$1-$C$1)</f>
        <v>1638738.2433350156</v>
      </c>
      <c r="K33" s="136">
        <f>$C33*POWER(SUM(Variables!$C$14,1),K$1-$C$1)</f>
        <v>1677576.3397020558</v>
      </c>
      <c r="L33" s="136">
        <f>$C33*POWER(SUM(Variables!$C$14,1),L$1-$C$1)</f>
        <v>1717334.8989529947</v>
      </c>
      <c r="M33" s="136">
        <f>$C33*POWER(SUM(Variables!$C$14,1),M$1-$C$1)</f>
        <v>1758035.7360581807</v>
      </c>
      <c r="N33" s="136">
        <f>$C33*POWER(SUM(Variables!$C$14,1),N$1-$C$1)</f>
        <v>1799701.1830027597</v>
      </c>
      <c r="O33" s="136">
        <f>$C33*POWER(SUM(Variables!$C$14,1),O$1-$C$1)</f>
        <v>1842354.1010399254</v>
      </c>
      <c r="P33" s="80"/>
      <c r="Q33" s="80"/>
      <c r="R33" s="80"/>
      <c r="S33" s="80"/>
      <c r="T33" s="137"/>
      <c r="U33" s="80"/>
      <c r="V33" s="80"/>
      <c r="W33" s="80"/>
      <c r="X33" s="80"/>
      <c r="Y33" s="80"/>
      <c r="Z33" s="80"/>
      <c r="AA33" s="80"/>
      <c r="AB33" s="80"/>
    </row>
    <row r="34" spans="1:28" ht="14.25" customHeight="1">
      <c r="A34" s="134">
        <v>33</v>
      </c>
      <c r="B34" s="135" t="s">
        <v>141</v>
      </c>
      <c r="C34" s="67">
        <v>743691</v>
      </c>
      <c r="D34" s="136">
        <f>$C34*POWER(SUM(Variables!$C$14,1),D$1-$C$1)</f>
        <v>896962.22226996359</v>
      </c>
      <c r="E34" s="136">
        <f>$C34*POWER(SUM(Variables!$C$14,1),E$1-$C$1)</f>
        <v>918220.22693776176</v>
      </c>
      <c r="F34" s="136">
        <f>$C34*POWER(SUM(Variables!$C$14,1),F$1-$C$1)</f>
        <v>939982.04631618678</v>
      </c>
      <c r="G34" s="136">
        <f>$C34*POWER(SUM(Variables!$C$14,1),G$1-$C$1)</f>
        <v>962259.62081388058</v>
      </c>
      <c r="H34" s="136">
        <f>$C34*POWER(SUM(Variables!$C$14,1),H$1-$C$1)</f>
        <v>985065.1738271697</v>
      </c>
      <c r="I34" s="136">
        <f>$C34*POWER(SUM(Variables!$C$14,1),I$1-$C$1)</f>
        <v>1008411.2184468737</v>
      </c>
      <c r="J34" s="136">
        <f>$C34*POWER(SUM(Variables!$C$14,1),J$1-$C$1)</f>
        <v>1032310.5643240648</v>
      </c>
      <c r="K34" s="136">
        <f>$C34*POWER(SUM(Variables!$C$14,1),K$1-$C$1)</f>
        <v>1056776.3246985453</v>
      </c>
      <c r="L34" s="136">
        <f>$C34*POWER(SUM(Variables!$C$14,1),L$1-$C$1)</f>
        <v>1081821.9235939009</v>
      </c>
      <c r="M34" s="136">
        <f>$C34*POWER(SUM(Variables!$C$14,1),M$1-$C$1)</f>
        <v>1107461.1031830763</v>
      </c>
      <c r="N34" s="136">
        <f>$C34*POWER(SUM(Variables!$C$14,1),N$1-$C$1)</f>
        <v>1133707.9313285153</v>
      </c>
      <c r="O34" s="136">
        <f>$C34*POWER(SUM(Variables!$C$14,1),O$1-$C$1)</f>
        <v>1160576.8093010013</v>
      </c>
      <c r="P34" s="80"/>
      <c r="Q34" s="80"/>
      <c r="R34" s="80"/>
      <c r="S34" s="80"/>
      <c r="T34" s="137"/>
      <c r="U34" s="80"/>
      <c r="V34" s="80"/>
      <c r="W34" s="80"/>
      <c r="X34" s="80"/>
      <c r="Y34" s="80"/>
      <c r="Z34" s="80"/>
      <c r="AA34" s="80"/>
      <c r="AB34" s="80"/>
    </row>
    <row r="35" spans="1:28" ht="14.25" customHeight="1">
      <c r="A35" s="134">
        <v>34</v>
      </c>
      <c r="B35" s="135" t="s">
        <v>142</v>
      </c>
      <c r="C35" s="67">
        <v>430214</v>
      </c>
      <c r="D35" s="136">
        <f>$C35*POWER(SUM(Variables!$C$14,1),D$1-$C$1)</f>
        <v>518879.08485063037</v>
      </c>
      <c r="E35" s="136">
        <f>$C35*POWER(SUM(Variables!$C$14,1),E$1-$C$1)</f>
        <v>531176.51916159026</v>
      </c>
      <c r="F35" s="136">
        <f>$C35*POWER(SUM(Variables!$C$14,1),F$1-$C$1)</f>
        <v>543765.40266572009</v>
      </c>
      <c r="G35" s="136">
        <f>$C35*POWER(SUM(Variables!$C$14,1),G$1-$C$1)</f>
        <v>556652.64270889771</v>
      </c>
      <c r="H35" s="136">
        <f>$C35*POWER(SUM(Variables!$C$14,1),H$1-$C$1)</f>
        <v>569845.3103410987</v>
      </c>
      <c r="I35" s="136">
        <f>$C35*POWER(SUM(Variables!$C$14,1),I$1-$C$1)</f>
        <v>583350.64419618272</v>
      </c>
      <c r="J35" s="136">
        <f>$C35*POWER(SUM(Variables!$C$14,1),J$1-$C$1)</f>
        <v>597176.05446363229</v>
      </c>
      <c r="K35" s="136">
        <f>$C35*POWER(SUM(Variables!$C$14,1),K$1-$C$1)</f>
        <v>611329.12695442047</v>
      </c>
      <c r="L35" s="136">
        <f>$C35*POWER(SUM(Variables!$C$14,1),L$1-$C$1)</f>
        <v>625817.62726324028</v>
      </c>
      <c r="M35" s="136">
        <f>$C35*POWER(SUM(Variables!$C$14,1),M$1-$C$1)</f>
        <v>640649.50502937916</v>
      </c>
      <c r="N35" s="136">
        <f>$C35*POWER(SUM(Variables!$C$14,1),N$1-$C$1)</f>
        <v>655832.89829857543</v>
      </c>
      <c r="O35" s="136">
        <f>$C35*POWER(SUM(Variables!$C$14,1),O$1-$C$1)</f>
        <v>671376.13798825187</v>
      </c>
      <c r="P35" s="80"/>
      <c r="Q35" s="80"/>
      <c r="R35" s="80"/>
      <c r="S35" s="80"/>
      <c r="T35" s="137"/>
      <c r="U35" s="80"/>
      <c r="V35" s="80"/>
      <c r="W35" s="80"/>
      <c r="X35" s="80"/>
      <c r="Y35" s="80"/>
      <c r="Z35" s="80"/>
      <c r="AA35" s="80"/>
      <c r="AB35" s="80"/>
    </row>
    <row r="36" spans="1:28" ht="14.25" customHeight="1">
      <c r="A36" s="134">
        <v>35</v>
      </c>
      <c r="B36" s="135" t="s">
        <v>143</v>
      </c>
      <c r="C36" s="67">
        <v>183282</v>
      </c>
      <c r="D36" s="136">
        <f>$C36*POWER(SUM(Variables!$C$14,1),D$1-$C$1)</f>
        <v>221055.55939507601</v>
      </c>
      <c r="E36" s="136">
        <f>$C36*POWER(SUM(Variables!$C$14,1),E$1-$C$1)</f>
        <v>226294.57615273932</v>
      </c>
      <c r="F36" s="136">
        <f>$C36*POWER(SUM(Variables!$C$14,1),F$1-$C$1)</f>
        <v>231657.75760755927</v>
      </c>
      <c r="G36" s="136">
        <f>$C36*POWER(SUM(Variables!$C$14,1),G$1-$C$1)</f>
        <v>237148.04646285845</v>
      </c>
      <c r="H36" s="136">
        <f>$C36*POWER(SUM(Variables!$C$14,1),H$1-$C$1)</f>
        <v>242768.45516402824</v>
      </c>
      <c r="I36" s="136">
        <f>$C36*POWER(SUM(Variables!$C$14,1),I$1-$C$1)</f>
        <v>248522.0675514157</v>
      </c>
      <c r="J36" s="136">
        <f>$C36*POWER(SUM(Variables!$C$14,1),J$1-$C$1)</f>
        <v>254412.04055238431</v>
      </c>
      <c r="K36" s="136">
        <f>$C36*POWER(SUM(Variables!$C$14,1),K$1-$C$1)</f>
        <v>260441.60591347585</v>
      </c>
      <c r="L36" s="136">
        <f>$C36*POWER(SUM(Variables!$C$14,1),L$1-$C$1)</f>
        <v>266614.07197362528</v>
      </c>
      <c r="M36" s="136">
        <f>$C36*POWER(SUM(Variables!$C$14,1),M$1-$C$1)</f>
        <v>272932.82547940017</v>
      </c>
      <c r="N36" s="136">
        <f>$C36*POWER(SUM(Variables!$C$14,1),N$1-$C$1)</f>
        <v>279401.33344326197</v>
      </c>
      <c r="O36" s="136">
        <f>$C36*POWER(SUM(Variables!$C$14,1),O$1-$C$1)</f>
        <v>286023.14504586736</v>
      </c>
      <c r="P36" s="80"/>
      <c r="Q36" s="80"/>
      <c r="R36" s="80"/>
      <c r="S36" s="80"/>
      <c r="T36" s="137"/>
      <c r="U36" s="80"/>
      <c r="V36" s="80"/>
      <c r="W36" s="80"/>
      <c r="X36" s="80"/>
      <c r="Y36" s="80"/>
      <c r="Z36" s="80"/>
      <c r="AA36" s="80"/>
      <c r="AB36" s="80"/>
    </row>
    <row r="37" spans="1:28" ht="14.25" customHeight="1">
      <c r="A37" s="134">
        <v>36</v>
      </c>
      <c r="B37" s="135" t="s">
        <v>144</v>
      </c>
      <c r="C37" s="67">
        <v>1175116</v>
      </c>
      <c r="D37" s="136">
        <f>$C37*POWER(SUM(Variables!$C$14,1),D$1-$C$1)</f>
        <v>1417301.8885329936</v>
      </c>
      <c r="E37" s="136">
        <f>$C37*POWER(SUM(Variables!$C$14,1),E$1-$C$1)</f>
        <v>1450891.9432912257</v>
      </c>
      <c r="F37" s="136">
        <f>$C37*POWER(SUM(Variables!$C$14,1),F$1-$C$1)</f>
        <v>1485278.0823472277</v>
      </c>
      <c r="G37" s="136">
        <f>$C37*POWER(SUM(Variables!$C$14,1),G$1-$C$1)</f>
        <v>1520479.1728988574</v>
      </c>
      <c r="H37" s="136">
        <f>$C37*POWER(SUM(Variables!$C$14,1),H$1-$C$1)</f>
        <v>1556514.5292965604</v>
      </c>
      <c r="I37" s="136">
        <f>$C37*POWER(SUM(Variables!$C$14,1),I$1-$C$1)</f>
        <v>1593403.9236408891</v>
      </c>
      <c r="J37" s="136">
        <f>$C37*POWER(SUM(Variables!$C$14,1),J$1-$C$1)</f>
        <v>1631167.5966311784</v>
      </c>
      <c r="K37" s="136">
        <f>$C37*POWER(SUM(Variables!$C$14,1),K$1-$C$1)</f>
        <v>1669826.2686713375</v>
      </c>
      <c r="L37" s="136">
        <f>$C37*POWER(SUM(Variables!$C$14,1),L$1-$C$1)</f>
        <v>1709401.1512388485</v>
      </c>
      <c r="M37" s="136">
        <f>$C37*POWER(SUM(Variables!$C$14,1),M$1-$C$1)</f>
        <v>1749913.9585232092</v>
      </c>
      <c r="N37" s="136">
        <f>$C37*POWER(SUM(Variables!$C$14,1),N$1-$C$1)</f>
        <v>1791386.9193402093</v>
      </c>
      <c r="O37" s="136">
        <f>$C37*POWER(SUM(Variables!$C$14,1),O$1-$C$1)</f>
        <v>1833842.7893285726</v>
      </c>
      <c r="P37" s="80"/>
      <c r="Q37" s="80"/>
      <c r="R37" s="80"/>
      <c r="S37" s="80"/>
      <c r="T37" s="137"/>
      <c r="U37" s="80"/>
      <c r="V37" s="80"/>
      <c r="W37" s="80"/>
      <c r="X37" s="80"/>
      <c r="Y37" s="80"/>
      <c r="Z37" s="80"/>
      <c r="AA37" s="80"/>
      <c r="AB37" s="80"/>
    </row>
    <row r="38" spans="1:28" ht="14.25" customHeight="1">
      <c r="A38" s="134">
        <v>37</v>
      </c>
      <c r="B38" s="135" t="s">
        <v>145</v>
      </c>
      <c r="C38" s="67">
        <v>196057</v>
      </c>
      <c r="D38" s="136">
        <f>$C38*POWER(SUM(Variables!$C$14,1),D$1-$C$1)</f>
        <v>236463.42689582403</v>
      </c>
      <c r="E38" s="136">
        <f>$C38*POWER(SUM(Variables!$C$14,1),E$1-$C$1)</f>
        <v>242067.61011325504</v>
      </c>
      <c r="F38" s="136">
        <f>$C38*POWER(SUM(Variables!$C$14,1),F$1-$C$1)</f>
        <v>247804.61247293922</v>
      </c>
      <c r="G38" s="136">
        <f>$C38*POWER(SUM(Variables!$C$14,1),G$1-$C$1)</f>
        <v>253677.58178854792</v>
      </c>
      <c r="H38" s="136">
        <f>$C38*POWER(SUM(Variables!$C$14,1),H$1-$C$1)</f>
        <v>259689.74047693654</v>
      </c>
      <c r="I38" s="136">
        <f>$C38*POWER(SUM(Variables!$C$14,1),I$1-$C$1)</f>
        <v>265844.38732623996</v>
      </c>
      <c r="J38" s="136">
        <f>$C38*POWER(SUM(Variables!$C$14,1),J$1-$C$1)</f>
        <v>272144.89930587186</v>
      </c>
      <c r="K38" s="136">
        <f>$C38*POWER(SUM(Variables!$C$14,1),K$1-$C$1)</f>
        <v>278594.73341942107</v>
      </c>
      <c r="L38" s="136">
        <f>$C38*POWER(SUM(Variables!$C$14,1),L$1-$C$1)</f>
        <v>285197.4286014614</v>
      </c>
      <c r="M38" s="136">
        <f>$C38*POWER(SUM(Variables!$C$14,1),M$1-$C$1)</f>
        <v>291956.60765931604</v>
      </c>
      <c r="N38" s="136">
        <f>$C38*POWER(SUM(Variables!$C$14,1),N$1-$C$1)</f>
        <v>298875.97926084185</v>
      </c>
      <c r="O38" s="136">
        <f>$C38*POWER(SUM(Variables!$C$14,1),O$1-$C$1)</f>
        <v>305959.33996932383</v>
      </c>
      <c r="P38" s="80"/>
      <c r="Q38" s="80"/>
      <c r="R38" s="80"/>
      <c r="S38" s="80"/>
      <c r="T38" s="137"/>
      <c r="U38" s="80"/>
      <c r="V38" s="80"/>
      <c r="W38" s="80"/>
      <c r="X38" s="80"/>
      <c r="Y38" s="80"/>
      <c r="Z38" s="80"/>
      <c r="AA38" s="80"/>
      <c r="AB38" s="80"/>
    </row>
    <row r="39" spans="1:28" ht="14.25" customHeight="1">
      <c r="A39" s="134">
        <v>38</v>
      </c>
      <c r="B39" s="135" t="s">
        <v>146</v>
      </c>
      <c r="C39" s="67">
        <v>862196</v>
      </c>
      <c r="D39" s="136">
        <f>$C39*POWER(SUM(Variables!$C$14,1),D$1-$C$1)</f>
        <v>1039890.5461976461</v>
      </c>
      <c r="E39" s="136">
        <f>$C39*POWER(SUM(Variables!$C$14,1),E$1-$C$1)</f>
        <v>1064535.9521425301</v>
      </c>
      <c r="F39" s="136">
        <f>$C39*POWER(SUM(Variables!$C$14,1),F$1-$C$1)</f>
        <v>1089765.4542083084</v>
      </c>
      <c r="G39" s="136">
        <f>$C39*POWER(SUM(Variables!$C$14,1),G$1-$C$1)</f>
        <v>1115592.8954730453</v>
      </c>
      <c r="H39" s="136">
        <f>$C39*POWER(SUM(Variables!$C$14,1),H$1-$C$1)</f>
        <v>1142032.4470957567</v>
      </c>
      <c r="I39" s="136">
        <f>$C39*POWER(SUM(Variables!$C$14,1),I$1-$C$1)</f>
        <v>1169098.6160919261</v>
      </c>
      <c r="J39" s="136">
        <f>$C39*POWER(SUM(Variables!$C$14,1),J$1-$C$1)</f>
        <v>1196806.2532933049</v>
      </c>
      <c r="K39" s="136">
        <f>$C39*POWER(SUM(Variables!$C$14,1),K$1-$C$1)</f>
        <v>1225170.5614963565</v>
      </c>
      <c r="L39" s="136">
        <f>$C39*POWER(SUM(Variables!$C$14,1),L$1-$C$1)</f>
        <v>1254207.1038038204</v>
      </c>
      <c r="M39" s="136">
        <f>$C39*POWER(SUM(Variables!$C$14,1),M$1-$C$1)</f>
        <v>1283931.8121639709</v>
      </c>
      <c r="N39" s="136">
        <f>$C39*POWER(SUM(Variables!$C$14,1),N$1-$C$1)</f>
        <v>1314360.996112257</v>
      </c>
      <c r="O39" s="136">
        <f>$C39*POWER(SUM(Variables!$C$14,1),O$1-$C$1)</f>
        <v>1345511.3517201177</v>
      </c>
      <c r="P39" s="80"/>
      <c r="Q39" s="80"/>
      <c r="R39" s="80"/>
      <c r="S39" s="80"/>
      <c r="T39" s="137"/>
      <c r="U39" s="80"/>
      <c r="V39" s="80"/>
      <c r="W39" s="80"/>
      <c r="X39" s="80"/>
      <c r="Y39" s="80"/>
      <c r="Z39" s="80"/>
      <c r="AA39" s="80"/>
      <c r="AB39" s="80"/>
    </row>
    <row r="40" spans="1:28" ht="14.25" customHeight="1">
      <c r="A40" s="134">
        <v>39</v>
      </c>
      <c r="B40" s="135" t="s">
        <v>147</v>
      </c>
      <c r="C40" s="67">
        <v>70980</v>
      </c>
      <c r="D40" s="136">
        <f>$C40*POWER(SUM(Variables!$C$14,1),D$1-$C$1)</f>
        <v>85608.644634293029</v>
      </c>
      <c r="E40" s="136">
        <f>$C40*POWER(SUM(Variables!$C$14,1),E$1-$C$1)</f>
        <v>87637.569512125774</v>
      </c>
      <c r="F40" s="136">
        <f>$C40*POWER(SUM(Variables!$C$14,1),F$1-$C$1)</f>
        <v>89714.579909563166</v>
      </c>
      <c r="G40" s="136">
        <f>$C40*POWER(SUM(Variables!$C$14,1),G$1-$C$1)</f>
        <v>91840.815453419826</v>
      </c>
      <c r="H40" s="136">
        <f>$C40*POWER(SUM(Variables!$C$14,1),H$1-$C$1)</f>
        <v>94017.4427796659</v>
      </c>
      <c r="I40" s="136">
        <f>$C40*POWER(SUM(Variables!$C$14,1),I$1-$C$1)</f>
        <v>96245.656173543975</v>
      </c>
      <c r="J40" s="136">
        <f>$C40*POWER(SUM(Variables!$C$14,1),J$1-$C$1)</f>
        <v>98526.67822485698</v>
      </c>
      <c r="K40" s="136">
        <f>$C40*POWER(SUM(Variables!$C$14,1),K$1-$C$1)</f>
        <v>100861.76049878611</v>
      </c>
      <c r="L40" s="136">
        <f>$C40*POWER(SUM(Variables!$C$14,1),L$1-$C$1)</f>
        <v>103252.18422260735</v>
      </c>
      <c r="M40" s="136">
        <f>$C40*POWER(SUM(Variables!$C$14,1),M$1-$C$1)</f>
        <v>105699.26098868315</v>
      </c>
      <c r="N40" s="136">
        <f>$C40*POWER(SUM(Variables!$C$14,1),N$1-$C$1)</f>
        <v>108204.33347411494</v>
      </c>
      <c r="O40" s="136">
        <f>$C40*POWER(SUM(Variables!$C$14,1),O$1-$C$1)</f>
        <v>110768.77617745149</v>
      </c>
      <c r="P40" s="80"/>
      <c r="Q40" s="80"/>
      <c r="R40" s="80"/>
      <c r="S40" s="80"/>
      <c r="T40" s="137"/>
      <c r="U40" s="80"/>
      <c r="V40" s="80"/>
      <c r="W40" s="80"/>
      <c r="X40" s="80"/>
      <c r="Y40" s="80"/>
      <c r="Z40" s="80"/>
      <c r="AA40" s="80"/>
      <c r="AB40" s="80"/>
    </row>
    <row r="41" spans="1:28" ht="14.25" customHeight="1">
      <c r="A41" s="134">
        <v>40</v>
      </c>
      <c r="B41" s="135" t="s">
        <v>148</v>
      </c>
      <c r="C41" s="67">
        <v>126736</v>
      </c>
      <c r="D41" s="136">
        <f>$C41*POWER(SUM(Variables!$C$14,1),D$1-$C$1)</f>
        <v>152855.6943698473</v>
      </c>
      <c r="E41" s="136">
        <f>$C41*POWER(SUM(Variables!$C$14,1),E$1-$C$1)</f>
        <v>156478.37432641268</v>
      </c>
      <c r="F41" s="136">
        <f>$C41*POWER(SUM(Variables!$C$14,1),F$1-$C$1)</f>
        <v>160186.91179794868</v>
      </c>
      <c r="G41" s="136">
        <f>$C41*POWER(SUM(Variables!$C$14,1),G$1-$C$1)</f>
        <v>163983.34160756008</v>
      </c>
      <c r="H41" s="136">
        <f>$C41*POWER(SUM(Variables!$C$14,1),H$1-$C$1)</f>
        <v>167869.74680365931</v>
      </c>
      <c r="I41" s="136">
        <f>$C41*POWER(SUM(Variables!$C$14,1),I$1-$C$1)</f>
        <v>171848.25980290602</v>
      </c>
      <c r="J41" s="136">
        <f>$C41*POWER(SUM(Variables!$C$14,1),J$1-$C$1)</f>
        <v>175921.06356023491</v>
      </c>
      <c r="K41" s="136">
        <f>$C41*POWER(SUM(Variables!$C$14,1),K$1-$C$1)</f>
        <v>180090.39276661252</v>
      </c>
      <c r="L41" s="136">
        <f>$C41*POWER(SUM(Variables!$C$14,1),L$1-$C$1)</f>
        <v>184358.53507518125</v>
      </c>
      <c r="M41" s="136">
        <f>$C41*POWER(SUM(Variables!$C$14,1),M$1-$C$1)</f>
        <v>188727.83235646304</v>
      </c>
      <c r="N41" s="136">
        <f>$C41*POWER(SUM(Variables!$C$14,1),N$1-$C$1)</f>
        <v>193200.68198331125</v>
      </c>
      <c r="O41" s="136">
        <f>$C41*POWER(SUM(Variables!$C$14,1),O$1-$C$1)</f>
        <v>197779.53814631575</v>
      </c>
      <c r="P41" s="80"/>
      <c r="Q41" s="80"/>
      <c r="R41" s="80"/>
      <c r="S41" s="80"/>
      <c r="T41" s="137"/>
      <c r="U41" s="80"/>
      <c r="V41" s="80"/>
      <c r="W41" s="80"/>
      <c r="X41" s="80"/>
      <c r="Y41" s="80"/>
      <c r="Z41" s="80"/>
      <c r="AA41" s="80"/>
      <c r="AB41" s="80"/>
    </row>
    <row r="42" spans="1:28" ht="14.25" customHeight="1">
      <c r="A42" s="134">
        <v>41</v>
      </c>
      <c r="B42" s="135" t="s">
        <v>149</v>
      </c>
      <c r="C42" s="67">
        <v>61000</v>
      </c>
      <c r="D42" s="136">
        <f>$C42*POWER(SUM(Variables!$C$14,1),D$1-$C$1)</f>
        <v>73571.813506507111</v>
      </c>
      <c r="E42" s="136">
        <f>$C42*POWER(SUM(Variables!$C$14,1),E$1-$C$1)</f>
        <v>75315.465486611327</v>
      </c>
      <c r="F42" s="136">
        <f>$C42*POWER(SUM(Variables!$C$14,1),F$1-$C$1)</f>
        <v>77100.442018644026</v>
      </c>
      <c r="G42" s="136">
        <f>$C42*POWER(SUM(Variables!$C$14,1),G$1-$C$1)</f>
        <v>78927.722494485904</v>
      </c>
      <c r="H42" s="136">
        <f>$C42*POWER(SUM(Variables!$C$14,1),H$1-$C$1)</f>
        <v>80798.30951760523</v>
      </c>
      <c r="I42" s="136">
        <f>$C42*POWER(SUM(Variables!$C$14,1),I$1-$C$1)</f>
        <v>82713.229453172476</v>
      </c>
      <c r="J42" s="136">
        <f>$C42*POWER(SUM(Variables!$C$14,1),J$1-$C$1)</f>
        <v>84673.532991212676</v>
      </c>
      <c r="K42" s="136">
        <f>$C42*POWER(SUM(Variables!$C$14,1),K$1-$C$1)</f>
        <v>86680.295723104427</v>
      </c>
      <c r="L42" s="136">
        <f>$C42*POWER(SUM(Variables!$C$14,1),L$1-$C$1)</f>
        <v>88734.618731742012</v>
      </c>
      <c r="M42" s="136">
        <f>$C42*POWER(SUM(Variables!$C$14,1),M$1-$C$1)</f>
        <v>90837.629195684305</v>
      </c>
      <c r="N42" s="136">
        <f>$C42*POWER(SUM(Variables!$C$14,1),N$1-$C$1)</f>
        <v>92990.481007622031</v>
      </c>
      <c r="O42" s="136">
        <f>$C42*POWER(SUM(Variables!$C$14,1),O$1-$C$1)</f>
        <v>95194.355407502691</v>
      </c>
      <c r="P42" s="80"/>
      <c r="Q42" s="80"/>
      <c r="R42" s="80"/>
      <c r="S42" s="80"/>
      <c r="T42" s="137"/>
      <c r="U42" s="80"/>
      <c r="V42" s="80"/>
      <c r="W42" s="80"/>
      <c r="X42" s="80"/>
      <c r="Y42" s="80"/>
      <c r="Z42" s="80"/>
      <c r="AA42" s="80"/>
      <c r="AB42" s="80"/>
    </row>
    <row r="43" spans="1:28" ht="14.25" customHeight="1">
      <c r="A43" s="134">
        <v>42</v>
      </c>
      <c r="B43" s="135" t="s">
        <v>150</v>
      </c>
      <c r="C43" s="67">
        <v>75540</v>
      </c>
      <c r="D43" s="136">
        <f>$C43*POWER(SUM(Variables!$C$14,1),D$1-$C$1)</f>
        <v>91108.43921773028</v>
      </c>
      <c r="E43" s="136">
        <f>$C43*POWER(SUM(Variables!$C$14,1),E$1-$C$1)</f>
        <v>93267.709227190498</v>
      </c>
      <c r="F43" s="136">
        <f>$C43*POWER(SUM(Variables!$C$14,1),F$1-$C$1)</f>
        <v>95478.153935874914</v>
      </c>
      <c r="G43" s="136">
        <f>$C43*POWER(SUM(Variables!$C$14,1),G$1-$C$1)</f>
        <v>97740.986184155161</v>
      </c>
      <c r="H43" s="136">
        <f>$C43*POWER(SUM(Variables!$C$14,1),H$1-$C$1)</f>
        <v>100057.44755671966</v>
      </c>
      <c r="I43" s="136">
        <f>$C43*POWER(SUM(Variables!$C$14,1),I$1-$C$1)</f>
        <v>102428.80906381391</v>
      </c>
      <c r="J43" s="136">
        <f>$C43*POWER(SUM(Variables!$C$14,1),J$1-$C$1)</f>
        <v>104856.37183862632</v>
      </c>
      <c r="K43" s="136">
        <f>$C43*POWER(SUM(Variables!$C$14,1),K$1-$C$1)</f>
        <v>107341.46785120179</v>
      </c>
      <c r="L43" s="136">
        <f>$C43*POWER(SUM(Variables!$C$14,1),L$1-$C$1)</f>
        <v>109885.46063927528</v>
      </c>
      <c r="M43" s="136">
        <f>$C43*POWER(SUM(Variables!$C$14,1),M$1-$C$1)</f>
        <v>112489.7460564261</v>
      </c>
      <c r="N43" s="136">
        <f>$C43*POWER(SUM(Variables!$C$14,1),N$1-$C$1)</f>
        <v>115155.75303796341</v>
      </c>
      <c r="O43" s="136">
        <f>$C43*POWER(SUM(Variables!$C$14,1),O$1-$C$1)</f>
        <v>117884.94438496316</v>
      </c>
      <c r="P43" s="80"/>
      <c r="Q43" s="80"/>
      <c r="R43" s="80"/>
      <c r="S43" s="80"/>
      <c r="T43" s="137"/>
      <c r="U43" s="80"/>
      <c r="V43" s="80"/>
      <c r="W43" s="80"/>
      <c r="X43" s="80"/>
      <c r="Y43" s="80"/>
      <c r="Z43" s="80"/>
      <c r="AA43" s="80"/>
      <c r="AB43" s="80"/>
    </row>
    <row r="44" spans="1:28" ht="14.25" customHeight="1"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80"/>
      <c r="Q44" s="80"/>
      <c r="R44" s="80"/>
      <c r="S44" s="80"/>
      <c r="T44" s="137"/>
      <c r="U44" s="80"/>
      <c r="V44" s="80"/>
      <c r="W44" s="80"/>
      <c r="X44" s="80"/>
      <c r="Y44" s="80"/>
      <c r="Z44" s="80"/>
      <c r="AA44" s="80"/>
      <c r="AB44" s="80"/>
    </row>
    <row r="45" spans="1:28" ht="14.25" customHeight="1"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80"/>
      <c r="Q45" s="80"/>
      <c r="R45" s="80"/>
      <c r="S45" s="80"/>
      <c r="T45" s="137"/>
      <c r="U45" s="80"/>
      <c r="V45" s="80"/>
      <c r="W45" s="80"/>
      <c r="X45" s="80"/>
      <c r="Y45" s="80"/>
      <c r="Z45" s="80"/>
      <c r="AA45" s="80"/>
      <c r="AB45" s="80"/>
    </row>
    <row r="46" spans="1:28" ht="14.25" customHeight="1"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80"/>
      <c r="Q46" s="80"/>
      <c r="R46" s="80"/>
      <c r="S46" s="80"/>
      <c r="T46" s="137"/>
      <c r="U46" s="80"/>
      <c r="V46" s="80"/>
      <c r="W46" s="80"/>
      <c r="X46" s="80"/>
      <c r="Y46" s="80"/>
      <c r="Z46" s="80"/>
      <c r="AA46" s="80"/>
      <c r="AB46" s="80"/>
    </row>
    <row r="47" spans="1:28" ht="14.25" customHeight="1"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80"/>
      <c r="Q47" s="80"/>
      <c r="R47" s="80"/>
      <c r="S47" s="80"/>
      <c r="T47" s="137"/>
      <c r="U47" s="80"/>
      <c r="V47" s="80"/>
      <c r="W47" s="80"/>
      <c r="X47" s="80"/>
      <c r="Y47" s="80"/>
      <c r="Z47" s="80"/>
      <c r="AA47" s="80"/>
      <c r="AB47" s="80"/>
    </row>
    <row r="48" spans="1:28" ht="14.25" customHeight="1"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80"/>
      <c r="Q48" s="80"/>
      <c r="R48" s="80"/>
      <c r="S48" s="80"/>
      <c r="T48" s="137"/>
      <c r="U48" s="80"/>
      <c r="V48" s="80"/>
      <c r="W48" s="80"/>
      <c r="X48" s="80"/>
      <c r="Y48" s="80"/>
      <c r="Z48" s="80"/>
      <c r="AA48" s="80"/>
      <c r="AB48" s="80"/>
    </row>
    <row r="49" spans="4:28" ht="14.25" customHeight="1"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15"/>
      <c r="U49" s="80"/>
      <c r="V49" s="80"/>
      <c r="W49" s="80"/>
      <c r="X49" s="80"/>
      <c r="Y49" s="80"/>
      <c r="Z49" s="80"/>
      <c r="AA49" s="80"/>
      <c r="AB49" s="80"/>
    </row>
    <row r="50" spans="4:28" ht="14.25" customHeight="1"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15"/>
      <c r="U50" s="80"/>
      <c r="V50" s="80"/>
      <c r="W50" s="80"/>
      <c r="X50" s="80"/>
      <c r="Y50" s="80"/>
      <c r="Z50" s="80"/>
      <c r="AA50" s="80"/>
      <c r="AB50" s="80"/>
    </row>
    <row r="51" spans="4:28" ht="14.25" customHeight="1"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138"/>
      <c r="U51" s="80"/>
      <c r="V51" s="80"/>
      <c r="W51" s="80"/>
      <c r="X51" s="80"/>
      <c r="Y51" s="80"/>
      <c r="Z51" s="80"/>
      <c r="AA51" s="80"/>
      <c r="AB51" s="80"/>
    </row>
    <row r="52" spans="4:28" ht="14.25" customHeight="1"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16"/>
      <c r="U52" s="80"/>
      <c r="V52" s="80"/>
      <c r="W52" s="80"/>
      <c r="X52" s="80"/>
      <c r="Y52" s="80"/>
      <c r="Z52" s="80"/>
      <c r="AA52" s="80"/>
      <c r="AB52" s="80"/>
    </row>
    <row r="53" spans="4:28" ht="14.25" customHeight="1"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16"/>
      <c r="U53" s="80"/>
      <c r="V53" s="80"/>
      <c r="W53" s="80"/>
      <c r="X53" s="80"/>
      <c r="Y53" s="80"/>
      <c r="Z53" s="80"/>
      <c r="AA53" s="80"/>
      <c r="AB53" s="80"/>
    </row>
    <row r="54" spans="4:28" ht="14.25" customHeight="1"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16"/>
      <c r="U54" s="80"/>
      <c r="V54" s="80"/>
      <c r="W54" s="80"/>
      <c r="X54" s="80"/>
      <c r="Y54" s="80"/>
      <c r="Z54" s="80"/>
      <c r="AA54" s="80"/>
      <c r="AB54" s="80"/>
    </row>
    <row r="55" spans="4:28" ht="14.25" customHeight="1"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16"/>
      <c r="U55" s="80"/>
      <c r="V55" s="80"/>
      <c r="W55" s="80"/>
      <c r="X55" s="80"/>
      <c r="Y55" s="80"/>
      <c r="Z55" s="80"/>
      <c r="AA55" s="80"/>
      <c r="AB55" s="80"/>
    </row>
    <row r="56" spans="4:28" ht="14.25" customHeight="1"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16"/>
      <c r="U56" s="80"/>
      <c r="V56" s="80"/>
      <c r="W56" s="80"/>
      <c r="X56" s="80"/>
      <c r="Y56" s="80"/>
      <c r="Z56" s="80"/>
      <c r="AA56" s="80"/>
      <c r="AB56" s="80"/>
    </row>
    <row r="57" spans="4:28" ht="14.25" customHeight="1"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16"/>
      <c r="U57" s="80"/>
      <c r="V57" s="80"/>
      <c r="W57" s="80"/>
      <c r="X57" s="80"/>
      <c r="Y57" s="80"/>
      <c r="Z57" s="80"/>
      <c r="AA57" s="80"/>
      <c r="AB57" s="80"/>
    </row>
    <row r="58" spans="4:28" ht="14.25" customHeight="1"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16"/>
      <c r="U58" s="80"/>
      <c r="V58" s="80"/>
      <c r="W58" s="80"/>
      <c r="X58" s="80"/>
      <c r="Y58" s="80"/>
      <c r="Z58" s="80"/>
      <c r="AA58" s="80"/>
      <c r="AB58" s="80"/>
    </row>
    <row r="59" spans="4:28" ht="14.25" customHeight="1"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16"/>
      <c r="U59" s="80"/>
      <c r="V59" s="80"/>
      <c r="W59" s="80"/>
      <c r="X59" s="80"/>
      <c r="Y59" s="80"/>
      <c r="Z59" s="80"/>
      <c r="AA59" s="80"/>
      <c r="AB59" s="80"/>
    </row>
    <row r="60" spans="4:28" ht="14.25" customHeight="1"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16"/>
      <c r="U60" s="80"/>
      <c r="V60" s="80"/>
      <c r="W60" s="80"/>
      <c r="X60" s="80"/>
      <c r="Y60" s="80"/>
      <c r="Z60" s="80"/>
      <c r="AA60" s="80"/>
      <c r="AB60" s="80"/>
    </row>
    <row r="61" spans="4:28" ht="14.25" customHeight="1"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16"/>
      <c r="U61" s="80"/>
      <c r="V61" s="80"/>
      <c r="W61" s="80"/>
      <c r="X61" s="80"/>
      <c r="Y61" s="80"/>
      <c r="Z61" s="80"/>
      <c r="AA61" s="80"/>
      <c r="AB61" s="80"/>
    </row>
    <row r="62" spans="4:28" ht="14.25" customHeight="1"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16"/>
      <c r="U62" s="80"/>
      <c r="V62" s="80"/>
      <c r="W62" s="80"/>
      <c r="X62" s="80"/>
      <c r="Y62" s="80"/>
      <c r="Z62" s="80"/>
      <c r="AA62" s="80"/>
      <c r="AB62" s="80"/>
    </row>
    <row r="63" spans="4:28" ht="14.25" customHeight="1"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16"/>
      <c r="U63" s="80"/>
      <c r="V63" s="80"/>
      <c r="W63" s="80"/>
      <c r="X63" s="80"/>
      <c r="Y63" s="80"/>
      <c r="Z63" s="80"/>
      <c r="AA63" s="80"/>
      <c r="AB63" s="80"/>
    </row>
    <row r="64" spans="4:28" ht="14.25" customHeight="1"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16"/>
      <c r="U64" s="80"/>
      <c r="V64" s="80"/>
      <c r="W64" s="80"/>
      <c r="X64" s="80"/>
      <c r="Y64" s="80"/>
      <c r="Z64" s="80"/>
      <c r="AA64" s="80"/>
      <c r="AB64" s="80"/>
    </row>
    <row r="65" spans="4:28" ht="14.25" customHeight="1"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16"/>
      <c r="U65" s="80"/>
      <c r="V65" s="80"/>
      <c r="W65" s="80"/>
      <c r="X65" s="80"/>
      <c r="Y65" s="80"/>
      <c r="Z65" s="80"/>
      <c r="AA65" s="80"/>
      <c r="AB65" s="80"/>
    </row>
    <row r="66" spans="4:28" ht="14.25" customHeight="1"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16"/>
      <c r="U66" s="80"/>
      <c r="V66" s="80"/>
      <c r="W66" s="80"/>
      <c r="X66" s="80"/>
      <c r="Y66" s="80"/>
      <c r="Z66" s="80"/>
      <c r="AA66" s="80"/>
      <c r="AB66" s="80"/>
    </row>
    <row r="67" spans="4:28" ht="14.25" customHeight="1"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16"/>
      <c r="U67" s="80"/>
      <c r="V67" s="80"/>
      <c r="W67" s="80"/>
      <c r="X67" s="80"/>
      <c r="Y67" s="80"/>
      <c r="Z67" s="80"/>
      <c r="AA67" s="80"/>
      <c r="AB67" s="80"/>
    </row>
    <row r="68" spans="4:28" ht="14.25" customHeight="1"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16"/>
      <c r="U68" s="80"/>
      <c r="V68" s="80"/>
      <c r="W68" s="80"/>
      <c r="X68" s="80"/>
      <c r="Y68" s="80"/>
      <c r="Z68" s="80"/>
      <c r="AA68" s="80"/>
      <c r="AB68" s="80"/>
    </row>
    <row r="69" spans="4:28" ht="14.25" customHeight="1"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16"/>
      <c r="U69" s="80"/>
      <c r="V69" s="80"/>
      <c r="W69" s="80"/>
      <c r="X69" s="80"/>
      <c r="Y69" s="80"/>
      <c r="Z69" s="80"/>
      <c r="AA69" s="80"/>
      <c r="AB69" s="80"/>
    </row>
    <row r="70" spans="4:28" ht="14.25" customHeight="1"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16"/>
      <c r="U70" s="80"/>
      <c r="V70" s="80"/>
      <c r="W70" s="80"/>
      <c r="X70" s="80"/>
      <c r="Y70" s="80"/>
      <c r="Z70" s="80"/>
      <c r="AA70" s="80"/>
      <c r="AB70" s="80"/>
    </row>
    <row r="71" spans="4:28" ht="14.25" customHeight="1"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16"/>
      <c r="U71" s="80"/>
      <c r="V71" s="80"/>
      <c r="W71" s="80"/>
      <c r="X71" s="80"/>
      <c r="Y71" s="80"/>
      <c r="Z71" s="80"/>
      <c r="AA71" s="80"/>
      <c r="AB71" s="80"/>
    </row>
    <row r="72" spans="4:28" ht="14.25" customHeight="1"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16"/>
      <c r="U72" s="80"/>
      <c r="V72" s="80"/>
      <c r="W72" s="80"/>
      <c r="X72" s="80"/>
      <c r="Y72" s="80"/>
      <c r="Z72" s="80"/>
      <c r="AA72" s="80"/>
      <c r="AB72" s="80"/>
    </row>
    <row r="73" spans="4:28" ht="14.25" customHeight="1"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16"/>
      <c r="U73" s="80"/>
      <c r="V73" s="80"/>
      <c r="W73" s="80"/>
      <c r="X73" s="80"/>
      <c r="Y73" s="80"/>
      <c r="Z73" s="80"/>
      <c r="AA73" s="80"/>
      <c r="AB73" s="80"/>
    </row>
    <row r="74" spans="4:28" ht="14.25" customHeight="1"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6"/>
      <c r="U74" s="80"/>
      <c r="V74" s="80"/>
      <c r="W74" s="80"/>
      <c r="X74" s="80"/>
      <c r="Y74" s="80"/>
      <c r="Z74" s="80"/>
      <c r="AA74" s="80"/>
      <c r="AB74" s="80"/>
    </row>
    <row r="75" spans="4:28" ht="14.25" customHeight="1"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16"/>
      <c r="U75" s="80"/>
      <c r="V75" s="80"/>
      <c r="W75" s="80"/>
      <c r="X75" s="80"/>
      <c r="Y75" s="80"/>
      <c r="Z75" s="80"/>
      <c r="AA75" s="80"/>
      <c r="AB75" s="80"/>
    </row>
    <row r="76" spans="4:28" ht="14.25" customHeight="1"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16"/>
      <c r="U76" s="80"/>
      <c r="V76" s="80"/>
      <c r="W76" s="80"/>
      <c r="X76" s="80"/>
      <c r="Y76" s="80"/>
      <c r="Z76" s="80"/>
      <c r="AA76" s="80"/>
      <c r="AB76" s="80"/>
    </row>
    <row r="77" spans="4:28" ht="14.25" customHeight="1"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16"/>
      <c r="U77" s="80"/>
      <c r="V77" s="80"/>
      <c r="W77" s="80"/>
      <c r="X77" s="80"/>
      <c r="Y77" s="80"/>
      <c r="Z77" s="80"/>
      <c r="AA77" s="80"/>
      <c r="AB77" s="80"/>
    </row>
    <row r="78" spans="4:28" ht="14.25" customHeight="1"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16"/>
      <c r="U78" s="80"/>
      <c r="V78" s="80"/>
      <c r="W78" s="80"/>
      <c r="X78" s="80"/>
      <c r="Y78" s="80"/>
      <c r="Z78" s="80"/>
      <c r="AA78" s="80"/>
      <c r="AB78" s="80"/>
    </row>
    <row r="79" spans="4:28" ht="14.25" customHeight="1"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16"/>
      <c r="U79" s="80"/>
      <c r="V79" s="80"/>
      <c r="W79" s="80"/>
      <c r="X79" s="80"/>
      <c r="Y79" s="80"/>
      <c r="Z79" s="80"/>
      <c r="AA79" s="80"/>
      <c r="AB79" s="80"/>
    </row>
    <row r="80" spans="4:28" ht="14.25" customHeight="1"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16"/>
      <c r="U80" s="80"/>
      <c r="V80" s="80"/>
      <c r="W80" s="80"/>
      <c r="X80" s="80"/>
      <c r="Y80" s="80"/>
      <c r="Z80" s="80"/>
      <c r="AA80" s="80"/>
      <c r="AB80" s="80"/>
    </row>
    <row r="81" spans="4:28" ht="14.25" customHeight="1"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16"/>
      <c r="U81" s="80"/>
      <c r="V81" s="80"/>
      <c r="W81" s="80"/>
      <c r="X81" s="80"/>
      <c r="Y81" s="80"/>
      <c r="Z81" s="80"/>
      <c r="AA81" s="80"/>
      <c r="AB81" s="80"/>
    </row>
    <row r="82" spans="4:28" ht="14.25" customHeight="1"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16"/>
      <c r="U82" s="80"/>
      <c r="V82" s="80"/>
      <c r="W82" s="80"/>
      <c r="X82" s="80"/>
      <c r="Y82" s="80"/>
      <c r="Z82" s="80"/>
      <c r="AA82" s="80"/>
      <c r="AB82" s="80"/>
    </row>
    <row r="83" spans="4:28" ht="14.25" customHeight="1"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16"/>
      <c r="U83" s="80"/>
      <c r="V83" s="80"/>
      <c r="W83" s="80"/>
      <c r="X83" s="80"/>
      <c r="Y83" s="80"/>
      <c r="Z83" s="80"/>
      <c r="AA83" s="80"/>
      <c r="AB83" s="80"/>
    </row>
    <row r="84" spans="4:28" ht="14.25" customHeight="1"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16"/>
      <c r="U84" s="80"/>
      <c r="V84" s="80"/>
      <c r="W84" s="80"/>
      <c r="X84" s="80"/>
      <c r="Y84" s="80"/>
      <c r="Z84" s="80"/>
      <c r="AA84" s="80"/>
      <c r="AB84" s="80"/>
    </row>
    <row r="85" spans="4:28" ht="14.25" customHeight="1"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16"/>
      <c r="U85" s="80"/>
      <c r="V85" s="80"/>
      <c r="W85" s="80"/>
      <c r="X85" s="80"/>
      <c r="Y85" s="80"/>
      <c r="Z85" s="80"/>
      <c r="AA85" s="80"/>
      <c r="AB85" s="80"/>
    </row>
    <row r="86" spans="4:28" ht="14.25" customHeight="1"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16"/>
      <c r="U86" s="80"/>
      <c r="V86" s="80"/>
      <c r="W86" s="80"/>
      <c r="X86" s="80"/>
      <c r="Y86" s="80"/>
      <c r="Z86" s="80"/>
      <c r="AA86" s="80"/>
      <c r="AB86" s="80"/>
    </row>
    <row r="87" spans="4:28" ht="14.25" customHeight="1"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16"/>
      <c r="U87" s="80"/>
      <c r="V87" s="80"/>
      <c r="W87" s="80"/>
      <c r="X87" s="80"/>
      <c r="Y87" s="80"/>
      <c r="Z87" s="80"/>
      <c r="AA87" s="80"/>
      <c r="AB87" s="80"/>
    </row>
    <row r="88" spans="4:28" ht="14.25" customHeight="1"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16"/>
      <c r="U88" s="80"/>
      <c r="V88" s="80"/>
      <c r="W88" s="80"/>
      <c r="X88" s="80"/>
      <c r="Y88" s="80"/>
      <c r="Z88" s="80"/>
      <c r="AA88" s="80"/>
      <c r="AB88" s="80"/>
    </row>
    <row r="89" spans="4:28" ht="14.25" customHeight="1"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16"/>
      <c r="U89" s="80"/>
      <c r="V89" s="80"/>
      <c r="W89" s="80"/>
      <c r="X89" s="80"/>
      <c r="Y89" s="80"/>
      <c r="Z89" s="80"/>
      <c r="AA89" s="80"/>
      <c r="AB89" s="80"/>
    </row>
    <row r="90" spans="4:28" ht="14.25" customHeight="1"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16"/>
      <c r="U90" s="80"/>
      <c r="V90" s="80"/>
      <c r="W90" s="80"/>
      <c r="X90" s="80"/>
      <c r="Y90" s="80"/>
      <c r="Z90" s="80"/>
      <c r="AA90" s="80"/>
      <c r="AB90" s="80"/>
    </row>
    <row r="91" spans="4:28" ht="14.25" customHeight="1"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16"/>
      <c r="U91" s="80"/>
      <c r="V91" s="80"/>
      <c r="W91" s="80"/>
      <c r="X91" s="80"/>
      <c r="Y91" s="80"/>
      <c r="Z91" s="80"/>
      <c r="AA91" s="80"/>
      <c r="AB91" s="80"/>
    </row>
    <row r="92" spans="4:28" ht="14.25" customHeight="1"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16"/>
      <c r="U92" s="80"/>
      <c r="V92" s="80"/>
      <c r="W92" s="80"/>
      <c r="X92" s="80"/>
      <c r="Y92" s="80"/>
      <c r="Z92" s="80"/>
      <c r="AA92" s="80"/>
      <c r="AB92" s="80"/>
    </row>
    <row r="93" spans="4:28" ht="14.25" customHeight="1"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16"/>
      <c r="U93" s="80"/>
      <c r="V93" s="80"/>
      <c r="W93" s="80"/>
      <c r="X93" s="80"/>
      <c r="Y93" s="80"/>
      <c r="Z93" s="80"/>
      <c r="AA93" s="80"/>
      <c r="AB93" s="80"/>
    </row>
    <row r="94" spans="4:28" ht="14.25" customHeight="1"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16"/>
      <c r="U94" s="80"/>
      <c r="V94" s="80"/>
      <c r="W94" s="80"/>
      <c r="X94" s="80"/>
      <c r="Y94" s="80"/>
      <c r="Z94" s="80"/>
      <c r="AA94" s="80"/>
      <c r="AB94" s="80"/>
    </row>
    <row r="95" spans="4:28" ht="14.25" customHeight="1"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16"/>
      <c r="U95" s="80"/>
      <c r="V95" s="80"/>
      <c r="W95" s="80"/>
      <c r="X95" s="80"/>
      <c r="Y95" s="80"/>
      <c r="Z95" s="80"/>
      <c r="AA95" s="80"/>
      <c r="AB95" s="80"/>
    </row>
    <row r="96" spans="4:28" ht="14.25" customHeight="1"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16"/>
      <c r="U96" s="80"/>
      <c r="V96" s="80"/>
      <c r="W96" s="80"/>
      <c r="X96" s="80"/>
      <c r="Y96" s="80"/>
      <c r="Z96" s="80"/>
      <c r="AA96" s="80"/>
      <c r="AB96" s="80"/>
    </row>
    <row r="97" spans="4:28" ht="14.25" customHeight="1"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16"/>
      <c r="U97" s="80"/>
      <c r="V97" s="80"/>
      <c r="W97" s="80"/>
      <c r="X97" s="80"/>
      <c r="Y97" s="80"/>
      <c r="Z97" s="80"/>
      <c r="AA97" s="80"/>
      <c r="AB97" s="80"/>
    </row>
    <row r="98" spans="4:28" ht="14.25" customHeight="1"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16"/>
      <c r="U98" s="80"/>
      <c r="V98" s="80"/>
      <c r="W98" s="80"/>
      <c r="X98" s="80"/>
      <c r="Y98" s="80"/>
      <c r="Z98" s="80"/>
      <c r="AA98" s="80"/>
      <c r="AB98" s="80"/>
    </row>
    <row r="99" spans="4:28" ht="14.25" customHeight="1"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16"/>
      <c r="U99" s="80"/>
      <c r="V99" s="80"/>
      <c r="W99" s="80"/>
      <c r="X99" s="80"/>
      <c r="Y99" s="80"/>
      <c r="Z99" s="80"/>
      <c r="AA99" s="80"/>
      <c r="AB99" s="80"/>
    </row>
    <row r="100" spans="4:28" ht="14.25" customHeight="1"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16"/>
      <c r="U100" s="80"/>
      <c r="V100" s="80"/>
      <c r="W100" s="80"/>
      <c r="X100" s="80"/>
      <c r="Y100" s="80"/>
      <c r="Z100" s="80"/>
      <c r="AA100" s="80"/>
      <c r="AB100" s="80"/>
    </row>
    <row r="101" spans="4:28" ht="14.25" customHeight="1"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16"/>
      <c r="U101" s="80"/>
      <c r="V101" s="80"/>
      <c r="W101" s="80"/>
      <c r="X101" s="80"/>
      <c r="Y101" s="80"/>
      <c r="Z101" s="80"/>
      <c r="AA101" s="80"/>
      <c r="AB101" s="80"/>
    </row>
    <row r="102" spans="4:28" ht="14.25" customHeight="1"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16"/>
      <c r="U102" s="80"/>
      <c r="V102" s="80"/>
      <c r="W102" s="80"/>
      <c r="X102" s="80"/>
      <c r="Y102" s="80"/>
      <c r="Z102" s="80"/>
      <c r="AA102" s="80"/>
      <c r="AB102" s="80"/>
    </row>
    <row r="103" spans="4:28" ht="14.25" customHeight="1"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16"/>
      <c r="U103" s="80"/>
      <c r="V103" s="80"/>
      <c r="W103" s="80"/>
      <c r="X103" s="80"/>
      <c r="Y103" s="80"/>
      <c r="Z103" s="80"/>
      <c r="AA103" s="80"/>
      <c r="AB103" s="80"/>
    </row>
    <row r="104" spans="4:28" ht="14.25" customHeight="1"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16"/>
      <c r="U104" s="80"/>
      <c r="V104" s="80"/>
      <c r="W104" s="80"/>
      <c r="X104" s="80"/>
      <c r="Y104" s="80"/>
      <c r="Z104" s="80"/>
      <c r="AA104" s="80"/>
      <c r="AB104" s="80"/>
    </row>
    <row r="105" spans="4:28" ht="14.25" customHeight="1"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16"/>
      <c r="U105" s="80"/>
      <c r="V105" s="80"/>
      <c r="W105" s="80"/>
      <c r="X105" s="80"/>
      <c r="Y105" s="80"/>
      <c r="Z105" s="80"/>
      <c r="AA105" s="80"/>
      <c r="AB105" s="80"/>
    </row>
    <row r="106" spans="4:28" ht="14.25" customHeight="1"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16"/>
      <c r="U106" s="80"/>
      <c r="V106" s="80"/>
      <c r="W106" s="80"/>
      <c r="X106" s="80"/>
      <c r="Y106" s="80"/>
      <c r="Z106" s="80"/>
      <c r="AA106" s="80"/>
      <c r="AB106" s="80"/>
    </row>
    <row r="107" spans="4:28" ht="14.25" customHeight="1"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16"/>
      <c r="U107" s="80"/>
      <c r="V107" s="80"/>
      <c r="W107" s="80"/>
      <c r="X107" s="80"/>
      <c r="Y107" s="80"/>
      <c r="Z107" s="80"/>
      <c r="AA107" s="80"/>
      <c r="AB107" s="80"/>
    </row>
    <row r="108" spans="4:28" ht="14.25" customHeight="1"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16"/>
      <c r="U108" s="80"/>
      <c r="V108" s="80"/>
      <c r="W108" s="80"/>
      <c r="X108" s="80"/>
      <c r="Y108" s="80"/>
      <c r="Z108" s="80"/>
      <c r="AA108" s="80"/>
      <c r="AB108" s="80"/>
    </row>
    <row r="109" spans="4:28" ht="14.25" customHeight="1"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16"/>
      <c r="U109" s="80"/>
      <c r="V109" s="80"/>
      <c r="W109" s="80"/>
      <c r="X109" s="80"/>
      <c r="Y109" s="80"/>
      <c r="Z109" s="80"/>
      <c r="AA109" s="80"/>
      <c r="AB109" s="80"/>
    </row>
    <row r="110" spans="4:28" ht="14.25" customHeight="1"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16"/>
      <c r="U110" s="80"/>
      <c r="V110" s="80"/>
      <c r="W110" s="80"/>
      <c r="X110" s="80"/>
      <c r="Y110" s="80"/>
      <c r="Z110" s="80"/>
      <c r="AA110" s="80"/>
      <c r="AB110" s="80"/>
    </row>
    <row r="111" spans="4:28" ht="14.25" customHeight="1"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16"/>
      <c r="U111" s="80"/>
      <c r="V111" s="80"/>
      <c r="W111" s="80"/>
      <c r="X111" s="80"/>
      <c r="Y111" s="80"/>
      <c r="Z111" s="80"/>
      <c r="AA111" s="80"/>
      <c r="AB111" s="80"/>
    </row>
    <row r="112" spans="4:28" ht="14.25" customHeight="1"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16"/>
      <c r="U112" s="80"/>
      <c r="V112" s="80"/>
      <c r="W112" s="80"/>
      <c r="X112" s="80"/>
      <c r="Y112" s="80"/>
      <c r="Z112" s="80"/>
      <c r="AA112" s="80"/>
      <c r="AB112" s="80"/>
    </row>
    <row r="113" spans="4:28" ht="14.25" customHeight="1"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16"/>
      <c r="U113" s="80"/>
      <c r="V113" s="80"/>
      <c r="W113" s="80"/>
      <c r="X113" s="80"/>
      <c r="Y113" s="80"/>
      <c r="Z113" s="80"/>
      <c r="AA113" s="80"/>
      <c r="AB113" s="80"/>
    </row>
    <row r="114" spans="4:28" ht="14.25" customHeight="1"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16"/>
      <c r="U114" s="80"/>
      <c r="V114" s="80"/>
      <c r="W114" s="80"/>
      <c r="X114" s="80"/>
      <c r="Y114" s="80"/>
      <c r="Z114" s="80"/>
      <c r="AA114" s="80"/>
      <c r="AB114" s="80"/>
    </row>
    <row r="115" spans="4:28" ht="14.25" customHeight="1"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16"/>
      <c r="U115" s="80"/>
      <c r="V115" s="80"/>
      <c r="W115" s="80"/>
      <c r="X115" s="80"/>
      <c r="Y115" s="80"/>
      <c r="Z115" s="80"/>
      <c r="AA115" s="80"/>
      <c r="AB115" s="80"/>
    </row>
    <row r="116" spans="4:28" ht="14.25" customHeight="1"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16"/>
      <c r="U116" s="80"/>
      <c r="V116" s="80"/>
      <c r="W116" s="80"/>
      <c r="X116" s="80"/>
      <c r="Y116" s="80"/>
      <c r="Z116" s="80"/>
      <c r="AA116" s="80"/>
      <c r="AB116" s="80"/>
    </row>
    <row r="117" spans="4:28" ht="14.25" customHeight="1"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16"/>
      <c r="U117" s="80"/>
      <c r="V117" s="80"/>
      <c r="W117" s="80"/>
      <c r="X117" s="80"/>
      <c r="Y117" s="80"/>
      <c r="Z117" s="80"/>
      <c r="AA117" s="80"/>
      <c r="AB117" s="80"/>
    </row>
    <row r="118" spans="4:28" ht="14.25" customHeight="1"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16"/>
      <c r="U118" s="80"/>
      <c r="V118" s="80"/>
      <c r="W118" s="80"/>
      <c r="X118" s="80"/>
      <c r="Y118" s="80"/>
      <c r="Z118" s="80"/>
      <c r="AA118" s="80"/>
      <c r="AB118" s="80"/>
    </row>
    <row r="119" spans="4:28" ht="14.25" customHeight="1"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16"/>
      <c r="U119" s="80"/>
      <c r="V119" s="80"/>
      <c r="W119" s="80"/>
      <c r="X119" s="80"/>
      <c r="Y119" s="80"/>
      <c r="Z119" s="80"/>
      <c r="AA119" s="80"/>
      <c r="AB119" s="80"/>
    </row>
    <row r="120" spans="4:28" ht="14.25" customHeight="1"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16"/>
      <c r="U120" s="80"/>
      <c r="V120" s="80"/>
      <c r="W120" s="80"/>
      <c r="X120" s="80"/>
      <c r="Y120" s="80"/>
      <c r="Z120" s="80"/>
      <c r="AA120" s="80"/>
      <c r="AB120" s="80"/>
    </row>
    <row r="121" spans="4:28" ht="14.25" customHeight="1"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16"/>
      <c r="U121" s="80"/>
      <c r="V121" s="80"/>
      <c r="W121" s="80"/>
      <c r="X121" s="80"/>
      <c r="Y121" s="80"/>
      <c r="Z121" s="80"/>
      <c r="AA121" s="80"/>
      <c r="AB121" s="80"/>
    </row>
    <row r="122" spans="4:28" ht="14.25" customHeight="1"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16"/>
      <c r="U122" s="80"/>
      <c r="V122" s="80"/>
      <c r="W122" s="80"/>
      <c r="X122" s="80"/>
      <c r="Y122" s="80"/>
      <c r="Z122" s="80"/>
      <c r="AA122" s="80"/>
      <c r="AB122" s="80"/>
    </row>
    <row r="123" spans="4:28" ht="14.25" customHeight="1"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16"/>
      <c r="U123" s="80"/>
      <c r="V123" s="80"/>
      <c r="W123" s="80"/>
      <c r="X123" s="80"/>
      <c r="Y123" s="80"/>
      <c r="Z123" s="80"/>
      <c r="AA123" s="80"/>
      <c r="AB123" s="80"/>
    </row>
    <row r="124" spans="4:28" ht="14.25" customHeight="1"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16"/>
      <c r="U124" s="80"/>
      <c r="V124" s="80"/>
      <c r="W124" s="80"/>
      <c r="X124" s="80"/>
      <c r="Y124" s="80"/>
      <c r="Z124" s="80"/>
      <c r="AA124" s="80"/>
      <c r="AB124" s="80"/>
    </row>
    <row r="125" spans="4:28" ht="14.25" customHeight="1"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16"/>
      <c r="U125" s="80"/>
      <c r="V125" s="80"/>
      <c r="W125" s="80"/>
      <c r="X125" s="80"/>
      <c r="Y125" s="80"/>
      <c r="Z125" s="80"/>
      <c r="AA125" s="80"/>
      <c r="AB125" s="80"/>
    </row>
    <row r="126" spans="4:28" ht="14.25" customHeight="1"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16"/>
      <c r="U126" s="80"/>
      <c r="V126" s="80"/>
      <c r="W126" s="80"/>
      <c r="X126" s="80"/>
      <c r="Y126" s="80"/>
      <c r="Z126" s="80"/>
      <c r="AA126" s="80"/>
      <c r="AB126" s="80"/>
    </row>
    <row r="127" spans="4:28" ht="14.25" customHeight="1"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16"/>
      <c r="U127" s="80"/>
      <c r="V127" s="80"/>
      <c r="W127" s="80"/>
      <c r="X127" s="80"/>
      <c r="Y127" s="80"/>
      <c r="Z127" s="80"/>
      <c r="AA127" s="80"/>
      <c r="AB127" s="80"/>
    </row>
    <row r="128" spans="4:28" ht="14.25" customHeight="1"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16"/>
      <c r="U128" s="80"/>
      <c r="V128" s="80"/>
      <c r="W128" s="80"/>
      <c r="X128" s="80"/>
      <c r="Y128" s="80"/>
      <c r="Z128" s="80"/>
      <c r="AA128" s="80"/>
      <c r="AB128" s="80"/>
    </row>
    <row r="129" spans="4:28" ht="14.25" customHeight="1"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16"/>
      <c r="U129" s="80"/>
      <c r="V129" s="80"/>
      <c r="W129" s="80"/>
      <c r="X129" s="80"/>
      <c r="Y129" s="80"/>
      <c r="Z129" s="80"/>
      <c r="AA129" s="80"/>
      <c r="AB129" s="80"/>
    </row>
    <row r="130" spans="4:28" ht="14.25" customHeight="1"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16"/>
      <c r="U130" s="80"/>
      <c r="V130" s="80"/>
      <c r="W130" s="80"/>
      <c r="X130" s="80"/>
      <c r="Y130" s="80"/>
      <c r="Z130" s="80"/>
      <c r="AA130" s="80"/>
      <c r="AB130" s="80"/>
    </row>
    <row r="131" spans="4:28" ht="14.25" customHeight="1"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16"/>
      <c r="U131" s="80"/>
      <c r="V131" s="80"/>
      <c r="W131" s="80"/>
      <c r="X131" s="80"/>
      <c r="Y131" s="80"/>
      <c r="Z131" s="80"/>
      <c r="AA131" s="80"/>
      <c r="AB131" s="80"/>
    </row>
    <row r="132" spans="4:28" ht="14.25" customHeight="1"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16"/>
      <c r="U132" s="80"/>
      <c r="V132" s="80"/>
      <c r="W132" s="80"/>
      <c r="X132" s="80"/>
      <c r="Y132" s="80"/>
      <c r="Z132" s="80"/>
      <c r="AA132" s="80"/>
      <c r="AB132" s="80"/>
    </row>
    <row r="133" spans="4:28" ht="14.25" customHeight="1"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16"/>
      <c r="U133" s="80"/>
      <c r="V133" s="80"/>
      <c r="W133" s="80"/>
      <c r="X133" s="80"/>
      <c r="Y133" s="80"/>
      <c r="Z133" s="80"/>
      <c r="AA133" s="80"/>
      <c r="AB133" s="80"/>
    </row>
    <row r="134" spans="4:28" ht="14.25" customHeight="1"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16"/>
      <c r="U134" s="80"/>
      <c r="V134" s="80"/>
      <c r="W134" s="80"/>
      <c r="X134" s="80"/>
      <c r="Y134" s="80"/>
      <c r="Z134" s="80"/>
      <c r="AA134" s="80"/>
      <c r="AB134" s="80"/>
    </row>
    <row r="135" spans="4:28" ht="14.25" customHeight="1"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16"/>
      <c r="U135" s="80"/>
      <c r="V135" s="80"/>
      <c r="W135" s="80"/>
      <c r="X135" s="80"/>
      <c r="Y135" s="80"/>
      <c r="Z135" s="80"/>
      <c r="AA135" s="80"/>
      <c r="AB135" s="80"/>
    </row>
    <row r="136" spans="4:28" ht="14.25" customHeight="1"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16"/>
      <c r="U136" s="80"/>
      <c r="V136" s="80"/>
      <c r="W136" s="80"/>
      <c r="X136" s="80"/>
      <c r="Y136" s="80"/>
      <c r="Z136" s="80"/>
      <c r="AA136" s="80"/>
      <c r="AB136" s="80"/>
    </row>
    <row r="137" spans="4:28" ht="14.25" customHeight="1"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16"/>
      <c r="U137" s="80"/>
      <c r="V137" s="80"/>
      <c r="W137" s="80"/>
      <c r="X137" s="80"/>
      <c r="Y137" s="80"/>
      <c r="Z137" s="80"/>
      <c r="AA137" s="80"/>
      <c r="AB137" s="80"/>
    </row>
    <row r="138" spans="4:28" ht="14.25" customHeight="1"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16"/>
      <c r="U138" s="80"/>
      <c r="V138" s="80"/>
      <c r="W138" s="80"/>
      <c r="X138" s="80"/>
      <c r="Y138" s="80"/>
      <c r="Z138" s="80"/>
      <c r="AA138" s="80"/>
      <c r="AB138" s="80"/>
    </row>
    <row r="139" spans="4:28" ht="14.25" customHeight="1"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16"/>
      <c r="U139" s="80"/>
      <c r="V139" s="80"/>
      <c r="W139" s="80"/>
      <c r="X139" s="80"/>
      <c r="Y139" s="80"/>
      <c r="Z139" s="80"/>
      <c r="AA139" s="80"/>
      <c r="AB139" s="80"/>
    </row>
    <row r="140" spans="4:28" ht="14.25" customHeight="1"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16"/>
      <c r="U140" s="80"/>
      <c r="V140" s="80"/>
      <c r="W140" s="80"/>
      <c r="X140" s="80"/>
      <c r="Y140" s="80"/>
      <c r="Z140" s="80"/>
      <c r="AA140" s="80"/>
      <c r="AB140" s="80"/>
    </row>
    <row r="141" spans="4:28" ht="14.25" customHeight="1"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16"/>
      <c r="U141" s="80"/>
      <c r="V141" s="80"/>
      <c r="W141" s="80"/>
      <c r="X141" s="80"/>
      <c r="Y141" s="80"/>
      <c r="Z141" s="80"/>
      <c r="AA141" s="80"/>
      <c r="AB141" s="80"/>
    </row>
    <row r="142" spans="4:28" ht="14.25" customHeight="1"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16"/>
      <c r="U142" s="80"/>
      <c r="V142" s="80"/>
      <c r="W142" s="80"/>
      <c r="X142" s="80"/>
      <c r="Y142" s="80"/>
      <c r="Z142" s="80"/>
      <c r="AA142" s="80"/>
      <c r="AB142" s="80"/>
    </row>
    <row r="143" spans="4:28" ht="14.25" customHeight="1"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16"/>
      <c r="U143" s="80"/>
      <c r="V143" s="80"/>
      <c r="W143" s="80"/>
      <c r="X143" s="80"/>
      <c r="Y143" s="80"/>
      <c r="Z143" s="80"/>
      <c r="AA143" s="80"/>
      <c r="AB143" s="80"/>
    </row>
    <row r="144" spans="4:28" ht="14.25" customHeight="1"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16"/>
      <c r="U144" s="80"/>
      <c r="V144" s="80"/>
      <c r="W144" s="80"/>
      <c r="X144" s="80"/>
      <c r="Y144" s="80"/>
      <c r="Z144" s="80"/>
      <c r="AA144" s="80"/>
      <c r="AB144" s="80"/>
    </row>
    <row r="145" spans="4:28" ht="14.25" customHeight="1"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16"/>
      <c r="U145" s="80"/>
      <c r="V145" s="80"/>
      <c r="W145" s="80"/>
      <c r="X145" s="80"/>
      <c r="Y145" s="80"/>
      <c r="Z145" s="80"/>
      <c r="AA145" s="80"/>
      <c r="AB145" s="80"/>
    </row>
    <row r="146" spans="4:28" ht="14.25" customHeight="1"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16"/>
      <c r="U146" s="80"/>
      <c r="V146" s="80"/>
      <c r="W146" s="80"/>
      <c r="X146" s="80"/>
      <c r="Y146" s="80"/>
      <c r="Z146" s="80"/>
      <c r="AA146" s="80"/>
      <c r="AB146" s="80"/>
    </row>
    <row r="147" spans="4:28" ht="14.25" customHeight="1"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16"/>
      <c r="U147" s="80"/>
      <c r="V147" s="80"/>
      <c r="W147" s="80"/>
      <c r="X147" s="80"/>
      <c r="Y147" s="80"/>
      <c r="Z147" s="80"/>
      <c r="AA147" s="80"/>
      <c r="AB147" s="80"/>
    </row>
    <row r="148" spans="4:28" ht="14.25" customHeight="1"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16"/>
      <c r="U148" s="80"/>
      <c r="V148" s="80"/>
      <c r="W148" s="80"/>
      <c r="X148" s="80"/>
      <c r="Y148" s="80"/>
      <c r="Z148" s="80"/>
      <c r="AA148" s="80"/>
      <c r="AB148" s="80"/>
    </row>
    <row r="149" spans="4:28" ht="14.25" customHeight="1"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16"/>
      <c r="U149" s="80"/>
      <c r="V149" s="80"/>
      <c r="W149" s="80"/>
      <c r="X149" s="80"/>
      <c r="Y149" s="80"/>
      <c r="Z149" s="80"/>
      <c r="AA149" s="80"/>
      <c r="AB149" s="80"/>
    </row>
    <row r="150" spans="4:28" ht="14.25" customHeight="1"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16"/>
      <c r="U150" s="80"/>
      <c r="V150" s="80"/>
      <c r="W150" s="80"/>
      <c r="X150" s="80"/>
      <c r="Y150" s="80"/>
      <c r="Z150" s="80"/>
      <c r="AA150" s="80"/>
      <c r="AB150" s="80"/>
    </row>
    <row r="151" spans="4:28" ht="14.25" customHeight="1"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16"/>
      <c r="U151" s="80"/>
      <c r="V151" s="80"/>
      <c r="W151" s="80"/>
      <c r="X151" s="80"/>
      <c r="Y151" s="80"/>
      <c r="Z151" s="80"/>
      <c r="AA151" s="80"/>
      <c r="AB151" s="80"/>
    </row>
    <row r="152" spans="4:28" ht="14.25" customHeight="1"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16"/>
      <c r="U152" s="80"/>
      <c r="V152" s="80"/>
      <c r="W152" s="80"/>
      <c r="X152" s="80"/>
      <c r="Y152" s="80"/>
      <c r="Z152" s="80"/>
      <c r="AA152" s="80"/>
      <c r="AB152" s="80"/>
    </row>
    <row r="153" spans="4:28" ht="14.25" customHeight="1"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16"/>
      <c r="U153" s="80"/>
      <c r="V153" s="80"/>
      <c r="W153" s="80"/>
      <c r="X153" s="80"/>
      <c r="Y153" s="80"/>
      <c r="Z153" s="80"/>
      <c r="AA153" s="80"/>
      <c r="AB153" s="80"/>
    </row>
    <row r="154" spans="4:28" ht="14.25" customHeight="1"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16"/>
      <c r="U154" s="80"/>
      <c r="V154" s="80"/>
      <c r="W154" s="80"/>
      <c r="X154" s="80"/>
      <c r="Y154" s="80"/>
      <c r="Z154" s="80"/>
      <c r="AA154" s="80"/>
      <c r="AB154" s="80"/>
    </row>
    <row r="155" spans="4:28" ht="14.25" customHeight="1"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16"/>
      <c r="U155" s="80"/>
      <c r="V155" s="80"/>
      <c r="W155" s="80"/>
      <c r="X155" s="80"/>
      <c r="Y155" s="80"/>
      <c r="Z155" s="80"/>
      <c r="AA155" s="80"/>
      <c r="AB155" s="80"/>
    </row>
    <row r="156" spans="4:28" ht="14.25" customHeight="1"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16"/>
      <c r="U156" s="80"/>
      <c r="V156" s="80"/>
      <c r="W156" s="80"/>
      <c r="X156" s="80"/>
      <c r="Y156" s="80"/>
      <c r="Z156" s="80"/>
      <c r="AA156" s="80"/>
      <c r="AB156" s="80"/>
    </row>
    <row r="157" spans="4:28" ht="14.25" customHeight="1"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16"/>
      <c r="U157" s="80"/>
      <c r="V157" s="80"/>
      <c r="W157" s="80"/>
      <c r="X157" s="80"/>
      <c r="Y157" s="80"/>
      <c r="Z157" s="80"/>
      <c r="AA157" s="80"/>
      <c r="AB157" s="80"/>
    </row>
    <row r="158" spans="4:28" ht="14.25" customHeight="1"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16"/>
      <c r="U158" s="80"/>
      <c r="V158" s="80"/>
      <c r="W158" s="80"/>
      <c r="X158" s="80"/>
      <c r="Y158" s="80"/>
      <c r="Z158" s="80"/>
      <c r="AA158" s="80"/>
      <c r="AB158" s="80"/>
    </row>
    <row r="159" spans="4:28" ht="14.25" customHeight="1"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16"/>
      <c r="U159" s="80"/>
      <c r="V159" s="80"/>
      <c r="W159" s="80"/>
      <c r="X159" s="80"/>
      <c r="Y159" s="80"/>
      <c r="Z159" s="80"/>
      <c r="AA159" s="80"/>
      <c r="AB159" s="80"/>
    </row>
    <row r="160" spans="4:28" ht="14.25" customHeight="1"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16"/>
      <c r="U160" s="80"/>
      <c r="V160" s="80"/>
      <c r="W160" s="80"/>
      <c r="X160" s="80"/>
      <c r="Y160" s="80"/>
      <c r="Z160" s="80"/>
      <c r="AA160" s="80"/>
      <c r="AB160" s="80"/>
    </row>
    <row r="161" spans="4:28" ht="14.25" customHeight="1"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16"/>
      <c r="U161" s="80"/>
      <c r="V161" s="80"/>
      <c r="W161" s="80"/>
      <c r="X161" s="80"/>
      <c r="Y161" s="80"/>
      <c r="Z161" s="80"/>
      <c r="AA161" s="80"/>
      <c r="AB161" s="80"/>
    </row>
    <row r="162" spans="4:28" ht="14.25" customHeight="1"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16"/>
      <c r="U162" s="80"/>
      <c r="V162" s="80"/>
      <c r="W162" s="80"/>
      <c r="X162" s="80"/>
      <c r="Y162" s="80"/>
      <c r="Z162" s="80"/>
      <c r="AA162" s="80"/>
      <c r="AB162" s="80"/>
    </row>
    <row r="163" spans="4:28" ht="14.25" customHeight="1"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16"/>
      <c r="U163" s="80"/>
      <c r="V163" s="80"/>
      <c r="W163" s="80"/>
      <c r="X163" s="80"/>
      <c r="Y163" s="80"/>
      <c r="Z163" s="80"/>
      <c r="AA163" s="80"/>
      <c r="AB163" s="80"/>
    </row>
    <row r="164" spans="4:28" ht="14.25" customHeight="1"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16"/>
      <c r="U164" s="80"/>
      <c r="V164" s="80"/>
      <c r="W164" s="80"/>
      <c r="X164" s="80"/>
      <c r="Y164" s="80"/>
      <c r="Z164" s="80"/>
      <c r="AA164" s="80"/>
      <c r="AB164" s="80"/>
    </row>
    <row r="165" spans="4:28" ht="14.25" customHeight="1"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16"/>
      <c r="U165" s="80"/>
      <c r="V165" s="80"/>
      <c r="W165" s="80"/>
      <c r="X165" s="80"/>
      <c r="Y165" s="80"/>
      <c r="Z165" s="80"/>
      <c r="AA165" s="80"/>
      <c r="AB165" s="80"/>
    </row>
    <row r="166" spans="4:28" ht="14.25" customHeight="1"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16"/>
      <c r="U166" s="80"/>
      <c r="V166" s="80"/>
      <c r="W166" s="80"/>
      <c r="X166" s="80"/>
      <c r="Y166" s="80"/>
      <c r="Z166" s="80"/>
      <c r="AA166" s="80"/>
      <c r="AB166" s="80"/>
    </row>
    <row r="167" spans="4:28" ht="14.25" customHeight="1"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16"/>
      <c r="U167" s="80"/>
      <c r="V167" s="80"/>
      <c r="W167" s="80"/>
      <c r="X167" s="80"/>
      <c r="Y167" s="80"/>
      <c r="Z167" s="80"/>
      <c r="AA167" s="80"/>
      <c r="AB167" s="80"/>
    </row>
    <row r="168" spans="4:28" ht="14.25" customHeight="1"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16"/>
      <c r="U168" s="80"/>
      <c r="V168" s="80"/>
      <c r="W168" s="80"/>
      <c r="X168" s="80"/>
      <c r="Y168" s="80"/>
      <c r="Z168" s="80"/>
      <c r="AA168" s="80"/>
      <c r="AB168" s="80"/>
    </row>
    <row r="169" spans="4:28" ht="14.25" customHeight="1"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16"/>
      <c r="U169" s="80"/>
      <c r="V169" s="80"/>
      <c r="W169" s="80"/>
      <c r="X169" s="80"/>
      <c r="Y169" s="80"/>
      <c r="Z169" s="80"/>
      <c r="AA169" s="80"/>
      <c r="AB169" s="80"/>
    </row>
    <row r="170" spans="4:28" ht="14.25" customHeight="1"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16"/>
      <c r="U170" s="80"/>
      <c r="V170" s="80"/>
      <c r="W170" s="80"/>
      <c r="X170" s="80"/>
      <c r="Y170" s="80"/>
      <c r="Z170" s="80"/>
      <c r="AA170" s="80"/>
      <c r="AB170" s="80"/>
    </row>
    <row r="171" spans="4:28" ht="14.25" customHeight="1"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16"/>
      <c r="U171" s="80"/>
      <c r="V171" s="80"/>
      <c r="W171" s="80"/>
      <c r="X171" s="80"/>
      <c r="Y171" s="80"/>
      <c r="Z171" s="80"/>
      <c r="AA171" s="80"/>
      <c r="AB171" s="80"/>
    </row>
    <row r="172" spans="4:28" ht="14.25" customHeight="1"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16"/>
      <c r="U172" s="80"/>
      <c r="V172" s="80"/>
      <c r="W172" s="80"/>
      <c r="X172" s="80"/>
      <c r="Y172" s="80"/>
      <c r="Z172" s="80"/>
      <c r="AA172" s="80"/>
      <c r="AB172" s="80"/>
    </row>
    <row r="173" spans="4:28" ht="14.25" customHeight="1"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16"/>
      <c r="U173" s="80"/>
      <c r="V173" s="80"/>
      <c r="W173" s="80"/>
      <c r="X173" s="80"/>
      <c r="Y173" s="80"/>
      <c r="Z173" s="80"/>
      <c r="AA173" s="80"/>
      <c r="AB173" s="80"/>
    </row>
    <row r="174" spans="4:28" ht="14.25" customHeight="1"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16"/>
      <c r="U174" s="80"/>
      <c r="V174" s="80"/>
      <c r="W174" s="80"/>
      <c r="X174" s="80"/>
      <c r="Y174" s="80"/>
      <c r="Z174" s="80"/>
      <c r="AA174" s="80"/>
      <c r="AB174" s="80"/>
    </row>
    <row r="175" spans="4:28" ht="14.25" customHeight="1"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16"/>
      <c r="U175" s="80"/>
      <c r="V175" s="80"/>
      <c r="W175" s="80"/>
      <c r="X175" s="80"/>
      <c r="Y175" s="80"/>
      <c r="Z175" s="80"/>
      <c r="AA175" s="80"/>
      <c r="AB175" s="80"/>
    </row>
    <row r="176" spans="4:28" ht="14.25" customHeight="1"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16"/>
      <c r="U176" s="80"/>
      <c r="V176" s="80"/>
      <c r="W176" s="80"/>
      <c r="X176" s="80"/>
      <c r="Y176" s="80"/>
      <c r="Z176" s="80"/>
      <c r="AA176" s="80"/>
      <c r="AB176" s="80"/>
    </row>
    <row r="177" spans="4:28" ht="14.25" customHeight="1"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16"/>
      <c r="U177" s="80"/>
      <c r="V177" s="80"/>
      <c r="W177" s="80"/>
      <c r="X177" s="80"/>
      <c r="Y177" s="80"/>
      <c r="Z177" s="80"/>
      <c r="AA177" s="80"/>
      <c r="AB177" s="80"/>
    </row>
    <row r="178" spans="4:28" ht="14.25" customHeight="1"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16"/>
      <c r="U178" s="80"/>
      <c r="V178" s="80"/>
      <c r="W178" s="80"/>
      <c r="X178" s="80"/>
      <c r="Y178" s="80"/>
      <c r="Z178" s="80"/>
      <c r="AA178" s="80"/>
      <c r="AB178" s="80"/>
    </row>
    <row r="179" spans="4:28" ht="14.25" customHeight="1"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16"/>
      <c r="U179" s="80"/>
      <c r="V179" s="80"/>
      <c r="W179" s="80"/>
      <c r="X179" s="80"/>
      <c r="Y179" s="80"/>
      <c r="Z179" s="80"/>
      <c r="AA179" s="80"/>
      <c r="AB179" s="80"/>
    </row>
    <row r="180" spans="4:28" ht="14.25" customHeight="1"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16"/>
      <c r="U180" s="80"/>
      <c r="V180" s="80"/>
      <c r="W180" s="80"/>
      <c r="X180" s="80"/>
      <c r="Y180" s="80"/>
      <c r="Z180" s="80"/>
      <c r="AA180" s="80"/>
      <c r="AB180" s="80"/>
    </row>
    <row r="181" spans="4:28" ht="14.25" customHeight="1"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16"/>
      <c r="U181" s="80"/>
      <c r="V181" s="80"/>
      <c r="W181" s="80"/>
      <c r="X181" s="80"/>
      <c r="Y181" s="80"/>
      <c r="Z181" s="80"/>
      <c r="AA181" s="80"/>
      <c r="AB181" s="80"/>
    </row>
    <row r="182" spans="4:28" ht="14.25" customHeight="1"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16"/>
      <c r="U182" s="80"/>
      <c r="V182" s="80"/>
      <c r="W182" s="80"/>
      <c r="X182" s="80"/>
      <c r="Y182" s="80"/>
      <c r="Z182" s="80"/>
      <c r="AA182" s="80"/>
      <c r="AB182" s="80"/>
    </row>
    <row r="183" spans="4:28" ht="14.25" customHeight="1"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16"/>
      <c r="U183" s="80"/>
      <c r="V183" s="80"/>
      <c r="W183" s="80"/>
      <c r="X183" s="80"/>
      <c r="Y183" s="80"/>
      <c r="Z183" s="80"/>
      <c r="AA183" s="80"/>
      <c r="AB183" s="80"/>
    </row>
    <row r="184" spans="4:28" ht="14.25" customHeight="1"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16"/>
      <c r="U184" s="80"/>
      <c r="V184" s="80"/>
      <c r="W184" s="80"/>
      <c r="X184" s="80"/>
      <c r="Y184" s="80"/>
      <c r="Z184" s="80"/>
      <c r="AA184" s="80"/>
      <c r="AB184" s="80"/>
    </row>
    <row r="185" spans="4:28" ht="14.25" customHeight="1"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16"/>
      <c r="U185" s="80"/>
      <c r="V185" s="80"/>
      <c r="W185" s="80"/>
      <c r="X185" s="80"/>
      <c r="Y185" s="80"/>
      <c r="Z185" s="80"/>
      <c r="AA185" s="80"/>
      <c r="AB185" s="80"/>
    </row>
    <row r="186" spans="4:28" ht="14.25" customHeight="1"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16"/>
      <c r="U186" s="80"/>
      <c r="V186" s="80"/>
      <c r="W186" s="80"/>
      <c r="X186" s="80"/>
      <c r="Y186" s="80"/>
      <c r="Z186" s="80"/>
      <c r="AA186" s="80"/>
      <c r="AB186" s="80"/>
    </row>
    <row r="187" spans="4:28" ht="14.25" customHeight="1"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16"/>
      <c r="U187" s="80"/>
      <c r="V187" s="80"/>
      <c r="W187" s="80"/>
      <c r="X187" s="80"/>
      <c r="Y187" s="80"/>
      <c r="Z187" s="80"/>
      <c r="AA187" s="80"/>
      <c r="AB187" s="80"/>
    </row>
    <row r="188" spans="4:28" ht="14.25" customHeight="1"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16"/>
      <c r="U188" s="80"/>
      <c r="V188" s="80"/>
      <c r="W188" s="80"/>
      <c r="X188" s="80"/>
      <c r="Y188" s="80"/>
      <c r="Z188" s="80"/>
      <c r="AA188" s="80"/>
      <c r="AB188" s="80"/>
    </row>
    <row r="189" spans="4:28" ht="14.25" customHeight="1"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16"/>
      <c r="U189" s="80"/>
      <c r="V189" s="80"/>
      <c r="W189" s="80"/>
      <c r="X189" s="80"/>
      <c r="Y189" s="80"/>
      <c r="Z189" s="80"/>
      <c r="AA189" s="80"/>
      <c r="AB189" s="80"/>
    </row>
    <row r="190" spans="4:28" ht="14.25" customHeight="1"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16"/>
      <c r="U190" s="80"/>
      <c r="V190" s="80"/>
      <c r="W190" s="80"/>
      <c r="X190" s="80"/>
      <c r="Y190" s="80"/>
      <c r="Z190" s="80"/>
      <c r="AA190" s="80"/>
      <c r="AB190" s="80"/>
    </row>
    <row r="191" spans="4:28" ht="14.25" customHeight="1"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16"/>
      <c r="U191" s="80"/>
      <c r="V191" s="80"/>
      <c r="W191" s="80"/>
      <c r="X191" s="80"/>
      <c r="Y191" s="80"/>
      <c r="Z191" s="80"/>
      <c r="AA191" s="80"/>
      <c r="AB191" s="80"/>
    </row>
    <row r="192" spans="4:28" ht="14.25" customHeight="1"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16"/>
      <c r="U192" s="80"/>
      <c r="V192" s="80"/>
      <c r="W192" s="80"/>
      <c r="X192" s="80"/>
      <c r="Y192" s="80"/>
      <c r="Z192" s="80"/>
      <c r="AA192" s="80"/>
      <c r="AB192" s="80"/>
    </row>
    <row r="193" spans="4:28" ht="14.25" customHeight="1"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16"/>
      <c r="U193" s="80"/>
      <c r="V193" s="80"/>
      <c r="W193" s="80"/>
      <c r="X193" s="80"/>
      <c r="Y193" s="80"/>
      <c r="Z193" s="80"/>
      <c r="AA193" s="80"/>
      <c r="AB193" s="80"/>
    </row>
    <row r="194" spans="4:28" ht="14.25" customHeight="1"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16"/>
      <c r="U194" s="80"/>
      <c r="V194" s="80"/>
      <c r="W194" s="80"/>
      <c r="X194" s="80"/>
      <c r="Y194" s="80"/>
      <c r="Z194" s="80"/>
      <c r="AA194" s="80"/>
      <c r="AB194" s="80"/>
    </row>
    <row r="195" spans="4:28" ht="14.25" customHeight="1"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16"/>
      <c r="U195" s="80"/>
      <c r="V195" s="80"/>
      <c r="W195" s="80"/>
      <c r="X195" s="80"/>
      <c r="Y195" s="80"/>
      <c r="Z195" s="80"/>
      <c r="AA195" s="80"/>
      <c r="AB195" s="80"/>
    </row>
    <row r="196" spans="4:28" ht="14.25" customHeight="1"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16"/>
      <c r="U196" s="80"/>
      <c r="V196" s="80"/>
      <c r="W196" s="80"/>
      <c r="X196" s="80"/>
      <c r="Y196" s="80"/>
      <c r="Z196" s="80"/>
      <c r="AA196" s="80"/>
      <c r="AB196" s="80"/>
    </row>
    <row r="197" spans="4:28" ht="14.25" customHeight="1"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16"/>
      <c r="U197" s="80"/>
      <c r="V197" s="80"/>
      <c r="W197" s="80"/>
      <c r="X197" s="80"/>
      <c r="Y197" s="80"/>
      <c r="Z197" s="80"/>
      <c r="AA197" s="80"/>
      <c r="AB197" s="80"/>
    </row>
    <row r="198" spans="4:28" ht="14.25" customHeight="1"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16"/>
      <c r="U198" s="80"/>
      <c r="V198" s="80"/>
      <c r="W198" s="80"/>
      <c r="X198" s="80"/>
      <c r="Y198" s="80"/>
      <c r="Z198" s="80"/>
      <c r="AA198" s="80"/>
      <c r="AB198" s="80"/>
    </row>
    <row r="199" spans="4:28" ht="14.25" customHeight="1"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16"/>
      <c r="U199" s="80"/>
      <c r="V199" s="80"/>
      <c r="W199" s="80"/>
      <c r="X199" s="80"/>
      <c r="Y199" s="80"/>
      <c r="Z199" s="80"/>
      <c r="AA199" s="80"/>
      <c r="AB199" s="80"/>
    </row>
    <row r="200" spans="4:28" ht="14.25" customHeight="1"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16"/>
      <c r="U200" s="80"/>
      <c r="V200" s="80"/>
      <c r="W200" s="80"/>
      <c r="X200" s="80"/>
      <c r="Y200" s="80"/>
      <c r="Z200" s="80"/>
      <c r="AA200" s="80"/>
      <c r="AB200" s="80"/>
    </row>
    <row r="201" spans="4:28" ht="14.25" customHeight="1"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16"/>
      <c r="U201" s="80"/>
      <c r="V201" s="80"/>
      <c r="W201" s="80"/>
      <c r="X201" s="80"/>
      <c r="Y201" s="80"/>
      <c r="Z201" s="80"/>
      <c r="AA201" s="80"/>
      <c r="AB201" s="80"/>
    </row>
    <row r="202" spans="4:28" ht="14.25" customHeight="1"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16"/>
      <c r="U202" s="80"/>
      <c r="V202" s="80"/>
      <c r="W202" s="80"/>
      <c r="X202" s="80"/>
      <c r="Y202" s="80"/>
      <c r="Z202" s="80"/>
      <c r="AA202" s="80"/>
      <c r="AB202" s="80"/>
    </row>
    <row r="203" spans="4:28" ht="14.25" customHeight="1"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16"/>
      <c r="U203" s="80"/>
      <c r="V203" s="80"/>
      <c r="W203" s="80"/>
      <c r="X203" s="80"/>
      <c r="Y203" s="80"/>
      <c r="Z203" s="80"/>
      <c r="AA203" s="80"/>
      <c r="AB203" s="80"/>
    </row>
    <row r="204" spans="4:28" ht="14.25" customHeight="1"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16"/>
      <c r="U204" s="80"/>
      <c r="V204" s="80"/>
      <c r="W204" s="80"/>
      <c r="X204" s="80"/>
      <c r="Y204" s="80"/>
      <c r="Z204" s="80"/>
      <c r="AA204" s="80"/>
      <c r="AB204" s="80"/>
    </row>
    <row r="205" spans="4:28" ht="14.25" customHeight="1"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16"/>
      <c r="U205" s="80"/>
      <c r="V205" s="80"/>
      <c r="W205" s="80"/>
      <c r="X205" s="80"/>
      <c r="Y205" s="80"/>
      <c r="Z205" s="80"/>
      <c r="AA205" s="80"/>
      <c r="AB205" s="80"/>
    </row>
    <row r="206" spans="4:28" ht="14.25" customHeight="1"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16"/>
      <c r="U206" s="80"/>
      <c r="V206" s="80"/>
      <c r="W206" s="80"/>
      <c r="X206" s="80"/>
      <c r="Y206" s="80"/>
      <c r="Z206" s="80"/>
      <c r="AA206" s="80"/>
      <c r="AB206" s="80"/>
    </row>
    <row r="207" spans="4:28" ht="14.25" customHeight="1"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16"/>
      <c r="U207" s="80"/>
      <c r="V207" s="80"/>
      <c r="W207" s="80"/>
      <c r="X207" s="80"/>
      <c r="Y207" s="80"/>
      <c r="Z207" s="80"/>
      <c r="AA207" s="80"/>
      <c r="AB207" s="80"/>
    </row>
    <row r="208" spans="4:28" ht="14.25" customHeight="1"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16"/>
      <c r="U208" s="80"/>
      <c r="V208" s="80"/>
      <c r="W208" s="80"/>
      <c r="X208" s="80"/>
      <c r="Y208" s="80"/>
      <c r="Z208" s="80"/>
      <c r="AA208" s="80"/>
      <c r="AB208" s="80"/>
    </row>
    <row r="209" spans="4:28" ht="14.25" customHeight="1"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16"/>
      <c r="U209" s="80"/>
      <c r="V209" s="80"/>
      <c r="W209" s="80"/>
      <c r="X209" s="80"/>
      <c r="Y209" s="80"/>
      <c r="Z209" s="80"/>
      <c r="AA209" s="80"/>
      <c r="AB209" s="80"/>
    </row>
    <row r="210" spans="4:28" ht="14.25" customHeight="1"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16"/>
      <c r="U210" s="80"/>
      <c r="V210" s="80"/>
      <c r="W210" s="80"/>
      <c r="X210" s="80"/>
      <c r="Y210" s="80"/>
      <c r="Z210" s="80"/>
      <c r="AA210" s="80"/>
      <c r="AB210" s="80"/>
    </row>
    <row r="211" spans="4:28" ht="14.25" customHeight="1"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16"/>
      <c r="U211" s="80"/>
      <c r="V211" s="80"/>
      <c r="W211" s="80"/>
      <c r="X211" s="80"/>
      <c r="Y211" s="80"/>
      <c r="Z211" s="80"/>
      <c r="AA211" s="80"/>
      <c r="AB211" s="80"/>
    </row>
    <row r="212" spans="4:28" ht="14.25" customHeight="1"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16"/>
      <c r="U212" s="80"/>
      <c r="V212" s="80"/>
      <c r="W212" s="80"/>
      <c r="X212" s="80"/>
      <c r="Y212" s="80"/>
      <c r="Z212" s="80"/>
      <c r="AA212" s="80"/>
      <c r="AB212" s="80"/>
    </row>
    <row r="213" spans="4:28" ht="14.25" customHeight="1"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16"/>
      <c r="U213" s="80"/>
      <c r="V213" s="80"/>
      <c r="W213" s="80"/>
      <c r="X213" s="80"/>
      <c r="Y213" s="80"/>
      <c r="Z213" s="80"/>
      <c r="AA213" s="80"/>
      <c r="AB213" s="80"/>
    </row>
    <row r="214" spans="4:28" ht="14.25" customHeight="1"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16"/>
      <c r="U214" s="80"/>
      <c r="V214" s="80"/>
      <c r="W214" s="80"/>
      <c r="X214" s="80"/>
      <c r="Y214" s="80"/>
      <c r="Z214" s="80"/>
      <c r="AA214" s="80"/>
      <c r="AB214" s="80"/>
    </row>
    <row r="215" spans="4:28" ht="14.25" customHeight="1"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16"/>
      <c r="U215" s="80"/>
      <c r="V215" s="80"/>
      <c r="W215" s="80"/>
      <c r="X215" s="80"/>
      <c r="Y215" s="80"/>
      <c r="Z215" s="80"/>
      <c r="AA215" s="80"/>
      <c r="AB215" s="80"/>
    </row>
    <row r="216" spans="4:28" ht="14.25" customHeight="1"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16"/>
      <c r="U216" s="80"/>
      <c r="V216" s="80"/>
      <c r="W216" s="80"/>
      <c r="X216" s="80"/>
      <c r="Y216" s="80"/>
      <c r="Z216" s="80"/>
      <c r="AA216" s="80"/>
      <c r="AB216" s="80"/>
    </row>
    <row r="217" spans="4:28" ht="14.25" customHeight="1"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16"/>
      <c r="U217" s="80"/>
      <c r="V217" s="80"/>
      <c r="W217" s="80"/>
      <c r="X217" s="80"/>
      <c r="Y217" s="80"/>
      <c r="Z217" s="80"/>
      <c r="AA217" s="80"/>
      <c r="AB217" s="80"/>
    </row>
    <row r="218" spans="4:28" ht="14.25" customHeight="1"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16"/>
      <c r="U218" s="80"/>
      <c r="V218" s="80"/>
      <c r="W218" s="80"/>
      <c r="X218" s="80"/>
      <c r="Y218" s="80"/>
      <c r="Z218" s="80"/>
      <c r="AA218" s="80"/>
      <c r="AB218" s="80"/>
    </row>
    <row r="219" spans="4:28" ht="14.25" customHeight="1"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16"/>
      <c r="U219" s="80"/>
      <c r="V219" s="80"/>
      <c r="W219" s="80"/>
      <c r="X219" s="80"/>
      <c r="Y219" s="80"/>
      <c r="Z219" s="80"/>
      <c r="AA219" s="80"/>
      <c r="AB219" s="80"/>
    </row>
    <row r="220" spans="4:28" ht="14.25" customHeight="1"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16"/>
      <c r="U220" s="80"/>
      <c r="V220" s="80"/>
      <c r="W220" s="80"/>
      <c r="X220" s="80"/>
      <c r="Y220" s="80"/>
      <c r="Z220" s="80"/>
      <c r="AA220" s="80"/>
      <c r="AB220" s="80"/>
    </row>
    <row r="221" spans="4:28" ht="14.25" customHeight="1"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16"/>
      <c r="U221" s="80"/>
      <c r="V221" s="80"/>
      <c r="W221" s="80"/>
      <c r="X221" s="80"/>
      <c r="Y221" s="80"/>
      <c r="Z221" s="80"/>
      <c r="AA221" s="80"/>
      <c r="AB221" s="80"/>
    </row>
    <row r="222" spans="4:28" ht="14.25" customHeight="1"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16"/>
      <c r="U222" s="80"/>
      <c r="V222" s="80"/>
      <c r="W222" s="80"/>
      <c r="X222" s="80"/>
      <c r="Y222" s="80"/>
      <c r="Z222" s="80"/>
      <c r="AA222" s="80"/>
      <c r="AB222" s="80"/>
    </row>
    <row r="223" spans="4:28" ht="14.25" customHeight="1"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16"/>
      <c r="U223" s="80"/>
      <c r="V223" s="80"/>
      <c r="W223" s="80"/>
      <c r="X223" s="80"/>
      <c r="Y223" s="80"/>
      <c r="Z223" s="80"/>
      <c r="AA223" s="80"/>
      <c r="AB223" s="80"/>
    </row>
    <row r="224" spans="4:28" ht="14.25" customHeight="1"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16"/>
      <c r="U224" s="80"/>
      <c r="V224" s="80"/>
      <c r="W224" s="80"/>
      <c r="X224" s="80"/>
      <c r="Y224" s="80"/>
      <c r="Z224" s="80"/>
      <c r="AA224" s="80"/>
      <c r="AB224" s="80"/>
    </row>
    <row r="225" spans="4:28" ht="14.25" customHeight="1"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16"/>
      <c r="U225" s="80"/>
      <c r="V225" s="80"/>
      <c r="W225" s="80"/>
      <c r="X225" s="80"/>
      <c r="Y225" s="80"/>
      <c r="Z225" s="80"/>
      <c r="AA225" s="80"/>
      <c r="AB225" s="80"/>
    </row>
    <row r="226" spans="4:28" ht="14.25" customHeight="1"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16"/>
      <c r="U226" s="80"/>
      <c r="V226" s="80"/>
      <c r="W226" s="80"/>
      <c r="X226" s="80"/>
      <c r="Y226" s="80"/>
      <c r="Z226" s="80"/>
      <c r="AA226" s="80"/>
      <c r="AB226" s="80"/>
    </row>
    <row r="227" spans="4:28" ht="14.25" customHeight="1"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16"/>
      <c r="U227" s="80"/>
      <c r="V227" s="80"/>
      <c r="W227" s="80"/>
      <c r="X227" s="80"/>
      <c r="Y227" s="80"/>
      <c r="Z227" s="80"/>
      <c r="AA227" s="80"/>
      <c r="AB227" s="80"/>
    </row>
    <row r="228" spans="4:28" ht="14.25" customHeight="1"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16"/>
      <c r="U228" s="80"/>
      <c r="V228" s="80"/>
      <c r="W228" s="80"/>
      <c r="X228" s="80"/>
      <c r="Y228" s="80"/>
      <c r="Z228" s="80"/>
      <c r="AA228" s="80"/>
      <c r="AB228" s="80"/>
    </row>
    <row r="229" spans="4:28" ht="14.25" customHeight="1"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16"/>
      <c r="U229" s="80"/>
      <c r="V229" s="80"/>
      <c r="W229" s="80"/>
      <c r="X229" s="80"/>
      <c r="Y229" s="80"/>
      <c r="Z229" s="80"/>
      <c r="AA229" s="80"/>
      <c r="AB229" s="80"/>
    </row>
    <row r="230" spans="4:28" ht="14.25" customHeight="1"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16"/>
      <c r="U230" s="80"/>
      <c r="V230" s="80"/>
      <c r="W230" s="80"/>
      <c r="X230" s="80"/>
      <c r="Y230" s="80"/>
      <c r="Z230" s="80"/>
      <c r="AA230" s="80"/>
      <c r="AB230" s="80"/>
    </row>
    <row r="231" spans="4:28" ht="14.25" customHeight="1"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16"/>
      <c r="U231" s="80"/>
      <c r="V231" s="80"/>
      <c r="W231" s="80"/>
      <c r="X231" s="80"/>
      <c r="Y231" s="80"/>
      <c r="Z231" s="80"/>
      <c r="AA231" s="80"/>
      <c r="AB231" s="80"/>
    </row>
    <row r="232" spans="4:28" ht="14.25" customHeight="1"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16"/>
      <c r="U232" s="80"/>
      <c r="V232" s="80"/>
      <c r="W232" s="80"/>
      <c r="X232" s="80"/>
      <c r="Y232" s="80"/>
      <c r="Z232" s="80"/>
      <c r="AA232" s="80"/>
      <c r="AB232" s="80"/>
    </row>
    <row r="233" spans="4:28" ht="14.25" customHeight="1"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16"/>
      <c r="U233" s="80"/>
      <c r="V233" s="80"/>
      <c r="W233" s="80"/>
      <c r="X233" s="80"/>
      <c r="Y233" s="80"/>
      <c r="Z233" s="80"/>
      <c r="AA233" s="80"/>
      <c r="AB233" s="80"/>
    </row>
    <row r="234" spans="4:28" ht="14.25" customHeight="1"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16"/>
      <c r="U234" s="80"/>
      <c r="V234" s="80"/>
      <c r="W234" s="80"/>
      <c r="X234" s="80"/>
      <c r="Y234" s="80"/>
      <c r="Z234" s="80"/>
      <c r="AA234" s="80"/>
      <c r="AB234" s="80"/>
    </row>
    <row r="235" spans="4:28" ht="14.25" customHeight="1"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16"/>
      <c r="U235" s="80"/>
      <c r="V235" s="80"/>
      <c r="W235" s="80"/>
      <c r="X235" s="80"/>
      <c r="Y235" s="80"/>
      <c r="Z235" s="80"/>
      <c r="AA235" s="80"/>
      <c r="AB235" s="80"/>
    </row>
    <row r="236" spans="4:28" ht="14.25" customHeight="1"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16"/>
      <c r="U236" s="80"/>
      <c r="V236" s="80"/>
      <c r="W236" s="80"/>
      <c r="X236" s="80"/>
      <c r="Y236" s="80"/>
      <c r="Z236" s="80"/>
      <c r="AA236" s="80"/>
      <c r="AB236" s="80"/>
    </row>
    <row r="237" spans="4:28" ht="14.25" customHeight="1"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16"/>
      <c r="U237" s="80"/>
      <c r="V237" s="80"/>
      <c r="W237" s="80"/>
      <c r="X237" s="80"/>
      <c r="Y237" s="80"/>
      <c r="Z237" s="80"/>
      <c r="AA237" s="80"/>
      <c r="AB237" s="80"/>
    </row>
    <row r="238" spans="4:28" ht="14.25" customHeight="1"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16"/>
      <c r="U238" s="80"/>
      <c r="V238" s="80"/>
      <c r="W238" s="80"/>
      <c r="X238" s="80"/>
      <c r="Y238" s="80"/>
      <c r="Z238" s="80"/>
      <c r="AA238" s="80"/>
      <c r="AB238" s="80"/>
    </row>
    <row r="239" spans="4:28" ht="14.25" customHeight="1"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16"/>
      <c r="U239" s="80"/>
      <c r="V239" s="80"/>
      <c r="W239" s="80"/>
      <c r="X239" s="80"/>
      <c r="Y239" s="80"/>
      <c r="Z239" s="80"/>
      <c r="AA239" s="80"/>
      <c r="AB239" s="80"/>
    </row>
    <row r="240" spans="4:28" ht="14.25" customHeight="1"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16"/>
      <c r="U240" s="80"/>
      <c r="V240" s="80"/>
      <c r="W240" s="80"/>
      <c r="X240" s="80"/>
      <c r="Y240" s="80"/>
      <c r="Z240" s="80"/>
      <c r="AA240" s="80"/>
      <c r="AB240" s="80"/>
    </row>
    <row r="241" spans="4:28" ht="14.25" customHeight="1"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16"/>
      <c r="U241" s="80"/>
      <c r="V241" s="80"/>
      <c r="W241" s="80"/>
      <c r="X241" s="80"/>
      <c r="Y241" s="80"/>
      <c r="Z241" s="80"/>
      <c r="AA241" s="80"/>
      <c r="AB241" s="80"/>
    </row>
    <row r="242" spans="4:28" ht="14.25" customHeight="1"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16"/>
      <c r="U242" s="80"/>
      <c r="V242" s="80"/>
      <c r="W242" s="80"/>
      <c r="X242" s="80"/>
      <c r="Y242" s="80"/>
      <c r="Z242" s="80"/>
      <c r="AA242" s="80"/>
      <c r="AB242" s="80"/>
    </row>
    <row r="243" spans="4:28" ht="14.25" customHeight="1"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16"/>
      <c r="U243" s="80"/>
      <c r="V243" s="80"/>
      <c r="W243" s="80"/>
      <c r="X243" s="80"/>
      <c r="Y243" s="80"/>
      <c r="Z243" s="80"/>
      <c r="AA243" s="80"/>
      <c r="AB243" s="80"/>
    </row>
    <row r="244" spans="4:28" ht="14.25" customHeight="1"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16"/>
      <c r="U244" s="80"/>
      <c r="V244" s="80"/>
      <c r="W244" s="80"/>
      <c r="X244" s="80"/>
      <c r="Y244" s="80"/>
      <c r="Z244" s="80"/>
      <c r="AA244" s="80"/>
      <c r="AB244" s="80"/>
    </row>
    <row r="245" spans="4:28" ht="14.25" customHeight="1"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16"/>
      <c r="U245" s="80"/>
      <c r="V245" s="80"/>
      <c r="W245" s="80"/>
      <c r="X245" s="80"/>
      <c r="Y245" s="80"/>
      <c r="Z245" s="80"/>
      <c r="AA245" s="80"/>
      <c r="AB245" s="80"/>
    </row>
    <row r="246" spans="4:28" ht="14.25" customHeight="1"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16"/>
      <c r="U246" s="80"/>
      <c r="V246" s="80"/>
      <c r="W246" s="80"/>
      <c r="X246" s="80"/>
      <c r="Y246" s="80"/>
      <c r="Z246" s="80"/>
      <c r="AA246" s="80"/>
      <c r="AB246" s="80"/>
    </row>
    <row r="247" spans="4:28" ht="14.25" customHeight="1"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16"/>
      <c r="U247" s="80"/>
      <c r="V247" s="80"/>
      <c r="W247" s="80"/>
      <c r="X247" s="80"/>
      <c r="Y247" s="80"/>
      <c r="Z247" s="80"/>
      <c r="AA247" s="80"/>
      <c r="AB247" s="80"/>
    </row>
    <row r="248" spans="4:28" ht="14.25" customHeight="1"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16"/>
      <c r="U248" s="80"/>
      <c r="V248" s="80"/>
      <c r="W248" s="80"/>
      <c r="X248" s="80"/>
      <c r="Y248" s="80"/>
      <c r="Z248" s="80"/>
      <c r="AA248" s="80"/>
      <c r="AB248" s="80"/>
    </row>
    <row r="249" spans="4:28" ht="14.25" customHeight="1"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16"/>
      <c r="U249" s="80"/>
      <c r="V249" s="80"/>
      <c r="W249" s="80"/>
      <c r="X249" s="80"/>
      <c r="Y249" s="80"/>
      <c r="Z249" s="80"/>
      <c r="AA249" s="80"/>
      <c r="AB249" s="80"/>
    </row>
    <row r="250" spans="4:28" ht="14.25" customHeight="1"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16"/>
      <c r="U250" s="80"/>
      <c r="V250" s="80"/>
      <c r="W250" s="80"/>
      <c r="X250" s="80"/>
      <c r="Y250" s="80"/>
      <c r="Z250" s="80"/>
      <c r="AA250" s="80"/>
      <c r="AB250" s="80"/>
    </row>
    <row r="251" spans="4:28" ht="14.25" customHeight="1"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16"/>
      <c r="U251" s="80"/>
      <c r="V251" s="80"/>
      <c r="W251" s="80"/>
      <c r="X251" s="80"/>
      <c r="Y251" s="80"/>
      <c r="Z251" s="80"/>
      <c r="AA251" s="80"/>
      <c r="AB251" s="80"/>
    </row>
    <row r="252" spans="4:28" ht="14.25" customHeight="1"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16"/>
      <c r="U252" s="80"/>
      <c r="V252" s="80"/>
      <c r="W252" s="80"/>
      <c r="X252" s="80"/>
      <c r="Y252" s="80"/>
      <c r="Z252" s="80"/>
      <c r="AA252" s="80"/>
      <c r="AB252" s="80"/>
    </row>
    <row r="253" spans="4:28" ht="14.25" customHeight="1"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16"/>
      <c r="U253" s="80"/>
      <c r="V253" s="80"/>
      <c r="W253" s="80"/>
      <c r="X253" s="80"/>
      <c r="Y253" s="80"/>
      <c r="Z253" s="80"/>
      <c r="AA253" s="80"/>
      <c r="AB253" s="80"/>
    </row>
    <row r="254" spans="4:28" ht="14.25" customHeight="1"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16"/>
      <c r="U254" s="80"/>
      <c r="V254" s="80"/>
      <c r="W254" s="80"/>
      <c r="X254" s="80"/>
      <c r="Y254" s="80"/>
      <c r="Z254" s="80"/>
      <c r="AA254" s="80"/>
      <c r="AB254" s="80"/>
    </row>
    <row r="255" spans="4:28" ht="14.25" customHeight="1"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16"/>
      <c r="U255" s="80"/>
      <c r="V255" s="80"/>
      <c r="W255" s="80"/>
      <c r="X255" s="80"/>
      <c r="Y255" s="80"/>
      <c r="Z255" s="80"/>
      <c r="AA255" s="80"/>
      <c r="AB255" s="80"/>
    </row>
    <row r="256" spans="4:28" ht="14.25" customHeight="1"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16"/>
      <c r="U256" s="80"/>
      <c r="V256" s="80"/>
      <c r="W256" s="80"/>
      <c r="X256" s="80"/>
      <c r="Y256" s="80"/>
      <c r="Z256" s="80"/>
      <c r="AA256" s="80"/>
      <c r="AB256" s="80"/>
    </row>
    <row r="257" spans="4:28" ht="14.25" customHeight="1"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16"/>
      <c r="U257" s="80"/>
      <c r="V257" s="80"/>
      <c r="W257" s="80"/>
      <c r="X257" s="80"/>
      <c r="Y257" s="80"/>
      <c r="Z257" s="80"/>
      <c r="AA257" s="80"/>
      <c r="AB257" s="80"/>
    </row>
    <row r="258" spans="4:28" ht="14.25" customHeight="1"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16"/>
      <c r="U258" s="80"/>
      <c r="V258" s="80"/>
      <c r="W258" s="80"/>
      <c r="X258" s="80"/>
      <c r="Y258" s="80"/>
      <c r="Z258" s="80"/>
      <c r="AA258" s="80"/>
      <c r="AB258" s="80"/>
    </row>
    <row r="259" spans="4:28" ht="14.25" customHeight="1"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16"/>
      <c r="U259" s="80"/>
      <c r="V259" s="80"/>
      <c r="W259" s="80"/>
      <c r="X259" s="80"/>
      <c r="Y259" s="80"/>
      <c r="Z259" s="80"/>
      <c r="AA259" s="80"/>
      <c r="AB259" s="80"/>
    </row>
    <row r="260" spans="4:28" ht="14.25" customHeight="1"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16"/>
      <c r="U260" s="80"/>
      <c r="V260" s="80"/>
      <c r="W260" s="80"/>
      <c r="X260" s="80"/>
      <c r="Y260" s="80"/>
      <c r="Z260" s="80"/>
      <c r="AA260" s="80"/>
      <c r="AB260" s="80"/>
    </row>
    <row r="261" spans="4:28" ht="14.25" customHeight="1"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16"/>
      <c r="U261" s="80"/>
      <c r="V261" s="80"/>
      <c r="W261" s="80"/>
      <c r="X261" s="80"/>
      <c r="Y261" s="80"/>
      <c r="Z261" s="80"/>
      <c r="AA261" s="80"/>
      <c r="AB261" s="80"/>
    </row>
    <row r="262" spans="4:28" ht="14.25" customHeight="1"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16"/>
      <c r="U262" s="80"/>
      <c r="V262" s="80"/>
      <c r="W262" s="80"/>
      <c r="X262" s="80"/>
      <c r="Y262" s="80"/>
      <c r="Z262" s="80"/>
      <c r="AA262" s="80"/>
      <c r="AB262" s="80"/>
    </row>
    <row r="263" spans="4:28" ht="14.25" customHeight="1"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16"/>
      <c r="U263" s="80"/>
      <c r="V263" s="80"/>
      <c r="W263" s="80"/>
      <c r="X263" s="80"/>
      <c r="Y263" s="80"/>
      <c r="Z263" s="80"/>
      <c r="AA263" s="80"/>
      <c r="AB263" s="80"/>
    </row>
    <row r="264" spans="4:28" ht="14.25" customHeight="1"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16"/>
      <c r="U264" s="80"/>
      <c r="V264" s="80"/>
      <c r="W264" s="80"/>
      <c r="X264" s="80"/>
      <c r="Y264" s="80"/>
      <c r="Z264" s="80"/>
      <c r="AA264" s="80"/>
      <c r="AB264" s="80"/>
    </row>
    <row r="265" spans="4:28" ht="14.25" customHeight="1"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16"/>
      <c r="U265" s="80"/>
      <c r="V265" s="80"/>
      <c r="W265" s="80"/>
      <c r="X265" s="80"/>
      <c r="Y265" s="80"/>
      <c r="Z265" s="80"/>
      <c r="AA265" s="80"/>
      <c r="AB265" s="80"/>
    </row>
    <row r="266" spans="4:28" ht="14.25" customHeight="1"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16"/>
      <c r="U266" s="80"/>
      <c r="V266" s="80"/>
      <c r="W266" s="80"/>
      <c r="X266" s="80"/>
      <c r="Y266" s="80"/>
      <c r="Z266" s="80"/>
      <c r="AA266" s="80"/>
      <c r="AB266" s="80"/>
    </row>
    <row r="267" spans="4:28" ht="14.25" customHeight="1"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16"/>
      <c r="U267" s="80"/>
      <c r="V267" s="80"/>
      <c r="W267" s="80"/>
      <c r="X267" s="80"/>
      <c r="Y267" s="80"/>
      <c r="Z267" s="80"/>
      <c r="AA267" s="80"/>
      <c r="AB267" s="80"/>
    </row>
    <row r="268" spans="4:28" ht="14.25" customHeight="1"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16"/>
      <c r="U268" s="80"/>
      <c r="V268" s="80"/>
      <c r="W268" s="80"/>
      <c r="X268" s="80"/>
      <c r="Y268" s="80"/>
      <c r="Z268" s="80"/>
      <c r="AA268" s="80"/>
      <c r="AB268" s="80"/>
    </row>
    <row r="269" spans="4:28" ht="14.25" customHeight="1"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16"/>
      <c r="U269" s="80"/>
      <c r="V269" s="80"/>
      <c r="W269" s="80"/>
      <c r="X269" s="80"/>
      <c r="Y269" s="80"/>
      <c r="Z269" s="80"/>
      <c r="AA269" s="80"/>
      <c r="AB269" s="80"/>
    </row>
    <row r="270" spans="4:28" ht="14.25" customHeight="1"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16"/>
      <c r="U270" s="80"/>
      <c r="V270" s="80"/>
      <c r="W270" s="80"/>
      <c r="X270" s="80"/>
      <c r="Y270" s="80"/>
      <c r="Z270" s="80"/>
      <c r="AA270" s="80"/>
      <c r="AB270" s="80"/>
    </row>
    <row r="271" spans="4:28" ht="14.25" customHeight="1"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16"/>
      <c r="U271" s="80"/>
      <c r="V271" s="80"/>
      <c r="W271" s="80"/>
      <c r="X271" s="80"/>
      <c r="Y271" s="80"/>
      <c r="Z271" s="80"/>
      <c r="AA271" s="80"/>
      <c r="AB271" s="80"/>
    </row>
    <row r="272" spans="4:28" ht="14.25" customHeight="1"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16"/>
      <c r="U272" s="80"/>
      <c r="V272" s="80"/>
      <c r="W272" s="80"/>
      <c r="X272" s="80"/>
      <c r="Y272" s="80"/>
      <c r="Z272" s="80"/>
      <c r="AA272" s="80"/>
      <c r="AB272" s="80"/>
    </row>
    <row r="273" spans="4:28" ht="14.25" customHeight="1"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16"/>
      <c r="U273" s="80"/>
      <c r="V273" s="80"/>
      <c r="W273" s="80"/>
      <c r="X273" s="80"/>
      <c r="Y273" s="80"/>
      <c r="Z273" s="80"/>
      <c r="AA273" s="80"/>
      <c r="AB273" s="80"/>
    </row>
    <row r="274" spans="4:28" ht="14.25" customHeight="1"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16"/>
      <c r="U274" s="80"/>
      <c r="V274" s="80"/>
      <c r="W274" s="80"/>
      <c r="X274" s="80"/>
      <c r="Y274" s="80"/>
      <c r="Z274" s="80"/>
      <c r="AA274" s="80"/>
      <c r="AB274" s="80"/>
    </row>
    <row r="275" spans="4:28" ht="14.25" customHeight="1"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16"/>
      <c r="U275" s="80"/>
      <c r="V275" s="80"/>
      <c r="W275" s="80"/>
      <c r="X275" s="80"/>
      <c r="Y275" s="80"/>
      <c r="Z275" s="80"/>
      <c r="AA275" s="80"/>
      <c r="AB275" s="80"/>
    </row>
    <row r="276" spans="4:28" ht="14.25" customHeight="1"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16"/>
      <c r="U276" s="80"/>
      <c r="V276" s="80"/>
      <c r="W276" s="80"/>
      <c r="X276" s="80"/>
      <c r="Y276" s="80"/>
      <c r="Z276" s="80"/>
      <c r="AA276" s="80"/>
      <c r="AB276" s="80"/>
    </row>
    <row r="277" spans="4:28" ht="14.25" customHeight="1"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16"/>
      <c r="U277" s="80"/>
      <c r="V277" s="80"/>
      <c r="W277" s="80"/>
      <c r="X277" s="80"/>
      <c r="Y277" s="80"/>
      <c r="Z277" s="80"/>
      <c r="AA277" s="80"/>
      <c r="AB277" s="80"/>
    </row>
    <row r="278" spans="4:28" ht="14.25" customHeight="1"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16"/>
      <c r="U278" s="80"/>
      <c r="V278" s="80"/>
      <c r="W278" s="80"/>
      <c r="X278" s="80"/>
      <c r="Y278" s="80"/>
      <c r="Z278" s="80"/>
      <c r="AA278" s="80"/>
      <c r="AB278" s="80"/>
    </row>
    <row r="279" spans="4:28" ht="14.25" customHeight="1"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16"/>
      <c r="U279" s="80"/>
      <c r="V279" s="80"/>
      <c r="W279" s="80"/>
      <c r="X279" s="80"/>
      <c r="Y279" s="80"/>
      <c r="Z279" s="80"/>
      <c r="AA279" s="80"/>
      <c r="AB279" s="80"/>
    </row>
    <row r="280" spans="4:28" ht="14.25" customHeight="1"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16"/>
      <c r="U280" s="80"/>
      <c r="V280" s="80"/>
      <c r="W280" s="80"/>
      <c r="X280" s="80"/>
      <c r="Y280" s="80"/>
      <c r="Z280" s="80"/>
      <c r="AA280" s="80"/>
      <c r="AB280" s="80"/>
    </row>
    <row r="281" spans="4:28" ht="14.25" customHeight="1"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16"/>
      <c r="U281" s="80"/>
      <c r="V281" s="80"/>
      <c r="W281" s="80"/>
      <c r="X281" s="80"/>
      <c r="Y281" s="80"/>
      <c r="Z281" s="80"/>
      <c r="AA281" s="80"/>
      <c r="AB281" s="80"/>
    </row>
    <row r="282" spans="4:28" ht="14.25" customHeight="1"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16"/>
      <c r="U282" s="80"/>
      <c r="V282" s="80"/>
      <c r="W282" s="80"/>
      <c r="X282" s="80"/>
      <c r="Y282" s="80"/>
      <c r="Z282" s="80"/>
      <c r="AA282" s="80"/>
      <c r="AB282" s="80"/>
    </row>
    <row r="283" spans="4:28" ht="14.25" customHeight="1"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16"/>
      <c r="U283" s="80"/>
      <c r="V283" s="80"/>
      <c r="W283" s="80"/>
      <c r="X283" s="80"/>
      <c r="Y283" s="80"/>
      <c r="Z283" s="80"/>
      <c r="AA283" s="80"/>
      <c r="AB283" s="80"/>
    </row>
    <row r="284" spans="4:28" ht="14.25" customHeight="1"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16"/>
      <c r="U284" s="80"/>
      <c r="V284" s="80"/>
      <c r="W284" s="80"/>
      <c r="X284" s="80"/>
      <c r="Y284" s="80"/>
      <c r="Z284" s="80"/>
      <c r="AA284" s="80"/>
      <c r="AB284" s="80"/>
    </row>
    <row r="285" spans="4:28" ht="14.25" customHeight="1"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16"/>
      <c r="U285" s="80"/>
      <c r="V285" s="80"/>
      <c r="W285" s="80"/>
      <c r="X285" s="80"/>
      <c r="Y285" s="80"/>
      <c r="Z285" s="80"/>
      <c r="AA285" s="80"/>
      <c r="AB285" s="80"/>
    </row>
    <row r="286" spans="4:28" ht="14.25" customHeight="1"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16"/>
      <c r="U286" s="80"/>
      <c r="V286" s="80"/>
      <c r="W286" s="80"/>
      <c r="X286" s="80"/>
      <c r="Y286" s="80"/>
      <c r="Z286" s="80"/>
      <c r="AA286" s="80"/>
      <c r="AB286" s="80"/>
    </row>
    <row r="287" spans="4:28" ht="14.25" customHeight="1"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16"/>
      <c r="U287" s="80"/>
      <c r="V287" s="80"/>
      <c r="W287" s="80"/>
      <c r="X287" s="80"/>
      <c r="Y287" s="80"/>
      <c r="Z287" s="80"/>
      <c r="AA287" s="80"/>
      <c r="AB287" s="80"/>
    </row>
    <row r="288" spans="4:28" ht="14.25" customHeight="1"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16"/>
      <c r="U288" s="80"/>
      <c r="V288" s="80"/>
      <c r="W288" s="80"/>
      <c r="X288" s="80"/>
      <c r="Y288" s="80"/>
      <c r="Z288" s="80"/>
      <c r="AA288" s="80"/>
      <c r="AB288" s="80"/>
    </row>
    <row r="289" spans="4:28" ht="14.25" customHeight="1"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16"/>
      <c r="U289" s="80"/>
      <c r="V289" s="80"/>
      <c r="W289" s="80"/>
      <c r="X289" s="80"/>
      <c r="Y289" s="80"/>
      <c r="Z289" s="80"/>
      <c r="AA289" s="80"/>
      <c r="AB289" s="80"/>
    </row>
    <row r="290" spans="4:28" ht="14.25" customHeight="1"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16"/>
      <c r="U290" s="80"/>
      <c r="V290" s="80"/>
      <c r="W290" s="80"/>
      <c r="X290" s="80"/>
      <c r="Y290" s="80"/>
      <c r="Z290" s="80"/>
      <c r="AA290" s="80"/>
      <c r="AB290" s="80"/>
    </row>
    <row r="291" spans="4:28" ht="14.25" customHeight="1"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16"/>
      <c r="U291" s="80"/>
      <c r="V291" s="80"/>
      <c r="W291" s="80"/>
      <c r="X291" s="80"/>
      <c r="Y291" s="80"/>
      <c r="Z291" s="80"/>
      <c r="AA291" s="80"/>
      <c r="AB291" s="80"/>
    </row>
    <row r="292" spans="4:28" ht="14.25" customHeight="1"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16"/>
      <c r="U292" s="80"/>
      <c r="V292" s="80"/>
      <c r="W292" s="80"/>
      <c r="X292" s="80"/>
      <c r="Y292" s="80"/>
      <c r="Z292" s="80"/>
      <c r="AA292" s="80"/>
      <c r="AB292" s="80"/>
    </row>
    <row r="293" spans="4:28" ht="14.25" customHeight="1"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16"/>
      <c r="U293" s="80"/>
      <c r="V293" s="80"/>
      <c r="W293" s="80"/>
      <c r="X293" s="80"/>
      <c r="Y293" s="80"/>
      <c r="Z293" s="80"/>
      <c r="AA293" s="80"/>
      <c r="AB293" s="80"/>
    </row>
    <row r="294" spans="4:28" ht="14.25" customHeight="1"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16"/>
      <c r="U294" s="80"/>
      <c r="V294" s="80"/>
      <c r="W294" s="80"/>
      <c r="X294" s="80"/>
      <c r="Y294" s="80"/>
      <c r="Z294" s="80"/>
      <c r="AA294" s="80"/>
      <c r="AB294" s="80"/>
    </row>
    <row r="295" spans="4:28" ht="14.25" customHeight="1"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16"/>
      <c r="U295" s="80"/>
      <c r="V295" s="80"/>
      <c r="W295" s="80"/>
      <c r="X295" s="80"/>
      <c r="Y295" s="80"/>
      <c r="Z295" s="80"/>
      <c r="AA295" s="80"/>
      <c r="AB295" s="80"/>
    </row>
    <row r="296" spans="4:28" ht="14.25" customHeight="1"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16"/>
      <c r="U296" s="80"/>
      <c r="V296" s="80"/>
      <c r="W296" s="80"/>
      <c r="X296" s="80"/>
      <c r="Y296" s="80"/>
      <c r="Z296" s="80"/>
      <c r="AA296" s="80"/>
      <c r="AB296" s="80"/>
    </row>
    <row r="297" spans="4:28" ht="14.25" customHeight="1"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16"/>
      <c r="U297" s="80"/>
      <c r="V297" s="80"/>
      <c r="W297" s="80"/>
      <c r="X297" s="80"/>
      <c r="Y297" s="80"/>
      <c r="Z297" s="80"/>
      <c r="AA297" s="80"/>
      <c r="AB297" s="80"/>
    </row>
    <row r="298" spans="4:28" ht="14.25" customHeight="1"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16"/>
      <c r="U298" s="80"/>
      <c r="V298" s="80"/>
      <c r="W298" s="80"/>
      <c r="X298" s="80"/>
      <c r="Y298" s="80"/>
      <c r="Z298" s="80"/>
      <c r="AA298" s="80"/>
      <c r="AB298" s="80"/>
    </row>
    <row r="299" spans="4:28" ht="14.25" customHeight="1"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16"/>
      <c r="U299" s="80"/>
      <c r="V299" s="80"/>
      <c r="W299" s="80"/>
      <c r="X299" s="80"/>
      <c r="Y299" s="80"/>
      <c r="Z299" s="80"/>
      <c r="AA299" s="80"/>
      <c r="AB299" s="80"/>
    </row>
    <row r="300" spans="4:28" ht="14.25" customHeight="1"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16"/>
      <c r="U300" s="80"/>
      <c r="V300" s="80"/>
      <c r="W300" s="80"/>
      <c r="X300" s="80"/>
      <c r="Y300" s="80"/>
      <c r="Z300" s="80"/>
      <c r="AA300" s="80"/>
      <c r="AB300" s="80"/>
    </row>
    <row r="301" spans="4:28" ht="14.25" customHeight="1"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16"/>
      <c r="U301" s="80"/>
      <c r="V301" s="80"/>
      <c r="W301" s="80"/>
      <c r="X301" s="80"/>
      <c r="Y301" s="80"/>
      <c r="Z301" s="80"/>
      <c r="AA301" s="80"/>
      <c r="AB301" s="80"/>
    </row>
    <row r="302" spans="4:28" ht="14.25" customHeight="1"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16"/>
      <c r="U302" s="80"/>
      <c r="V302" s="80"/>
      <c r="W302" s="80"/>
      <c r="X302" s="80"/>
      <c r="Y302" s="80"/>
      <c r="Z302" s="80"/>
      <c r="AA302" s="80"/>
      <c r="AB302" s="80"/>
    </row>
    <row r="303" spans="4:28" ht="14.25" customHeight="1"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16"/>
      <c r="U303" s="80"/>
      <c r="V303" s="80"/>
      <c r="W303" s="80"/>
      <c r="X303" s="80"/>
      <c r="Y303" s="80"/>
      <c r="Z303" s="80"/>
      <c r="AA303" s="80"/>
      <c r="AB303" s="80"/>
    </row>
    <row r="304" spans="4:28" ht="14.25" customHeight="1"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16"/>
      <c r="U304" s="80"/>
      <c r="V304" s="80"/>
      <c r="W304" s="80"/>
      <c r="X304" s="80"/>
      <c r="Y304" s="80"/>
      <c r="Z304" s="80"/>
      <c r="AA304" s="80"/>
      <c r="AB304" s="80"/>
    </row>
    <row r="305" spans="4:28" ht="14.25" customHeight="1"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16"/>
      <c r="U305" s="80"/>
      <c r="V305" s="80"/>
      <c r="W305" s="80"/>
      <c r="X305" s="80"/>
      <c r="Y305" s="80"/>
      <c r="Z305" s="80"/>
      <c r="AA305" s="80"/>
      <c r="AB305" s="80"/>
    </row>
    <row r="306" spans="4:28" ht="14.25" customHeight="1"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16"/>
      <c r="U306" s="80"/>
      <c r="V306" s="80"/>
      <c r="W306" s="80"/>
      <c r="X306" s="80"/>
      <c r="Y306" s="80"/>
      <c r="Z306" s="80"/>
      <c r="AA306" s="80"/>
      <c r="AB306" s="80"/>
    </row>
    <row r="307" spans="4:28" ht="14.25" customHeight="1"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16"/>
      <c r="U307" s="80"/>
      <c r="V307" s="80"/>
      <c r="W307" s="80"/>
      <c r="X307" s="80"/>
      <c r="Y307" s="80"/>
      <c r="Z307" s="80"/>
      <c r="AA307" s="80"/>
      <c r="AB307" s="80"/>
    </row>
    <row r="308" spans="4:28" ht="14.25" customHeight="1"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16"/>
      <c r="U308" s="80"/>
      <c r="V308" s="80"/>
      <c r="W308" s="80"/>
      <c r="X308" s="80"/>
      <c r="Y308" s="80"/>
      <c r="Z308" s="80"/>
      <c r="AA308" s="80"/>
      <c r="AB308" s="80"/>
    </row>
    <row r="309" spans="4:28" ht="14.25" customHeight="1"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16"/>
      <c r="U309" s="80"/>
      <c r="V309" s="80"/>
      <c r="W309" s="80"/>
      <c r="X309" s="80"/>
      <c r="Y309" s="80"/>
      <c r="Z309" s="80"/>
      <c r="AA309" s="80"/>
      <c r="AB309" s="80"/>
    </row>
    <row r="310" spans="4:28" ht="14.25" customHeight="1"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16"/>
      <c r="U310" s="80"/>
      <c r="V310" s="80"/>
      <c r="W310" s="80"/>
      <c r="X310" s="80"/>
      <c r="Y310" s="80"/>
      <c r="Z310" s="80"/>
      <c r="AA310" s="80"/>
      <c r="AB310" s="80"/>
    </row>
    <row r="311" spans="4:28" ht="14.25" customHeight="1"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16"/>
      <c r="U311" s="80"/>
      <c r="V311" s="80"/>
      <c r="W311" s="80"/>
      <c r="X311" s="80"/>
      <c r="Y311" s="80"/>
      <c r="Z311" s="80"/>
      <c r="AA311" s="80"/>
      <c r="AB311" s="80"/>
    </row>
    <row r="312" spans="4:28" ht="14.25" customHeight="1"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16"/>
      <c r="U312" s="80"/>
      <c r="V312" s="80"/>
      <c r="W312" s="80"/>
      <c r="X312" s="80"/>
      <c r="Y312" s="80"/>
      <c r="Z312" s="80"/>
      <c r="AA312" s="80"/>
      <c r="AB312" s="80"/>
    </row>
    <row r="313" spans="4:28" ht="14.25" customHeight="1"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16"/>
      <c r="U313" s="80"/>
      <c r="V313" s="80"/>
      <c r="W313" s="80"/>
      <c r="X313" s="80"/>
      <c r="Y313" s="80"/>
      <c r="Z313" s="80"/>
      <c r="AA313" s="80"/>
      <c r="AB313" s="80"/>
    </row>
    <row r="314" spans="4:28" ht="14.25" customHeight="1"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16"/>
      <c r="U314" s="80"/>
      <c r="V314" s="80"/>
      <c r="W314" s="80"/>
      <c r="X314" s="80"/>
      <c r="Y314" s="80"/>
      <c r="Z314" s="80"/>
      <c r="AA314" s="80"/>
      <c r="AB314" s="80"/>
    </row>
    <row r="315" spans="4:28" ht="14.25" customHeight="1"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16"/>
      <c r="U315" s="80"/>
      <c r="V315" s="80"/>
      <c r="W315" s="80"/>
      <c r="X315" s="80"/>
      <c r="Y315" s="80"/>
      <c r="Z315" s="80"/>
      <c r="AA315" s="80"/>
      <c r="AB315" s="80"/>
    </row>
    <row r="316" spans="4:28" ht="14.25" customHeight="1"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16"/>
      <c r="U316" s="80"/>
      <c r="V316" s="80"/>
      <c r="W316" s="80"/>
      <c r="X316" s="80"/>
      <c r="Y316" s="80"/>
      <c r="Z316" s="80"/>
      <c r="AA316" s="80"/>
      <c r="AB316" s="80"/>
    </row>
    <row r="317" spans="4:28" ht="14.25" customHeight="1"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16"/>
      <c r="U317" s="80"/>
      <c r="V317" s="80"/>
      <c r="W317" s="80"/>
      <c r="X317" s="80"/>
      <c r="Y317" s="80"/>
      <c r="Z317" s="80"/>
      <c r="AA317" s="80"/>
      <c r="AB317" s="80"/>
    </row>
    <row r="318" spans="4:28" ht="14.25" customHeight="1"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16"/>
      <c r="U318" s="80"/>
      <c r="V318" s="80"/>
      <c r="W318" s="80"/>
      <c r="X318" s="80"/>
      <c r="Y318" s="80"/>
      <c r="Z318" s="80"/>
      <c r="AA318" s="80"/>
      <c r="AB318" s="80"/>
    </row>
    <row r="319" spans="4:28" ht="14.25" customHeight="1"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16"/>
      <c r="U319" s="80"/>
      <c r="V319" s="80"/>
      <c r="W319" s="80"/>
      <c r="X319" s="80"/>
      <c r="Y319" s="80"/>
      <c r="Z319" s="80"/>
      <c r="AA319" s="80"/>
      <c r="AB319" s="80"/>
    </row>
    <row r="320" spans="4:28" ht="14.25" customHeight="1"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16"/>
      <c r="U320" s="80"/>
      <c r="V320" s="80"/>
      <c r="W320" s="80"/>
      <c r="X320" s="80"/>
      <c r="Y320" s="80"/>
      <c r="Z320" s="80"/>
      <c r="AA320" s="80"/>
      <c r="AB320" s="80"/>
    </row>
    <row r="321" spans="4:28" ht="14.25" customHeight="1"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16"/>
      <c r="U321" s="80"/>
      <c r="V321" s="80"/>
      <c r="W321" s="80"/>
      <c r="X321" s="80"/>
      <c r="Y321" s="80"/>
      <c r="Z321" s="80"/>
      <c r="AA321" s="80"/>
      <c r="AB321" s="80"/>
    </row>
    <row r="322" spans="4:28" ht="14.25" customHeight="1"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16"/>
      <c r="U322" s="80"/>
      <c r="V322" s="80"/>
      <c r="W322" s="80"/>
      <c r="X322" s="80"/>
      <c r="Y322" s="80"/>
      <c r="Z322" s="80"/>
      <c r="AA322" s="80"/>
      <c r="AB322" s="80"/>
    </row>
    <row r="323" spans="4:28" ht="14.25" customHeight="1"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16"/>
      <c r="U323" s="80"/>
      <c r="V323" s="80"/>
      <c r="W323" s="80"/>
      <c r="X323" s="80"/>
      <c r="Y323" s="80"/>
      <c r="Z323" s="80"/>
      <c r="AA323" s="80"/>
      <c r="AB323" s="80"/>
    </row>
    <row r="324" spans="4:28" ht="14.25" customHeight="1"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16"/>
      <c r="U324" s="80"/>
      <c r="V324" s="80"/>
      <c r="W324" s="80"/>
      <c r="X324" s="80"/>
      <c r="Y324" s="80"/>
      <c r="Z324" s="80"/>
      <c r="AA324" s="80"/>
      <c r="AB324" s="80"/>
    </row>
    <row r="325" spans="4:28" ht="14.25" customHeight="1"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16"/>
      <c r="U325" s="80"/>
      <c r="V325" s="80"/>
      <c r="W325" s="80"/>
      <c r="X325" s="80"/>
      <c r="Y325" s="80"/>
      <c r="Z325" s="80"/>
      <c r="AA325" s="80"/>
      <c r="AB325" s="80"/>
    </row>
    <row r="326" spans="4:28" ht="14.25" customHeight="1"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16"/>
      <c r="U326" s="80"/>
      <c r="V326" s="80"/>
      <c r="W326" s="80"/>
      <c r="X326" s="80"/>
      <c r="Y326" s="80"/>
      <c r="Z326" s="80"/>
      <c r="AA326" s="80"/>
      <c r="AB326" s="80"/>
    </row>
    <row r="327" spans="4:28" ht="14.25" customHeight="1"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16"/>
      <c r="U327" s="80"/>
      <c r="V327" s="80"/>
      <c r="W327" s="80"/>
      <c r="X327" s="80"/>
      <c r="Y327" s="80"/>
      <c r="Z327" s="80"/>
      <c r="AA327" s="80"/>
      <c r="AB327" s="80"/>
    </row>
    <row r="328" spans="4:28" ht="14.25" customHeight="1"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16"/>
      <c r="U328" s="80"/>
      <c r="V328" s="80"/>
      <c r="W328" s="80"/>
      <c r="X328" s="80"/>
      <c r="Y328" s="80"/>
      <c r="Z328" s="80"/>
      <c r="AA328" s="80"/>
      <c r="AB328" s="80"/>
    </row>
    <row r="329" spans="4:28" ht="14.25" customHeight="1"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16"/>
      <c r="U329" s="80"/>
      <c r="V329" s="80"/>
      <c r="W329" s="80"/>
      <c r="X329" s="80"/>
      <c r="Y329" s="80"/>
      <c r="Z329" s="80"/>
      <c r="AA329" s="80"/>
      <c r="AB329" s="80"/>
    </row>
    <row r="330" spans="4:28" ht="14.25" customHeight="1"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16"/>
      <c r="U330" s="80"/>
      <c r="V330" s="80"/>
      <c r="W330" s="80"/>
      <c r="X330" s="80"/>
      <c r="Y330" s="80"/>
      <c r="Z330" s="80"/>
      <c r="AA330" s="80"/>
      <c r="AB330" s="80"/>
    </row>
    <row r="331" spans="4:28" ht="14.25" customHeight="1"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16"/>
      <c r="U331" s="80"/>
      <c r="V331" s="80"/>
      <c r="W331" s="80"/>
      <c r="X331" s="80"/>
      <c r="Y331" s="80"/>
      <c r="Z331" s="80"/>
      <c r="AA331" s="80"/>
      <c r="AB331" s="80"/>
    </row>
    <row r="332" spans="4:28" ht="14.25" customHeight="1"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16"/>
      <c r="U332" s="80"/>
      <c r="V332" s="80"/>
      <c r="W332" s="80"/>
      <c r="X332" s="80"/>
      <c r="Y332" s="80"/>
      <c r="Z332" s="80"/>
      <c r="AA332" s="80"/>
      <c r="AB332" s="80"/>
    </row>
    <row r="333" spans="4:28" ht="14.25" customHeight="1"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16"/>
      <c r="U333" s="80"/>
      <c r="V333" s="80"/>
      <c r="W333" s="80"/>
      <c r="X333" s="80"/>
      <c r="Y333" s="80"/>
      <c r="Z333" s="80"/>
      <c r="AA333" s="80"/>
      <c r="AB333" s="80"/>
    </row>
    <row r="334" spans="4:28" ht="14.25" customHeight="1"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16"/>
      <c r="U334" s="80"/>
      <c r="V334" s="80"/>
      <c r="W334" s="80"/>
      <c r="X334" s="80"/>
      <c r="Y334" s="80"/>
      <c r="Z334" s="80"/>
      <c r="AA334" s="80"/>
      <c r="AB334" s="80"/>
    </row>
    <row r="335" spans="4:28" ht="14.25" customHeight="1"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16"/>
      <c r="U335" s="80"/>
      <c r="V335" s="80"/>
      <c r="W335" s="80"/>
      <c r="X335" s="80"/>
      <c r="Y335" s="80"/>
      <c r="Z335" s="80"/>
      <c r="AA335" s="80"/>
      <c r="AB335" s="80"/>
    </row>
    <row r="336" spans="4:28" ht="14.25" customHeight="1"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16"/>
      <c r="U336" s="80"/>
      <c r="V336" s="80"/>
      <c r="W336" s="80"/>
      <c r="X336" s="80"/>
      <c r="Y336" s="80"/>
      <c r="Z336" s="80"/>
      <c r="AA336" s="80"/>
      <c r="AB336" s="80"/>
    </row>
    <row r="337" spans="4:28" ht="14.25" customHeight="1"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16"/>
      <c r="U337" s="80"/>
      <c r="V337" s="80"/>
      <c r="W337" s="80"/>
      <c r="X337" s="80"/>
      <c r="Y337" s="80"/>
      <c r="Z337" s="80"/>
      <c r="AA337" s="80"/>
      <c r="AB337" s="80"/>
    </row>
    <row r="338" spans="4:28" ht="14.25" customHeight="1"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16"/>
      <c r="U338" s="80"/>
      <c r="V338" s="80"/>
      <c r="W338" s="80"/>
      <c r="X338" s="80"/>
      <c r="Y338" s="80"/>
      <c r="Z338" s="80"/>
      <c r="AA338" s="80"/>
      <c r="AB338" s="80"/>
    </row>
    <row r="339" spans="4:28" ht="14.25" customHeight="1"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16"/>
      <c r="U339" s="80"/>
      <c r="V339" s="80"/>
      <c r="W339" s="80"/>
      <c r="X339" s="80"/>
      <c r="Y339" s="80"/>
      <c r="Z339" s="80"/>
      <c r="AA339" s="80"/>
      <c r="AB339" s="80"/>
    </row>
    <row r="340" spans="4:28" ht="14.25" customHeight="1"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16"/>
      <c r="U340" s="80"/>
      <c r="V340" s="80"/>
      <c r="W340" s="80"/>
      <c r="X340" s="80"/>
      <c r="Y340" s="80"/>
      <c r="Z340" s="80"/>
      <c r="AA340" s="80"/>
      <c r="AB340" s="80"/>
    </row>
    <row r="341" spans="4:28" ht="14.25" customHeight="1"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16"/>
      <c r="U341" s="80"/>
      <c r="V341" s="80"/>
      <c r="W341" s="80"/>
      <c r="X341" s="80"/>
      <c r="Y341" s="80"/>
      <c r="Z341" s="80"/>
      <c r="AA341" s="80"/>
      <c r="AB341" s="80"/>
    </row>
    <row r="342" spans="4:28" ht="14.25" customHeight="1"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16"/>
      <c r="U342" s="80"/>
      <c r="V342" s="80"/>
      <c r="W342" s="80"/>
      <c r="X342" s="80"/>
      <c r="Y342" s="80"/>
      <c r="Z342" s="80"/>
      <c r="AA342" s="80"/>
      <c r="AB342" s="80"/>
    </row>
    <row r="343" spans="4:28" ht="14.25" customHeight="1"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16"/>
      <c r="U343" s="80"/>
      <c r="V343" s="80"/>
      <c r="W343" s="80"/>
      <c r="X343" s="80"/>
      <c r="Y343" s="80"/>
      <c r="Z343" s="80"/>
      <c r="AA343" s="80"/>
      <c r="AB343" s="80"/>
    </row>
    <row r="344" spans="4:28" ht="14.25" customHeight="1"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16"/>
      <c r="U344" s="80"/>
      <c r="V344" s="80"/>
      <c r="W344" s="80"/>
      <c r="X344" s="80"/>
      <c r="Y344" s="80"/>
      <c r="Z344" s="80"/>
      <c r="AA344" s="80"/>
      <c r="AB344" s="80"/>
    </row>
    <row r="345" spans="4:28" ht="14.25" customHeight="1"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16"/>
      <c r="U345" s="80"/>
      <c r="V345" s="80"/>
      <c r="W345" s="80"/>
      <c r="X345" s="80"/>
      <c r="Y345" s="80"/>
      <c r="Z345" s="80"/>
      <c r="AA345" s="80"/>
      <c r="AB345" s="80"/>
    </row>
    <row r="346" spans="4:28" ht="14.25" customHeight="1"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16"/>
      <c r="U346" s="80"/>
      <c r="V346" s="80"/>
      <c r="W346" s="80"/>
      <c r="X346" s="80"/>
      <c r="Y346" s="80"/>
      <c r="Z346" s="80"/>
      <c r="AA346" s="80"/>
      <c r="AB346" s="80"/>
    </row>
    <row r="347" spans="4:28" ht="14.25" customHeight="1"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16"/>
      <c r="U347" s="80"/>
      <c r="V347" s="80"/>
      <c r="W347" s="80"/>
      <c r="X347" s="80"/>
      <c r="Y347" s="80"/>
      <c r="Z347" s="80"/>
      <c r="AA347" s="80"/>
      <c r="AB347" s="80"/>
    </row>
    <row r="348" spans="4:28" ht="14.25" customHeight="1"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16"/>
      <c r="U348" s="80"/>
      <c r="V348" s="80"/>
      <c r="W348" s="80"/>
      <c r="X348" s="80"/>
      <c r="Y348" s="80"/>
      <c r="Z348" s="80"/>
      <c r="AA348" s="80"/>
      <c r="AB348" s="80"/>
    </row>
    <row r="349" spans="4:28" ht="14.25" customHeight="1"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16"/>
      <c r="U349" s="80"/>
      <c r="V349" s="80"/>
      <c r="W349" s="80"/>
      <c r="X349" s="80"/>
      <c r="Y349" s="80"/>
      <c r="Z349" s="80"/>
      <c r="AA349" s="80"/>
      <c r="AB349" s="80"/>
    </row>
    <row r="350" spans="4:28" ht="14.25" customHeight="1"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16"/>
      <c r="U350" s="80"/>
      <c r="V350" s="80"/>
      <c r="W350" s="80"/>
      <c r="X350" s="80"/>
      <c r="Y350" s="80"/>
      <c r="Z350" s="80"/>
      <c r="AA350" s="80"/>
      <c r="AB350" s="80"/>
    </row>
    <row r="351" spans="4:28" ht="14.25" customHeight="1"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16"/>
      <c r="U351" s="80"/>
      <c r="V351" s="80"/>
      <c r="W351" s="80"/>
      <c r="X351" s="80"/>
      <c r="Y351" s="80"/>
      <c r="Z351" s="80"/>
      <c r="AA351" s="80"/>
      <c r="AB351" s="80"/>
    </row>
    <row r="352" spans="4:28" ht="14.25" customHeight="1"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16"/>
      <c r="U352" s="80"/>
      <c r="V352" s="80"/>
      <c r="W352" s="80"/>
      <c r="X352" s="80"/>
      <c r="Y352" s="80"/>
      <c r="Z352" s="80"/>
      <c r="AA352" s="80"/>
      <c r="AB352" s="80"/>
    </row>
    <row r="353" spans="4:28" ht="14.25" customHeight="1"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16"/>
      <c r="U353" s="80"/>
      <c r="V353" s="80"/>
      <c r="W353" s="80"/>
      <c r="X353" s="80"/>
      <c r="Y353" s="80"/>
      <c r="Z353" s="80"/>
      <c r="AA353" s="80"/>
      <c r="AB353" s="80"/>
    </row>
    <row r="354" spans="4:28" ht="14.25" customHeight="1"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16"/>
      <c r="U354" s="80"/>
      <c r="V354" s="80"/>
      <c r="W354" s="80"/>
      <c r="X354" s="80"/>
      <c r="Y354" s="80"/>
      <c r="Z354" s="80"/>
      <c r="AA354" s="80"/>
      <c r="AB354" s="80"/>
    </row>
    <row r="355" spans="4:28" ht="14.25" customHeight="1"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16"/>
      <c r="U355" s="80"/>
      <c r="V355" s="80"/>
      <c r="W355" s="80"/>
      <c r="X355" s="80"/>
      <c r="Y355" s="80"/>
      <c r="Z355" s="80"/>
      <c r="AA355" s="80"/>
      <c r="AB355" s="80"/>
    </row>
    <row r="356" spans="4:28" ht="14.25" customHeight="1"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16"/>
      <c r="U356" s="80"/>
      <c r="V356" s="80"/>
      <c r="W356" s="80"/>
      <c r="X356" s="80"/>
      <c r="Y356" s="80"/>
      <c r="Z356" s="80"/>
      <c r="AA356" s="80"/>
      <c r="AB356" s="80"/>
    </row>
    <row r="357" spans="4:28" ht="14.25" customHeight="1"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16"/>
      <c r="U357" s="80"/>
      <c r="V357" s="80"/>
      <c r="W357" s="80"/>
      <c r="X357" s="80"/>
      <c r="Y357" s="80"/>
      <c r="Z357" s="80"/>
      <c r="AA357" s="80"/>
      <c r="AB357" s="80"/>
    </row>
    <row r="358" spans="4:28" ht="14.25" customHeight="1"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16"/>
      <c r="U358" s="80"/>
      <c r="V358" s="80"/>
      <c r="W358" s="80"/>
      <c r="X358" s="80"/>
      <c r="Y358" s="80"/>
      <c r="Z358" s="80"/>
      <c r="AA358" s="80"/>
      <c r="AB358" s="80"/>
    </row>
    <row r="359" spans="4:28" ht="14.25" customHeight="1"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16"/>
      <c r="U359" s="80"/>
      <c r="V359" s="80"/>
      <c r="W359" s="80"/>
      <c r="X359" s="80"/>
      <c r="Y359" s="80"/>
      <c r="Z359" s="80"/>
      <c r="AA359" s="80"/>
      <c r="AB359" s="80"/>
    </row>
    <row r="360" spans="4:28" ht="14.25" customHeight="1"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16"/>
      <c r="U360" s="80"/>
      <c r="V360" s="80"/>
      <c r="W360" s="80"/>
      <c r="X360" s="80"/>
      <c r="Y360" s="80"/>
      <c r="Z360" s="80"/>
      <c r="AA360" s="80"/>
      <c r="AB360" s="80"/>
    </row>
    <row r="361" spans="4:28" ht="14.25" customHeight="1"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16"/>
      <c r="U361" s="80"/>
      <c r="V361" s="80"/>
      <c r="W361" s="80"/>
      <c r="X361" s="80"/>
      <c r="Y361" s="80"/>
      <c r="Z361" s="80"/>
      <c r="AA361" s="80"/>
      <c r="AB361" s="80"/>
    </row>
    <row r="362" spans="4:28" ht="14.25" customHeight="1"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16"/>
      <c r="U362" s="80"/>
      <c r="V362" s="80"/>
      <c r="W362" s="80"/>
      <c r="X362" s="80"/>
      <c r="Y362" s="80"/>
      <c r="Z362" s="80"/>
      <c r="AA362" s="80"/>
      <c r="AB362" s="80"/>
    </row>
    <row r="363" spans="4:28" ht="14.25" customHeight="1"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16"/>
      <c r="U363" s="80"/>
      <c r="V363" s="80"/>
      <c r="W363" s="80"/>
      <c r="X363" s="80"/>
      <c r="Y363" s="80"/>
      <c r="Z363" s="80"/>
      <c r="AA363" s="80"/>
      <c r="AB363" s="80"/>
    </row>
    <row r="364" spans="4:28" ht="14.25" customHeight="1"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16"/>
      <c r="U364" s="80"/>
      <c r="V364" s="80"/>
      <c r="W364" s="80"/>
      <c r="X364" s="80"/>
      <c r="Y364" s="80"/>
      <c r="Z364" s="80"/>
      <c r="AA364" s="80"/>
      <c r="AB364" s="80"/>
    </row>
    <row r="365" spans="4:28" ht="14.25" customHeight="1"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16"/>
      <c r="U365" s="80"/>
      <c r="V365" s="80"/>
      <c r="W365" s="80"/>
      <c r="X365" s="80"/>
      <c r="Y365" s="80"/>
      <c r="Z365" s="80"/>
      <c r="AA365" s="80"/>
      <c r="AB365" s="80"/>
    </row>
    <row r="366" spans="4:28" ht="14.25" customHeight="1"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16"/>
      <c r="U366" s="80"/>
      <c r="V366" s="80"/>
      <c r="W366" s="80"/>
      <c r="X366" s="80"/>
      <c r="Y366" s="80"/>
      <c r="Z366" s="80"/>
      <c r="AA366" s="80"/>
      <c r="AB366" s="80"/>
    </row>
    <row r="367" spans="4:28" ht="14.25" customHeight="1"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16"/>
      <c r="U367" s="80"/>
      <c r="V367" s="80"/>
      <c r="W367" s="80"/>
      <c r="X367" s="80"/>
      <c r="Y367" s="80"/>
      <c r="Z367" s="80"/>
      <c r="AA367" s="80"/>
      <c r="AB367" s="80"/>
    </row>
    <row r="368" spans="4:28" ht="14.25" customHeight="1"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16"/>
      <c r="U368" s="80"/>
      <c r="V368" s="80"/>
      <c r="W368" s="80"/>
      <c r="X368" s="80"/>
      <c r="Y368" s="80"/>
      <c r="Z368" s="80"/>
      <c r="AA368" s="80"/>
      <c r="AB368" s="80"/>
    </row>
    <row r="369" spans="4:28" ht="14.25" customHeight="1"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16"/>
      <c r="U369" s="80"/>
      <c r="V369" s="80"/>
      <c r="W369" s="80"/>
      <c r="X369" s="80"/>
      <c r="Y369" s="80"/>
      <c r="Z369" s="80"/>
      <c r="AA369" s="80"/>
      <c r="AB369" s="80"/>
    </row>
    <row r="370" spans="4:28" ht="14.25" customHeight="1"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16"/>
      <c r="U370" s="80"/>
      <c r="V370" s="80"/>
      <c r="W370" s="80"/>
      <c r="X370" s="80"/>
      <c r="Y370" s="80"/>
      <c r="Z370" s="80"/>
      <c r="AA370" s="80"/>
      <c r="AB370" s="80"/>
    </row>
    <row r="371" spans="4:28" ht="14.25" customHeight="1"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16"/>
      <c r="U371" s="80"/>
      <c r="V371" s="80"/>
      <c r="W371" s="80"/>
      <c r="X371" s="80"/>
      <c r="Y371" s="80"/>
      <c r="Z371" s="80"/>
      <c r="AA371" s="80"/>
      <c r="AB371" s="80"/>
    </row>
    <row r="372" spans="4:28" ht="14.25" customHeight="1"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16"/>
      <c r="U372" s="80"/>
      <c r="V372" s="80"/>
      <c r="W372" s="80"/>
      <c r="X372" s="80"/>
      <c r="Y372" s="80"/>
      <c r="Z372" s="80"/>
      <c r="AA372" s="80"/>
      <c r="AB372" s="80"/>
    </row>
    <row r="373" spans="4:28" ht="14.25" customHeight="1"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16"/>
      <c r="U373" s="80"/>
      <c r="V373" s="80"/>
      <c r="W373" s="80"/>
      <c r="X373" s="80"/>
      <c r="Y373" s="80"/>
      <c r="Z373" s="80"/>
      <c r="AA373" s="80"/>
      <c r="AB373" s="80"/>
    </row>
    <row r="374" spans="4:28" ht="14.25" customHeight="1"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16"/>
      <c r="U374" s="80"/>
      <c r="V374" s="80"/>
      <c r="W374" s="80"/>
      <c r="X374" s="80"/>
      <c r="Y374" s="80"/>
      <c r="Z374" s="80"/>
      <c r="AA374" s="80"/>
      <c r="AB374" s="80"/>
    </row>
    <row r="375" spans="4:28" ht="14.25" customHeight="1"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16"/>
      <c r="U375" s="80"/>
      <c r="V375" s="80"/>
      <c r="W375" s="80"/>
      <c r="X375" s="80"/>
      <c r="Y375" s="80"/>
      <c r="Z375" s="80"/>
      <c r="AA375" s="80"/>
      <c r="AB375" s="80"/>
    </row>
    <row r="376" spans="4:28" ht="14.25" customHeight="1"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16"/>
      <c r="U376" s="80"/>
      <c r="V376" s="80"/>
      <c r="W376" s="80"/>
      <c r="X376" s="80"/>
      <c r="Y376" s="80"/>
      <c r="Z376" s="80"/>
      <c r="AA376" s="80"/>
      <c r="AB376" s="80"/>
    </row>
    <row r="377" spans="4:28" ht="14.25" customHeight="1"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16"/>
      <c r="U377" s="80"/>
      <c r="V377" s="80"/>
      <c r="W377" s="80"/>
      <c r="X377" s="80"/>
      <c r="Y377" s="80"/>
      <c r="Z377" s="80"/>
      <c r="AA377" s="80"/>
      <c r="AB377" s="80"/>
    </row>
    <row r="378" spans="4:28" ht="14.25" customHeight="1"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16"/>
      <c r="U378" s="80"/>
      <c r="V378" s="80"/>
      <c r="W378" s="80"/>
      <c r="X378" s="80"/>
      <c r="Y378" s="80"/>
      <c r="Z378" s="80"/>
      <c r="AA378" s="80"/>
      <c r="AB378" s="80"/>
    </row>
    <row r="379" spans="4:28" ht="14.25" customHeight="1"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16"/>
      <c r="U379" s="80"/>
      <c r="V379" s="80"/>
      <c r="W379" s="80"/>
      <c r="X379" s="80"/>
      <c r="Y379" s="80"/>
      <c r="Z379" s="80"/>
      <c r="AA379" s="80"/>
      <c r="AB379" s="80"/>
    </row>
    <row r="380" spans="4:28" ht="14.25" customHeight="1"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16"/>
      <c r="U380" s="80"/>
      <c r="V380" s="80"/>
      <c r="W380" s="80"/>
      <c r="X380" s="80"/>
      <c r="Y380" s="80"/>
      <c r="Z380" s="80"/>
      <c r="AA380" s="80"/>
      <c r="AB380" s="80"/>
    </row>
    <row r="381" spans="4:28" ht="14.25" customHeight="1"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16"/>
      <c r="U381" s="80"/>
      <c r="V381" s="80"/>
      <c r="W381" s="80"/>
      <c r="X381" s="80"/>
      <c r="Y381" s="80"/>
      <c r="Z381" s="80"/>
      <c r="AA381" s="80"/>
      <c r="AB381" s="80"/>
    </row>
    <row r="382" spans="4:28" ht="14.25" customHeight="1"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16"/>
      <c r="U382" s="80"/>
      <c r="V382" s="80"/>
      <c r="W382" s="80"/>
      <c r="X382" s="80"/>
      <c r="Y382" s="80"/>
      <c r="Z382" s="80"/>
      <c r="AA382" s="80"/>
      <c r="AB382" s="80"/>
    </row>
    <row r="383" spans="4:28" ht="14.25" customHeight="1"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16"/>
      <c r="U383" s="80"/>
      <c r="V383" s="80"/>
      <c r="W383" s="80"/>
      <c r="X383" s="80"/>
      <c r="Y383" s="80"/>
      <c r="Z383" s="80"/>
      <c r="AA383" s="80"/>
      <c r="AB383" s="80"/>
    </row>
    <row r="384" spans="4:28" ht="14.25" customHeight="1"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16"/>
      <c r="U384" s="80"/>
      <c r="V384" s="80"/>
      <c r="W384" s="80"/>
      <c r="X384" s="80"/>
      <c r="Y384" s="80"/>
      <c r="Z384" s="80"/>
      <c r="AA384" s="80"/>
      <c r="AB384" s="80"/>
    </row>
    <row r="385" spans="4:28" ht="14.25" customHeight="1"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16"/>
      <c r="U385" s="80"/>
      <c r="V385" s="80"/>
      <c r="W385" s="80"/>
      <c r="X385" s="80"/>
      <c r="Y385" s="80"/>
      <c r="Z385" s="80"/>
      <c r="AA385" s="80"/>
      <c r="AB385" s="80"/>
    </row>
    <row r="386" spans="4:28" ht="14.25" customHeight="1"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16"/>
      <c r="U386" s="80"/>
      <c r="V386" s="80"/>
      <c r="W386" s="80"/>
      <c r="X386" s="80"/>
      <c r="Y386" s="80"/>
      <c r="Z386" s="80"/>
      <c r="AA386" s="80"/>
      <c r="AB386" s="80"/>
    </row>
    <row r="387" spans="4:28" ht="14.25" customHeight="1"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16"/>
      <c r="U387" s="80"/>
      <c r="V387" s="80"/>
      <c r="W387" s="80"/>
      <c r="X387" s="80"/>
      <c r="Y387" s="80"/>
      <c r="Z387" s="80"/>
      <c r="AA387" s="80"/>
      <c r="AB387" s="80"/>
    </row>
    <row r="388" spans="4:28" ht="14.25" customHeight="1"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16"/>
      <c r="U388" s="80"/>
      <c r="V388" s="80"/>
      <c r="W388" s="80"/>
      <c r="X388" s="80"/>
      <c r="Y388" s="80"/>
      <c r="Z388" s="80"/>
      <c r="AA388" s="80"/>
      <c r="AB388" s="80"/>
    </row>
    <row r="389" spans="4:28" ht="14.25" customHeight="1"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16"/>
      <c r="U389" s="80"/>
      <c r="V389" s="80"/>
      <c r="W389" s="80"/>
      <c r="X389" s="80"/>
      <c r="Y389" s="80"/>
      <c r="Z389" s="80"/>
      <c r="AA389" s="80"/>
      <c r="AB389" s="80"/>
    </row>
    <row r="390" spans="4:28" ht="14.25" customHeight="1"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16"/>
      <c r="U390" s="80"/>
      <c r="V390" s="80"/>
      <c r="W390" s="80"/>
      <c r="X390" s="80"/>
      <c r="Y390" s="80"/>
      <c r="Z390" s="80"/>
      <c r="AA390" s="80"/>
      <c r="AB390" s="80"/>
    </row>
    <row r="391" spans="4:28" ht="14.25" customHeight="1"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16"/>
      <c r="U391" s="80"/>
      <c r="V391" s="80"/>
      <c r="W391" s="80"/>
      <c r="X391" s="80"/>
      <c r="Y391" s="80"/>
      <c r="Z391" s="80"/>
      <c r="AA391" s="80"/>
      <c r="AB391" s="80"/>
    </row>
    <row r="392" spans="4:28" ht="14.25" customHeight="1"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16"/>
      <c r="U392" s="80"/>
      <c r="V392" s="80"/>
      <c r="W392" s="80"/>
      <c r="X392" s="80"/>
      <c r="Y392" s="80"/>
      <c r="Z392" s="80"/>
      <c r="AA392" s="80"/>
      <c r="AB392" s="80"/>
    </row>
    <row r="393" spans="4:28" ht="14.25" customHeight="1"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16"/>
      <c r="U393" s="80"/>
      <c r="V393" s="80"/>
      <c r="W393" s="80"/>
      <c r="X393" s="80"/>
      <c r="Y393" s="80"/>
      <c r="Z393" s="80"/>
      <c r="AA393" s="80"/>
      <c r="AB393" s="80"/>
    </row>
    <row r="394" spans="4:28" ht="14.25" customHeight="1"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16"/>
      <c r="U394" s="80"/>
      <c r="V394" s="80"/>
      <c r="W394" s="80"/>
      <c r="X394" s="80"/>
      <c r="Y394" s="80"/>
      <c r="Z394" s="80"/>
      <c r="AA394" s="80"/>
      <c r="AB394" s="80"/>
    </row>
    <row r="395" spans="4:28" ht="14.25" customHeight="1"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16"/>
      <c r="U395" s="80"/>
      <c r="V395" s="80"/>
      <c r="W395" s="80"/>
      <c r="X395" s="80"/>
      <c r="Y395" s="80"/>
      <c r="Z395" s="80"/>
      <c r="AA395" s="80"/>
      <c r="AB395" s="80"/>
    </row>
    <row r="396" spans="4:28" ht="14.25" customHeight="1"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16"/>
      <c r="U396" s="80"/>
      <c r="V396" s="80"/>
      <c r="W396" s="80"/>
      <c r="X396" s="80"/>
      <c r="Y396" s="80"/>
      <c r="Z396" s="80"/>
      <c r="AA396" s="80"/>
      <c r="AB396" s="80"/>
    </row>
    <row r="397" spans="4:28" ht="14.25" customHeight="1"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16"/>
      <c r="U397" s="80"/>
      <c r="V397" s="80"/>
      <c r="W397" s="80"/>
      <c r="X397" s="80"/>
      <c r="Y397" s="80"/>
      <c r="Z397" s="80"/>
      <c r="AA397" s="80"/>
      <c r="AB397" s="80"/>
    </row>
    <row r="398" spans="4:28" ht="14.25" customHeight="1"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16"/>
      <c r="U398" s="80"/>
      <c r="V398" s="80"/>
      <c r="W398" s="80"/>
      <c r="X398" s="80"/>
      <c r="Y398" s="80"/>
      <c r="Z398" s="80"/>
      <c r="AA398" s="80"/>
      <c r="AB398" s="80"/>
    </row>
    <row r="399" spans="4:28" ht="14.25" customHeight="1"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16"/>
      <c r="U399" s="80"/>
      <c r="V399" s="80"/>
      <c r="W399" s="80"/>
      <c r="X399" s="80"/>
      <c r="Y399" s="80"/>
      <c r="Z399" s="80"/>
      <c r="AA399" s="80"/>
      <c r="AB399" s="80"/>
    </row>
    <row r="400" spans="4:28" ht="14.25" customHeight="1"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16"/>
      <c r="U400" s="80"/>
      <c r="V400" s="80"/>
      <c r="W400" s="80"/>
      <c r="X400" s="80"/>
      <c r="Y400" s="80"/>
      <c r="Z400" s="80"/>
      <c r="AA400" s="80"/>
      <c r="AB400" s="80"/>
    </row>
    <row r="401" spans="4:28" ht="14.25" customHeight="1"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16"/>
      <c r="U401" s="80"/>
      <c r="V401" s="80"/>
      <c r="W401" s="80"/>
      <c r="X401" s="80"/>
      <c r="Y401" s="80"/>
      <c r="Z401" s="80"/>
      <c r="AA401" s="80"/>
      <c r="AB401" s="80"/>
    </row>
    <row r="402" spans="4:28" ht="14.25" customHeight="1"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16"/>
      <c r="U402" s="80"/>
      <c r="V402" s="80"/>
      <c r="W402" s="80"/>
      <c r="X402" s="80"/>
      <c r="Y402" s="80"/>
      <c r="Z402" s="80"/>
      <c r="AA402" s="80"/>
      <c r="AB402" s="80"/>
    </row>
    <row r="403" spans="4:28" ht="14.25" customHeight="1"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16"/>
      <c r="U403" s="80"/>
      <c r="V403" s="80"/>
      <c r="W403" s="80"/>
      <c r="X403" s="80"/>
      <c r="Y403" s="80"/>
      <c r="Z403" s="80"/>
      <c r="AA403" s="80"/>
      <c r="AB403" s="80"/>
    </row>
    <row r="404" spans="4:28" ht="14.25" customHeight="1"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16"/>
      <c r="U404" s="80"/>
      <c r="V404" s="80"/>
      <c r="W404" s="80"/>
      <c r="X404" s="80"/>
      <c r="Y404" s="80"/>
      <c r="Z404" s="80"/>
      <c r="AA404" s="80"/>
      <c r="AB404" s="80"/>
    </row>
    <row r="405" spans="4:28" ht="14.25" customHeight="1"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16"/>
      <c r="U405" s="80"/>
      <c r="V405" s="80"/>
      <c r="W405" s="80"/>
      <c r="X405" s="80"/>
      <c r="Y405" s="80"/>
      <c r="Z405" s="80"/>
      <c r="AA405" s="80"/>
      <c r="AB405" s="80"/>
    </row>
    <row r="406" spans="4:28" ht="14.25" customHeight="1"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16"/>
      <c r="U406" s="80"/>
      <c r="V406" s="80"/>
      <c r="W406" s="80"/>
      <c r="X406" s="80"/>
      <c r="Y406" s="80"/>
      <c r="Z406" s="80"/>
      <c r="AA406" s="80"/>
      <c r="AB406" s="80"/>
    </row>
    <row r="407" spans="4:28" ht="14.25" customHeight="1"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16"/>
      <c r="U407" s="80"/>
      <c r="V407" s="80"/>
      <c r="W407" s="80"/>
      <c r="X407" s="80"/>
      <c r="Y407" s="80"/>
      <c r="Z407" s="80"/>
      <c r="AA407" s="80"/>
      <c r="AB407" s="80"/>
    </row>
    <row r="408" spans="4:28" ht="14.25" customHeight="1"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16"/>
      <c r="U408" s="80"/>
      <c r="V408" s="80"/>
      <c r="W408" s="80"/>
      <c r="X408" s="80"/>
      <c r="Y408" s="80"/>
      <c r="Z408" s="80"/>
      <c r="AA408" s="80"/>
      <c r="AB408" s="80"/>
    </row>
    <row r="409" spans="4:28" ht="14.25" customHeight="1"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16"/>
      <c r="U409" s="80"/>
      <c r="V409" s="80"/>
      <c r="W409" s="80"/>
      <c r="X409" s="80"/>
      <c r="Y409" s="80"/>
      <c r="Z409" s="80"/>
      <c r="AA409" s="80"/>
      <c r="AB409" s="80"/>
    </row>
    <row r="410" spans="4:28" ht="14.25" customHeight="1"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16"/>
      <c r="U410" s="80"/>
      <c r="V410" s="80"/>
      <c r="W410" s="80"/>
      <c r="X410" s="80"/>
      <c r="Y410" s="80"/>
      <c r="Z410" s="80"/>
      <c r="AA410" s="80"/>
      <c r="AB410" s="80"/>
    </row>
    <row r="411" spans="4:28" ht="14.25" customHeight="1"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16"/>
      <c r="U411" s="80"/>
      <c r="V411" s="80"/>
      <c r="W411" s="80"/>
      <c r="X411" s="80"/>
      <c r="Y411" s="80"/>
      <c r="Z411" s="80"/>
      <c r="AA411" s="80"/>
      <c r="AB411" s="80"/>
    </row>
    <row r="412" spans="4:28" ht="14.25" customHeight="1"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16"/>
      <c r="U412" s="80"/>
      <c r="V412" s="80"/>
      <c r="W412" s="80"/>
      <c r="X412" s="80"/>
      <c r="Y412" s="80"/>
      <c r="Z412" s="80"/>
      <c r="AA412" s="80"/>
      <c r="AB412" s="80"/>
    </row>
    <row r="413" spans="4:28" ht="14.25" customHeight="1"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16"/>
      <c r="U413" s="80"/>
      <c r="V413" s="80"/>
      <c r="W413" s="80"/>
      <c r="X413" s="80"/>
      <c r="Y413" s="80"/>
      <c r="Z413" s="80"/>
      <c r="AA413" s="80"/>
      <c r="AB413" s="80"/>
    </row>
    <row r="414" spans="4:28" ht="14.25" customHeight="1"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16"/>
      <c r="U414" s="80"/>
      <c r="V414" s="80"/>
      <c r="W414" s="80"/>
      <c r="X414" s="80"/>
      <c r="Y414" s="80"/>
      <c r="Z414" s="80"/>
      <c r="AA414" s="80"/>
      <c r="AB414" s="80"/>
    </row>
    <row r="415" spans="4:28" ht="14.25" customHeight="1"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16"/>
      <c r="U415" s="80"/>
      <c r="V415" s="80"/>
      <c r="W415" s="80"/>
      <c r="X415" s="80"/>
      <c r="Y415" s="80"/>
      <c r="Z415" s="80"/>
      <c r="AA415" s="80"/>
      <c r="AB415" s="80"/>
    </row>
    <row r="416" spans="4:28" ht="14.25" customHeight="1"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16"/>
      <c r="U416" s="80"/>
      <c r="V416" s="80"/>
      <c r="W416" s="80"/>
      <c r="X416" s="80"/>
      <c r="Y416" s="80"/>
      <c r="Z416" s="80"/>
      <c r="AA416" s="80"/>
      <c r="AB416" s="80"/>
    </row>
    <row r="417" spans="4:28" ht="14.25" customHeight="1"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16"/>
      <c r="U417" s="80"/>
      <c r="V417" s="80"/>
      <c r="W417" s="80"/>
      <c r="X417" s="80"/>
      <c r="Y417" s="80"/>
      <c r="Z417" s="80"/>
      <c r="AA417" s="80"/>
      <c r="AB417" s="80"/>
    </row>
    <row r="418" spans="4:28" ht="14.25" customHeight="1"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16"/>
      <c r="U418" s="80"/>
      <c r="V418" s="80"/>
      <c r="W418" s="80"/>
      <c r="X418" s="80"/>
      <c r="Y418" s="80"/>
      <c r="Z418" s="80"/>
      <c r="AA418" s="80"/>
      <c r="AB418" s="80"/>
    </row>
    <row r="419" spans="4:28" ht="14.25" customHeight="1"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16"/>
      <c r="U419" s="80"/>
      <c r="V419" s="80"/>
      <c r="W419" s="80"/>
      <c r="X419" s="80"/>
      <c r="Y419" s="80"/>
      <c r="Z419" s="80"/>
      <c r="AA419" s="80"/>
      <c r="AB419" s="80"/>
    </row>
    <row r="420" spans="4:28" ht="14.25" customHeight="1"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16"/>
      <c r="U420" s="80"/>
      <c r="V420" s="80"/>
      <c r="W420" s="80"/>
      <c r="X420" s="80"/>
      <c r="Y420" s="80"/>
      <c r="Z420" s="80"/>
      <c r="AA420" s="80"/>
      <c r="AB420" s="80"/>
    </row>
    <row r="421" spans="4:28" ht="14.25" customHeight="1"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16"/>
      <c r="U421" s="80"/>
      <c r="V421" s="80"/>
      <c r="W421" s="80"/>
      <c r="X421" s="80"/>
      <c r="Y421" s="80"/>
      <c r="Z421" s="80"/>
      <c r="AA421" s="80"/>
      <c r="AB421" s="80"/>
    </row>
    <row r="422" spans="4:28" ht="14.25" customHeight="1"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16"/>
      <c r="U422" s="80"/>
      <c r="V422" s="80"/>
      <c r="W422" s="80"/>
      <c r="X422" s="80"/>
      <c r="Y422" s="80"/>
      <c r="Z422" s="80"/>
      <c r="AA422" s="80"/>
      <c r="AB422" s="80"/>
    </row>
    <row r="423" spans="4:28" ht="14.25" customHeight="1"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16"/>
      <c r="U423" s="80"/>
      <c r="V423" s="80"/>
      <c r="W423" s="80"/>
      <c r="X423" s="80"/>
      <c r="Y423" s="80"/>
      <c r="Z423" s="80"/>
      <c r="AA423" s="80"/>
      <c r="AB423" s="80"/>
    </row>
    <row r="424" spans="4:28" ht="14.25" customHeight="1"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16"/>
      <c r="U424" s="80"/>
      <c r="V424" s="80"/>
      <c r="W424" s="80"/>
      <c r="X424" s="80"/>
      <c r="Y424" s="80"/>
      <c r="Z424" s="80"/>
      <c r="AA424" s="80"/>
      <c r="AB424" s="80"/>
    </row>
    <row r="425" spans="4:28" ht="14.25" customHeight="1"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16"/>
      <c r="U425" s="80"/>
      <c r="V425" s="80"/>
      <c r="W425" s="80"/>
      <c r="X425" s="80"/>
      <c r="Y425" s="80"/>
      <c r="Z425" s="80"/>
      <c r="AA425" s="80"/>
      <c r="AB425" s="80"/>
    </row>
    <row r="426" spans="4:28" ht="14.25" customHeight="1"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16"/>
      <c r="U426" s="80"/>
      <c r="V426" s="80"/>
      <c r="W426" s="80"/>
      <c r="X426" s="80"/>
      <c r="Y426" s="80"/>
      <c r="Z426" s="80"/>
      <c r="AA426" s="80"/>
      <c r="AB426" s="80"/>
    </row>
    <row r="427" spans="4:28" ht="14.25" customHeight="1"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16"/>
      <c r="U427" s="80"/>
      <c r="V427" s="80"/>
      <c r="W427" s="80"/>
      <c r="X427" s="80"/>
      <c r="Y427" s="80"/>
      <c r="Z427" s="80"/>
      <c r="AA427" s="80"/>
      <c r="AB427" s="80"/>
    </row>
    <row r="428" spans="4:28" ht="14.25" customHeight="1"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16"/>
      <c r="U428" s="80"/>
      <c r="V428" s="80"/>
      <c r="W428" s="80"/>
      <c r="X428" s="80"/>
      <c r="Y428" s="80"/>
      <c r="Z428" s="80"/>
      <c r="AA428" s="80"/>
      <c r="AB428" s="80"/>
    </row>
    <row r="429" spans="4:28" ht="14.25" customHeight="1"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16"/>
      <c r="U429" s="80"/>
      <c r="V429" s="80"/>
      <c r="W429" s="80"/>
      <c r="X429" s="80"/>
      <c r="Y429" s="80"/>
      <c r="Z429" s="80"/>
      <c r="AA429" s="80"/>
      <c r="AB429" s="80"/>
    </row>
    <row r="430" spans="4:28" ht="14.25" customHeight="1"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16"/>
      <c r="U430" s="80"/>
      <c r="V430" s="80"/>
      <c r="W430" s="80"/>
      <c r="X430" s="80"/>
      <c r="Y430" s="80"/>
      <c r="Z430" s="80"/>
      <c r="AA430" s="80"/>
      <c r="AB430" s="80"/>
    </row>
    <row r="431" spans="4:28" ht="14.25" customHeight="1"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16"/>
      <c r="U431" s="80"/>
      <c r="V431" s="80"/>
      <c r="W431" s="80"/>
      <c r="X431" s="80"/>
      <c r="Y431" s="80"/>
      <c r="Z431" s="80"/>
      <c r="AA431" s="80"/>
      <c r="AB431" s="80"/>
    </row>
    <row r="432" spans="4:28" ht="14.25" customHeight="1"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16"/>
      <c r="U432" s="80"/>
      <c r="V432" s="80"/>
      <c r="W432" s="80"/>
      <c r="X432" s="80"/>
      <c r="Y432" s="80"/>
      <c r="Z432" s="80"/>
      <c r="AA432" s="80"/>
      <c r="AB432" s="80"/>
    </row>
    <row r="433" spans="4:28" ht="14.25" customHeight="1"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16"/>
      <c r="U433" s="80"/>
      <c r="V433" s="80"/>
      <c r="W433" s="80"/>
      <c r="X433" s="80"/>
      <c r="Y433" s="80"/>
      <c r="Z433" s="80"/>
      <c r="AA433" s="80"/>
      <c r="AB433" s="80"/>
    </row>
    <row r="434" spans="4:28" ht="14.25" customHeight="1"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16"/>
      <c r="U434" s="80"/>
      <c r="V434" s="80"/>
      <c r="W434" s="80"/>
      <c r="X434" s="80"/>
      <c r="Y434" s="80"/>
      <c r="Z434" s="80"/>
      <c r="AA434" s="80"/>
      <c r="AB434" s="80"/>
    </row>
    <row r="435" spans="4:28" ht="14.25" customHeight="1"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16"/>
      <c r="U435" s="80"/>
      <c r="V435" s="80"/>
      <c r="W435" s="80"/>
      <c r="X435" s="80"/>
      <c r="Y435" s="80"/>
      <c r="Z435" s="80"/>
      <c r="AA435" s="80"/>
      <c r="AB435" s="80"/>
    </row>
    <row r="436" spans="4:28" ht="14.25" customHeight="1"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16"/>
      <c r="U436" s="80"/>
      <c r="V436" s="80"/>
      <c r="W436" s="80"/>
      <c r="X436" s="80"/>
      <c r="Y436" s="80"/>
      <c r="Z436" s="80"/>
      <c r="AA436" s="80"/>
      <c r="AB436" s="80"/>
    </row>
    <row r="437" spans="4:28" ht="14.25" customHeight="1"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16"/>
      <c r="U437" s="80"/>
      <c r="V437" s="80"/>
      <c r="W437" s="80"/>
      <c r="X437" s="80"/>
      <c r="Y437" s="80"/>
      <c r="Z437" s="80"/>
      <c r="AA437" s="80"/>
      <c r="AB437" s="80"/>
    </row>
    <row r="438" spans="4:28" ht="14.25" customHeight="1"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16"/>
      <c r="U438" s="80"/>
      <c r="V438" s="80"/>
      <c r="W438" s="80"/>
      <c r="X438" s="80"/>
      <c r="Y438" s="80"/>
      <c r="Z438" s="80"/>
      <c r="AA438" s="80"/>
      <c r="AB438" s="80"/>
    </row>
    <row r="439" spans="4:28" ht="14.25" customHeight="1"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16"/>
      <c r="U439" s="80"/>
      <c r="V439" s="80"/>
      <c r="W439" s="80"/>
      <c r="X439" s="80"/>
      <c r="Y439" s="80"/>
      <c r="Z439" s="80"/>
      <c r="AA439" s="80"/>
      <c r="AB439" s="80"/>
    </row>
    <row r="440" spans="4:28" ht="14.25" customHeight="1"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16"/>
      <c r="U440" s="80"/>
      <c r="V440" s="80"/>
      <c r="W440" s="80"/>
      <c r="X440" s="80"/>
      <c r="Y440" s="80"/>
      <c r="Z440" s="80"/>
      <c r="AA440" s="80"/>
      <c r="AB440" s="80"/>
    </row>
    <row r="441" spans="4:28" ht="14.25" customHeight="1"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16"/>
      <c r="U441" s="80"/>
      <c r="V441" s="80"/>
      <c r="W441" s="80"/>
      <c r="X441" s="80"/>
      <c r="Y441" s="80"/>
      <c r="Z441" s="80"/>
      <c r="AA441" s="80"/>
      <c r="AB441" s="80"/>
    </row>
    <row r="442" spans="4:28" ht="14.25" customHeight="1"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16"/>
      <c r="U442" s="80"/>
      <c r="V442" s="80"/>
      <c r="W442" s="80"/>
      <c r="X442" s="80"/>
      <c r="Y442" s="80"/>
      <c r="Z442" s="80"/>
      <c r="AA442" s="80"/>
      <c r="AB442" s="80"/>
    </row>
    <row r="443" spans="4:28" ht="14.25" customHeight="1"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16"/>
      <c r="U443" s="80"/>
      <c r="V443" s="80"/>
      <c r="W443" s="80"/>
      <c r="X443" s="80"/>
      <c r="Y443" s="80"/>
      <c r="Z443" s="80"/>
      <c r="AA443" s="80"/>
      <c r="AB443" s="80"/>
    </row>
    <row r="444" spans="4:28" ht="14.25" customHeight="1"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16"/>
      <c r="U444" s="80"/>
      <c r="V444" s="80"/>
      <c r="W444" s="80"/>
      <c r="X444" s="80"/>
      <c r="Y444" s="80"/>
      <c r="Z444" s="80"/>
      <c r="AA444" s="80"/>
      <c r="AB444" s="80"/>
    </row>
    <row r="445" spans="4:28" ht="14.25" customHeight="1"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16"/>
      <c r="U445" s="80"/>
      <c r="V445" s="80"/>
      <c r="W445" s="80"/>
      <c r="X445" s="80"/>
      <c r="Y445" s="80"/>
      <c r="Z445" s="80"/>
      <c r="AA445" s="80"/>
      <c r="AB445" s="80"/>
    </row>
    <row r="446" spans="4:28" ht="14.25" customHeight="1"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16"/>
      <c r="U446" s="80"/>
      <c r="V446" s="80"/>
      <c r="W446" s="80"/>
      <c r="X446" s="80"/>
      <c r="Y446" s="80"/>
      <c r="Z446" s="80"/>
      <c r="AA446" s="80"/>
      <c r="AB446" s="80"/>
    </row>
    <row r="447" spans="4:28" ht="14.25" customHeight="1"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16"/>
      <c r="U447" s="80"/>
      <c r="V447" s="80"/>
      <c r="W447" s="80"/>
      <c r="X447" s="80"/>
      <c r="Y447" s="80"/>
      <c r="Z447" s="80"/>
      <c r="AA447" s="80"/>
      <c r="AB447" s="80"/>
    </row>
    <row r="448" spans="4:28" ht="14.25" customHeight="1"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16"/>
      <c r="U448" s="80"/>
      <c r="V448" s="80"/>
      <c r="W448" s="80"/>
      <c r="X448" s="80"/>
      <c r="Y448" s="80"/>
      <c r="Z448" s="80"/>
      <c r="AA448" s="80"/>
      <c r="AB448" s="80"/>
    </row>
    <row r="449" spans="4:28" ht="14.25" customHeight="1"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16"/>
      <c r="U449" s="80"/>
      <c r="V449" s="80"/>
      <c r="W449" s="80"/>
      <c r="X449" s="80"/>
      <c r="Y449" s="80"/>
      <c r="Z449" s="80"/>
      <c r="AA449" s="80"/>
      <c r="AB449" s="80"/>
    </row>
    <row r="450" spans="4:28" ht="14.25" customHeight="1"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16"/>
      <c r="U450" s="80"/>
      <c r="V450" s="80"/>
      <c r="W450" s="80"/>
      <c r="X450" s="80"/>
      <c r="Y450" s="80"/>
      <c r="Z450" s="80"/>
      <c r="AA450" s="80"/>
      <c r="AB450" s="80"/>
    </row>
    <row r="451" spans="4:28" ht="14.25" customHeight="1"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16"/>
      <c r="U451" s="80"/>
      <c r="V451" s="80"/>
      <c r="W451" s="80"/>
      <c r="X451" s="80"/>
      <c r="Y451" s="80"/>
      <c r="Z451" s="80"/>
      <c r="AA451" s="80"/>
      <c r="AB451" s="80"/>
    </row>
    <row r="452" spans="4:28" ht="14.25" customHeight="1"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16"/>
      <c r="U452" s="80"/>
      <c r="V452" s="80"/>
      <c r="W452" s="80"/>
      <c r="X452" s="80"/>
      <c r="Y452" s="80"/>
      <c r="Z452" s="80"/>
      <c r="AA452" s="80"/>
      <c r="AB452" s="80"/>
    </row>
    <row r="453" spans="4:28" ht="14.25" customHeight="1"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16"/>
      <c r="U453" s="80"/>
      <c r="V453" s="80"/>
      <c r="W453" s="80"/>
      <c r="X453" s="80"/>
      <c r="Y453" s="80"/>
      <c r="Z453" s="80"/>
      <c r="AA453" s="80"/>
      <c r="AB453" s="80"/>
    </row>
    <row r="454" spans="4:28" ht="14.25" customHeight="1"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16"/>
      <c r="U454" s="80"/>
      <c r="V454" s="80"/>
      <c r="W454" s="80"/>
      <c r="X454" s="80"/>
      <c r="Y454" s="80"/>
      <c r="Z454" s="80"/>
      <c r="AA454" s="80"/>
      <c r="AB454" s="80"/>
    </row>
    <row r="455" spans="4:28" ht="14.25" customHeight="1"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16"/>
      <c r="U455" s="80"/>
      <c r="V455" s="80"/>
      <c r="W455" s="80"/>
      <c r="X455" s="80"/>
      <c r="Y455" s="80"/>
      <c r="Z455" s="80"/>
      <c r="AA455" s="80"/>
      <c r="AB455" s="80"/>
    </row>
    <row r="456" spans="4:28" ht="14.25" customHeight="1"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16"/>
      <c r="U456" s="80"/>
      <c r="V456" s="80"/>
      <c r="W456" s="80"/>
      <c r="X456" s="80"/>
      <c r="Y456" s="80"/>
      <c r="Z456" s="80"/>
      <c r="AA456" s="80"/>
      <c r="AB456" s="80"/>
    </row>
    <row r="457" spans="4:28" ht="14.25" customHeight="1"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16"/>
      <c r="U457" s="80"/>
      <c r="V457" s="80"/>
      <c r="W457" s="80"/>
      <c r="X457" s="80"/>
      <c r="Y457" s="80"/>
      <c r="Z457" s="80"/>
      <c r="AA457" s="80"/>
      <c r="AB457" s="80"/>
    </row>
    <row r="458" spans="4:28" ht="14.25" customHeight="1"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16"/>
      <c r="U458" s="80"/>
      <c r="V458" s="80"/>
      <c r="W458" s="80"/>
      <c r="X458" s="80"/>
      <c r="Y458" s="80"/>
      <c r="Z458" s="80"/>
      <c r="AA458" s="80"/>
      <c r="AB458" s="80"/>
    </row>
    <row r="459" spans="4:28" ht="14.25" customHeight="1"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16"/>
      <c r="U459" s="80"/>
      <c r="V459" s="80"/>
      <c r="W459" s="80"/>
      <c r="X459" s="80"/>
      <c r="Y459" s="80"/>
      <c r="Z459" s="80"/>
      <c r="AA459" s="80"/>
      <c r="AB459" s="80"/>
    </row>
    <row r="460" spans="4:28" ht="14.25" customHeight="1"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16"/>
      <c r="U460" s="80"/>
      <c r="V460" s="80"/>
      <c r="W460" s="80"/>
      <c r="X460" s="80"/>
      <c r="Y460" s="80"/>
      <c r="Z460" s="80"/>
      <c r="AA460" s="80"/>
      <c r="AB460" s="80"/>
    </row>
    <row r="461" spans="4:28" ht="14.25" customHeight="1"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16"/>
      <c r="U461" s="80"/>
      <c r="V461" s="80"/>
      <c r="W461" s="80"/>
      <c r="X461" s="80"/>
      <c r="Y461" s="80"/>
      <c r="Z461" s="80"/>
      <c r="AA461" s="80"/>
      <c r="AB461" s="80"/>
    </row>
    <row r="462" spans="4:28" ht="14.25" customHeight="1"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16"/>
      <c r="U462" s="80"/>
      <c r="V462" s="80"/>
      <c r="W462" s="80"/>
      <c r="X462" s="80"/>
      <c r="Y462" s="80"/>
      <c r="Z462" s="80"/>
      <c r="AA462" s="80"/>
      <c r="AB462" s="80"/>
    </row>
    <row r="463" spans="4:28" ht="14.25" customHeight="1"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16"/>
      <c r="U463" s="80"/>
      <c r="V463" s="80"/>
      <c r="W463" s="80"/>
      <c r="X463" s="80"/>
      <c r="Y463" s="80"/>
      <c r="Z463" s="80"/>
      <c r="AA463" s="80"/>
      <c r="AB463" s="80"/>
    </row>
    <row r="464" spans="4:28" ht="14.25" customHeight="1"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16"/>
      <c r="U464" s="80"/>
      <c r="V464" s="80"/>
      <c r="W464" s="80"/>
      <c r="X464" s="80"/>
      <c r="Y464" s="80"/>
      <c r="Z464" s="80"/>
      <c r="AA464" s="80"/>
      <c r="AB464" s="80"/>
    </row>
    <row r="465" spans="4:28" ht="14.25" customHeight="1"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16"/>
      <c r="U465" s="80"/>
      <c r="V465" s="80"/>
      <c r="W465" s="80"/>
      <c r="X465" s="80"/>
      <c r="Y465" s="80"/>
      <c r="Z465" s="80"/>
      <c r="AA465" s="80"/>
      <c r="AB465" s="80"/>
    </row>
    <row r="466" spans="4:28" ht="14.25" customHeight="1"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16"/>
      <c r="U466" s="80"/>
      <c r="V466" s="80"/>
      <c r="W466" s="80"/>
      <c r="X466" s="80"/>
      <c r="Y466" s="80"/>
      <c r="Z466" s="80"/>
      <c r="AA466" s="80"/>
      <c r="AB466" s="80"/>
    </row>
    <row r="467" spans="4:28" ht="14.25" customHeight="1"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16"/>
      <c r="U467" s="80"/>
      <c r="V467" s="80"/>
      <c r="W467" s="80"/>
      <c r="X467" s="80"/>
      <c r="Y467" s="80"/>
      <c r="Z467" s="80"/>
      <c r="AA467" s="80"/>
      <c r="AB467" s="80"/>
    </row>
    <row r="468" spans="4:28" ht="14.25" customHeight="1"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16"/>
      <c r="U468" s="80"/>
      <c r="V468" s="80"/>
      <c r="W468" s="80"/>
      <c r="X468" s="80"/>
      <c r="Y468" s="80"/>
      <c r="Z468" s="80"/>
      <c r="AA468" s="80"/>
      <c r="AB468" s="80"/>
    </row>
    <row r="469" spans="4:28" ht="14.25" customHeight="1"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16"/>
      <c r="U469" s="80"/>
      <c r="V469" s="80"/>
      <c r="W469" s="80"/>
      <c r="X469" s="80"/>
      <c r="Y469" s="80"/>
      <c r="Z469" s="80"/>
      <c r="AA469" s="80"/>
      <c r="AB469" s="80"/>
    </row>
    <row r="470" spans="4:28" ht="14.25" customHeight="1"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16"/>
      <c r="U470" s="80"/>
      <c r="V470" s="80"/>
      <c r="W470" s="80"/>
      <c r="X470" s="80"/>
      <c r="Y470" s="80"/>
      <c r="Z470" s="80"/>
      <c r="AA470" s="80"/>
      <c r="AB470" s="80"/>
    </row>
    <row r="471" spans="4:28" ht="14.25" customHeight="1"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16"/>
      <c r="U471" s="80"/>
      <c r="V471" s="80"/>
      <c r="W471" s="80"/>
      <c r="X471" s="80"/>
      <c r="Y471" s="80"/>
      <c r="Z471" s="80"/>
      <c r="AA471" s="80"/>
      <c r="AB471" s="80"/>
    </row>
    <row r="472" spans="4:28" ht="14.25" customHeight="1"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16"/>
      <c r="U472" s="80"/>
      <c r="V472" s="80"/>
      <c r="W472" s="80"/>
      <c r="X472" s="80"/>
      <c r="Y472" s="80"/>
      <c r="Z472" s="80"/>
      <c r="AA472" s="80"/>
      <c r="AB472" s="80"/>
    </row>
    <row r="473" spans="4:28" ht="14.25" customHeight="1"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16"/>
      <c r="U473" s="80"/>
      <c r="V473" s="80"/>
      <c r="W473" s="80"/>
      <c r="X473" s="80"/>
      <c r="Y473" s="80"/>
      <c r="Z473" s="80"/>
      <c r="AA473" s="80"/>
      <c r="AB473" s="80"/>
    </row>
    <row r="474" spans="4:28" ht="14.25" customHeight="1"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16"/>
      <c r="U474" s="80"/>
      <c r="V474" s="80"/>
      <c r="W474" s="80"/>
      <c r="X474" s="80"/>
      <c r="Y474" s="80"/>
      <c r="Z474" s="80"/>
      <c r="AA474" s="80"/>
      <c r="AB474" s="80"/>
    </row>
    <row r="475" spans="4:28" ht="14.25" customHeight="1"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16"/>
      <c r="U475" s="80"/>
      <c r="V475" s="80"/>
      <c r="W475" s="80"/>
      <c r="X475" s="80"/>
      <c r="Y475" s="80"/>
      <c r="Z475" s="80"/>
      <c r="AA475" s="80"/>
      <c r="AB475" s="80"/>
    </row>
    <row r="476" spans="4:28" ht="14.25" customHeight="1"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16"/>
      <c r="U476" s="80"/>
      <c r="V476" s="80"/>
      <c r="W476" s="80"/>
      <c r="X476" s="80"/>
      <c r="Y476" s="80"/>
      <c r="Z476" s="80"/>
      <c r="AA476" s="80"/>
      <c r="AB476" s="80"/>
    </row>
    <row r="477" spans="4:28" ht="14.25" customHeight="1"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16"/>
      <c r="U477" s="80"/>
      <c r="V477" s="80"/>
      <c r="W477" s="80"/>
      <c r="X477" s="80"/>
      <c r="Y477" s="80"/>
      <c r="Z477" s="80"/>
      <c r="AA477" s="80"/>
      <c r="AB477" s="80"/>
    </row>
    <row r="478" spans="4:28" ht="14.25" customHeight="1"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16"/>
      <c r="U478" s="80"/>
      <c r="V478" s="80"/>
      <c r="W478" s="80"/>
      <c r="X478" s="80"/>
      <c r="Y478" s="80"/>
      <c r="Z478" s="80"/>
      <c r="AA478" s="80"/>
      <c r="AB478" s="80"/>
    </row>
    <row r="479" spans="4:28" ht="14.25" customHeight="1"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16"/>
      <c r="U479" s="80"/>
      <c r="V479" s="80"/>
      <c r="W479" s="80"/>
      <c r="X479" s="80"/>
      <c r="Y479" s="80"/>
      <c r="Z479" s="80"/>
      <c r="AA479" s="80"/>
      <c r="AB479" s="80"/>
    </row>
    <row r="480" spans="4:28" ht="14.25" customHeight="1"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16"/>
      <c r="U480" s="80"/>
      <c r="V480" s="80"/>
      <c r="W480" s="80"/>
      <c r="X480" s="80"/>
      <c r="Y480" s="80"/>
      <c r="Z480" s="80"/>
      <c r="AA480" s="80"/>
      <c r="AB480" s="80"/>
    </row>
    <row r="481" spans="4:28" ht="14.25" customHeight="1"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16"/>
      <c r="U481" s="80"/>
      <c r="V481" s="80"/>
      <c r="W481" s="80"/>
      <c r="X481" s="80"/>
      <c r="Y481" s="80"/>
      <c r="Z481" s="80"/>
      <c r="AA481" s="80"/>
      <c r="AB481" s="80"/>
    </row>
    <row r="482" spans="4:28" ht="14.25" customHeight="1"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16"/>
      <c r="U482" s="80"/>
      <c r="V482" s="80"/>
      <c r="W482" s="80"/>
      <c r="X482" s="80"/>
      <c r="Y482" s="80"/>
      <c r="Z482" s="80"/>
      <c r="AA482" s="80"/>
      <c r="AB482" s="80"/>
    </row>
    <row r="483" spans="4:28" ht="14.25" customHeight="1"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16"/>
      <c r="U483" s="80"/>
      <c r="V483" s="80"/>
      <c r="W483" s="80"/>
      <c r="X483" s="80"/>
      <c r="Y483" s="80"/>
      <c r="Z483" s="80"/>
      <c r="AA483" s="80"/>
      <c r="AB483" s="80"/>
    </row>
    <row r="484" spans="4:28" ht="14.25" customHeight="1"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16"/>
      <c r="U484" s="80"/>
      <c r="V484" s="80"/>
      <c r="W484" s="80"/>
      <c r="X484" s="80"/>
      <c r="Y484" s="80"/>
      <c r="Z484" s="80"/>
      <c r="AA484" s="80"/>
      <c r="AB484" s="80"/>
    </row>
    <row r="485" spans="4:28" ht="14.25" customHeight="1"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16"/>
      <c r="U485" s="80"/>
      <c r="V485" s="80"/>
      <c r="W485" s="80"/>
      <c r="X485" s="80"/>
      <c r="Y485" s="80"/>
      <c r="Z485" s="80"/>
      <c r="AA485" s="80"/>
      <c r="AB485" s="80"/>
    </row>
    <row r="486" spans="4:28" ht="14.25" customHeight="1"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16"/>
      <c r="U486" s="80"/>
      <c r="V486" s="80"/>
      <c r="W486" s="80"/>
      <c r="X486" s="80"/>
      <c r="Y486" s="80"/>
      <c r="Z486" s="80"/>
      <c r="AA486" s="80"/>
      <c r="AB486" s="80"/>
    </row>
    <row r="487" spans="4:28" ht="14.25" customHeight="1"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16"/>
      <c r="U487" s="80"/>
      <c r="V487" s="80"/>
      <c r="W487" s="80"/>
      <c r="X487" s="80"/>
      <c r="Y487" s="80"/>
      <c r="Z487" s="80"/>
      <c r="AA487" s="80"/>
      <c r="AB487" s="80"/>
    </row>
    <row r="488" spans="4:28" ht="14.25" customHeight="1"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16"/>
      <c r="U488" s="80"/>
      <c r="V488" s="80"/>
      <c r="W488" s="80"/>
      <c r="X488" s="80"/>
      <c r="Y488" s="80"/>
      <c r="Z488" s="80"/>
      <c r="AA488" s="80"/>
      <c r="AB488" s="80"/>
    </row>
    <row r="489" spans="4:28" ht="14.25" customHeight="1"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16"/>
      <c r="U489" s="80"/>
      <c r="V489" s="80"/>
      <c r="W489" s="80"/>
      <c r="X489" s="80"/>
      <c r="Y489" s="80"/>
      <c r="Z489" s="80"/>
      <c r="AA489" s="80"/>
      <c r="AB489" s="80"/>
    </row>
    <row r="490" spans="4:28" ht="14.25" customHeight="1"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16"/>
      <c r="U490" s="80"/>
      <c r="V490" s="80"/>
      <c r="W490" s="80"/>
      <c r="X490" s="80"/>
      <c r="Y490" s="80"/>
      <c r="Z490" s="80"/>
      <c r="AA490" s="80"/>
      <c r="AB490" s="80"/>
    </row>
    <row r="491" spans="4:28" ht="14.25" customHeight="1"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16"/>
      <c r="U491" s="80"/>
      <c r="V491" s="80"/>
      <c r="W491" s="80"/>
      <c r="X491" s="80"/>
      <c r="Y491" s="80"/>
      <c r="Z491" s="80"/>
      <c r="AA491" s="80"/>
      <c r="AB491" s="80"/>
    </row>
    <row r="492" spans="4:28" ht="14.25" customHeight="1"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16"/>
      <c r="U492" s="80"/>
      <c r="V492" s="80"/>
      <c r="W492" s="80"/>
      <c r="X492" s="80"/>
      <c r="Y492" s="80"/>
      <c r="Z492" s="80"/>
      <c r="AA492" s="80"/>
      <c r="AB492" s="80"/>
    </row>
    <row r="493" spans="4:28" ht="14.25" customHeight="1"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16"/>
      <c r="U493" s="80"/>
      <c r="V493" s="80"/>
      <c r="W493" s="80"/>
      <c r="X493" s="80"/>
      <c r="Y493" s="80"/>
      <c r="Z493" s="80"/>
      <c r="AA493" s="80"/>
      <c r="AB493" s="80"/>
    </row>
    <row r="494" spans="4:28" ht="14.25" customHeight="1"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16"/>
      <c r="U494" s="80"/>
      <c r="V494" s="80"/>
      <c r="W494" s="80"/>
      <c r="X494" s="80"/>
      <c r="Y494" s="80"/>
      <c r="Z494" s="80"/>
      <c r="AA494" s="80"/>
      <c r="AB494" s="80"/>
    </row>
    <row r="495" spans="4:28" ht="14.25" customHeight="1"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16"/>
      <c r="U495" s="80"/>
      <c r="V495" s="80"/>
      <c r="W495" s="80"/>
      <c r="X495" s="80"/>
      <c r="Y495" s="80"/>
      <c r="Z495" s="80"/>
      <c r="AA495" s="80"/>
      <c r="AB495" s="80"/>
    </row>
    <row r="496" spans="4:28" ht="14.25" customHeight="1"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16"/>
      <c r="U496" s="80"/>
      <c r="V496" s="80"/>
      <c r="W496" s="80"/>
      <c r="X496" s="80"/>
      <c r="Y496" s="80"/>
      <c r="Z496" s="80"/>
      <c r="AA496" s="80"/>
      <c r="AB496" s="80"/>
    </row>
    <row r="497" spans="4:28" ht="14.25" customHeight="1"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16"/>
      <c r="U497" s="80"/>
      <c r="V497" s="80"/>
      <c r="W497" s="80"/>
      <c r="X497" s="80"/>
      <c r="Y497" s="80"/>
      <c r="Z497" s="80"/>
      <c r="AA497" s="80"/>
      <c r="AB497" s="80"/>
    </row>
    <row r="498" spans="4:28" ht="14.25" customHeight="1"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16"/>
      <c r="U498" s="80"/>
      <c r="V498" s="80"/>
      <c r="W498" s="80"/>
      <c r="X498" s="80"/>
      <c r="Y498" s="80"/>
      <c r="Z498" s="80"/>
      <c r="AA498" s="80"/>
      <c r="AB498" s="80"/>
    </row>
    <row r="499" spans="4:28" ht="14.25" customHeight="1"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16"/>
      <c r="U499" s="80"/>
      <c r="V499" s="80"/>
      <c r="W499" s="80"/>
      <c r="X499" s="80"/>
      <c r="Y499" s="80"/>
      <c r="Z499" s="80"/>
      <c r="AA499" s="80"/>
      <c r="AB499" s="80"/>
    </row>
    <row r="500" spans="4:28" ht="14.25" customHeight="1"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16"/>
      <c r="U500" s="80"/>
      <c r="V500" s="80"/>
      <c r="W500" s="80"/>
      <c r="X500" s="80"/>
      <c r="Y500" s="80"/>
      <c r="Z500" s="80"/>
      <c r="AA500" s="80"/>
      <c r="AB500" s="80"/>
    </row>
    <row r="501" spans="4:28" ht="14.25" customHeight="1"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16"/>
      <c r="U501" s="80"/>
      <c r="V501" s="80"/>
      <c r="W501" s="80"/>
      <c r="X501" s="80"/>
      <c r="Y501" s="80"/>
      <c r="Z501" s="80"/>
      <c r="AA501" s="80"/>
      <c r="AB501" s="80"/>
    </row>
    <row r="502" spans="4:28" ht="14.25" customHeight="1"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16"/>
      <c r="U502" s="80"/>
      <c r="V502" s="80"/>
      <c r="W502" s="80"/>
      <c r="X502" s="80"/>
      <c r="Y502" s="80"/>
      <c r="Z502" s="80"/>
      <c r="AA502" s="80"/>
      <c r="AB502" s="80"/>
    </row>
    <row r="503" spans="4:28" ht="14.25" customHeight="1"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16"/>
      <c r="U503" s="80"/>
      <c r="V503" s="80"/>
      <c r="W503" s="80"/>
      <c r="X503" s="80"/>
      <c r="Y503" s="80"/>
      <c r="Z503" s="80"/>
      <c r="AA503" s="80"/>
      <c r="AB503" s="80"/>
    </row>
    <row r="504" spans="4:28" ht="14.25" customHeight="1"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16"/>
      <c r="U504" s="80"/>
      <c r="V504" s="80"/>
      <c r="W504" s="80"/>
      <c r="X504" s="80"/>
      <c r="Y504" s="80"/>
      <c r="Z504" s="80"/>
      <c r="AA504" s="80"/>
      <c r="AB504" s="80"/>
    </row>
    <row r="505" spans="4:28" ht="14.25" customHeight="1"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16"/>
      <c r="U505" s="80"/>
      <c r="V505" s="80"/>
      <c r="W505" s="80"/>
      <c r="X505" s="80"/>
      <c r="Y505" s="80"/>
      <c r="Z505" s="80"/>
      <c r="AA505" s="80"/>
      <c r="AB505" s="80"/>
    </row>
    <row r="506" spans="4:28" ht="14.25" customHeight="1"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16"/>
      <c r="U506" s="80"/>
      <c r="V506" s="80"/>
      <c r="W506" s="80"/>
      <c r="X506" s="80"/>
      <c r="Y506" s="80"/>
      <c r="Z506" s="80"/>
      <c r="AA506" s="80"/>
      <c r="AB506" s="80"/>
    </row>
    <row r="507" spans="4:28" ht="14.25" customHeight="1"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16"/>
      <c r="U507" s="80"/>
      <c r="V507" s="80"/>
      <c r="W507" s="80"/>
      <c r="X507" s="80"/>
      <c r="Y507" s="80"/>
      <c r="Z507" s="80"/>
      <c r="AA507" s="80"/>
      <c r="AB507" s="80"/>
    </row>
    <row r="508" spans="4:28" ht="14.25" customHeight="1"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16"/>
      <c r="U508" s="80"/>
      <c r="V508" s="80"/>
      <c r="W508" s="80"/>
      <c r="X508" s="80"/>
      <c r="Y508" s="80"/>
      <c r="Z508" s="80"/>
      <c r="AA508" s="80"/>
      <c r="AB508" s="80"/>
    </row>
    <row r="509" spans="4:28" ht="14.25" customHeight="1"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16"/>
      <c r="U509" s="80"/>
      <c r="V509" s="80"/>
      <c r="W509" s="80"/>
      <c r="X509" s="80"/>
      <c r="Y509" s="80"/>
      <c r="Z509" s="80"/>
      <c r="AA509" s="80"/>
      <c r="AB509" s="80"/>
    </row>
    <row r="510" spans="4:28" ht="14.25" customHeight="1"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16"/>
      <c r="U510" s="80"/>
      <c r="V510" s="80"/>
      <c r="W510" s="80"/>
      <c r="X510" s="80"/>
      <c r="Y510" s="80"/>
      <c r="Z510" s="80"/>
      <c r="AA510" s="80"/>
      <c r="AB510" s="80"/>
    </row>
    <row r="511" spans="4:28" ht="14.25" customHeight="1"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16"/>
      <c r="U511" s="80"/>
      <c r="V511" s="80"/>
      <c r="W511" s="80"/>
      <c r="X511" s="80"/>
      <c r="Y511" s="80"/>
      <c r="Z511" s="80"/>
      <c r="AA511" s="80"/>
      <c r="AB511" s="80"/>
    </row>
    <row r="512" spans="4:28" ht="14.25" customHeight="1"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16"/>
      <c r="U512" s="80"/>
      <c r="V512" s="80"/>
      <c r="W512" s="80"/>
      <c r="X512" s="80"/>
      <c r="Y512" s="80"/>
      <c r="Z512" s="80"/>
      <c r="AA512" s="80"/>
      <c r="AB512" s="80"/>
    </row>
    <row r="513" spans="4:28" ht="14.25" customHeight="1"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16"/>
      <c r="U513" s="80"/>
      <c r="V513" s="80"/>
      <c r="W513" s="80"/>
      <c r="X513" s="80"/>
      <c r="Y513" s="80"/>
      <c r="Z513" s="80"/>
      <c r="AA513" s="80"/>
      <c r="AB513" s="80"/>
    </row>
    <row r="514" spans="4:28" ht="14.25" customHeight="1"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16"/>
      <c r="U514" s="80"/>
      <c r="V514" s="80"/>
      <c r="W514" s="80"/>
      <c r="X514" s="80"/>
      <c r="Y514" s="80"/>
      <c r="Z514" s="80"/>
      <c r="AA514" s="80"/>
      <c r="AB514" s="80"/>
    </row>
    <row r="515" spans="4:28" ht="14.25" customHeight="1"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16"/>
      <c r="U515" s="80"/>
      <c r="V515" s="80"/>
      <c r="W515" s="80"/>
      <c r="X515" s="80"/>
      <c r="Y515" s="80"/>
      <c r="Z515" s="80"/>
      <c r="AA515" s="80"/>
      <c r="AB515" s="80"/>
    </row>
    <row r="516" spans="4:28" ht="14.25" customHeight="1"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16"/>
      <c r="U516" s="80"/>
      <c r="V516" s="80"/>
      <c r="W516" s="80"/>
      <c r="X516" s="80"/>
      <c r="Y516" s="80"/>
      <c r="Z516" s="80"/>
      <c r="AA516" s="80"/>
      <c r="AB516" s="80"/>
    </row>
    <row r="517" spans="4:28" ht="14.25" customHeight="1"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16"/>
      <c r="U517" s="80"/>
      <c r="V517" s="80"/>
      <c r="W517" s="80"/>
      <c r="X517" s="80"/>
      <c r="Y517" s="80"/>
      <c r="Z517" s="80"/>
      <c r="AA517" s="80"/>
      <c r="AB517" s="80"/>
    </row>
    <row r="518" spans="4:28" ht="14.25" customHeight="1"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16"/>
      <c r="U518" s="80"/>
      <c r="V518" s="80"/>
      <c r="W518" s="80"/>
      <c r="X518" s="80"/>
      <c r="Y518" s="80"/>
      <c r="Z518" s="80"/>
      <c r="AA518" s="80"/>
      <c r="AB518" s="80"/>
    </row>
    <row r="519" spans="4:28" ht="14.25" customHeight="1"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16"/>
      <c r="U519" s="80"/>
      <c r="V519" s="80"/>
      <c r="W519" s="80"/>
      <c r="X519" s="80"/>
      <c r="Y519" s="80"/>
      <c r="Z519" s="80"/>
      <c r="AA519" s="80"/>
      <c r="AB519" s="80"/>
    </row>
    <row r="520" spans="4:28" ht="14.25" customHeight="1"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16"/>
      <c r="U520" s="80"/>
      <c r="V520" s="80"/>
      <c r="W520" s="80"/>
      <c r="X520" s="80"/>
      <c r="Y520" s="80"/>
      <c r="Z520" s="80"/>
      <c r="AA520" s="80"/>
      <c r="AB520" s="80"/>
    </row>
    <row r="521" spans="4:28" ht="14.25" customHeight="1"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16"/>
      <c r="U521" s="80"/>
      <c r="V521" s="80"/>
      <c r="W521" s="80"/>
      <c r="X521" s="80"/>
      <c r="Y521" s="80"/>
      <c r="Z521" s="80"/>
      <c r="AA521" s="80"/>
      <c r="AB521" s="80"/>
    </row>
    <row r="522" spans="4:28" ht="14.25" customHeight="1"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16"/>
      <c r="U522" s="80"/>
      <c r="V522" s="80"/>
      <c r="W522" s="80"/>
      <c r="X522" s="80"/>
      <c r="Y522" s="80"/>
      <c r="Z522" s="80"/>
      <c r="AA522" s="80"/>
      <c r="AB522" s="80"/>
    </row>
    <row r="523" spans="4:28" ht="14.25" customHeight="1"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16"/>
      <c r="U523" s="80"/>
      <c r="V523" s="80"/>
      <c r="W523" s="80"/>
      <c r="X523" s="80"/>
      <c r="Y523" s="80"/>
      <c r="Z523" s="80"/>
      <c r="AA523" s="80"/>
      <c r="AB523" s="80"/>
    </row>
    <row r="524" spans="4:28" ht="14.25" customHeight="1"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16"/>
      <c r="U524" s="80"/>
      <c r="V524" s="80"/>
      <c r="W524" s="80"/>
      <c r="X524" s="80"/>
      <c r="Y524" s="80"/>
      <c r="Z524" s="80"/>
      <c r="AA524" s="80"/>
      <c r="AB524" s="80"/>
    </row>
    <row r="525" spans="4:28" ht="14.25" customHeight="1"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16"/>
      <c r="U525" s="80"/>
      <c r="V525" s="80"/>
      <c r="W525" s="80"/>
      <c r="X525" s="80"/>
      <c r="Y525" s="80"/>
      <c r="Z525" s="80"/>
      <c r="AA525" s="80"/>
      <c r="AB525" s="80"/>
    </row>
    <row r="526" spans="4:28" ht="14.25" customHeight="1"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16"/>
      <c r="U526" s="80"/>
      <c r="V526" s="80"/>
      <c r="W526" s="80"/>
      <c r="X526" s="80"/>
      <c r="Y526" s="80"/>
      <c r="Z526" s="80"/>
      <c r="AA526" s="80"/>
      <c r="AB526" s="80"/>
    </row>
    <row r="527" spans="4:28" ht="14.25" customHeight="1"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16"/>
      <c r="U527" s="80"/>
      <c r="V527" s="80"/>
      <c r="W527" s="80"/>
      <c r="X527" s="80"/>
      <c r="Y527" s="80"/>
      <c r="Z527" s="80"/>
      <c r="AA527" s="80"/>
      <c r="AB527" s="80"/>
    </row>
    <row r="528" spans="4:28" ht="14.25" customHeight="1"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16"/>
      <c r="U528" s="80"/>
      <c r="V528" s="80"/>
      <c r="W528" s="80"/>
      <c r="X528" s="80"/>
      <c r="Y528" s="80"/>
      <c r="Z528" s="80"/>
      <c r="AA528" s="80"/>
      <c r="AB528" s="80"/>
    </row>
    <row r="529" spans="4:28" ht="14.25" customHeight="1"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16"/>
      <c r="U529" s="80"/>
      <c r="V529" s="80"/>
      <c r="W529" s="80"/>
      <c r="X529" s="80"/>
      <c r="Y529" s="80"/>
      <c r="Z529" s="80"/>
      <c r="AA529" s="80"/>
      <c r="AB529" s="80"/>
    </row>
    <row r="530" spans="4:28" ht="14.25" customHeight="1"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16"/>
      <c r="U530" s="80"/>
      <c r="V530" s="80"/>
      <c r="W530" s="80"/>
      <c r="X530" s="80"/>
      <c r="Y530" s="80"/>
      <c r="Z530" s="80"/>
      <c r="AA530" s="80"/>
      <c r="AB530" s="80"/>
    </row>
    <row r="531" spans="4:28" ht="14.25" customHeight="1"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16"/>
      <c r="U531" s="80"/>
      <c r="V531" s="80"/>
      <c r="W531" s="80"/>
      <c r="X531" s="80"/>
      <c r="Y531" s="80"/>
      <c r="Z531" s="80"/>
      <c r="AA531" s="80"/>
      <c r="AB531" s="80"/>
    </row>
    <row r="532" spans="4:28" ht="14.25" customHeight="1"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16"/>
      <c r="U532" s="80"/>
      <c r="V532" s="80"/>
      <c r="W532" s="80"/>
      <c r="X532" s="80"/>
      <c r="Y532" s="80"/>
      <c r="Z532" s="80"/>
      <c r="AA532" s="80"/>
      <c r="AB532" s="80"/>
    </row>
    <row r="533" spans="4:28" ht="14.25" customHeight="1"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16"/>
      <c r="U533" s="80"/>
      <c r="V533" s="80"/>
      <c r="W533" s="80"/>
      <c r="X533" s="80"/>
      <c r="Y533" s="80"/>
      <c r="Z533" s="80"/>
      <c r="AA533" s="80"/>
      <c r="AB533" s="80"/>
    </row>
    <row r="534" spans="4:28" ht="14.25" customHeight="1"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16"/>
      <c r="U534" s="80"/>
      <c r="V534" s="80"/>
      <c r="W534" s="80"/>
      <c r="X534" s="80"/>
      <c r="Y534" s="80"/>
      <c r="Z534" s="80"/>
      <c r="AA534" s="80"/>
      <c r="AB534" s="80"/>
    </row>
    <row r="535" spans="4:28" ht="14.25" customHeight="1"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16"/>
      <c r="U535" s="80"/>
      <c r="V535" s="80"/>
      <c r="W535" s="80"/>
      <c r="X535" s="80"/>
      <c r="Y535" s="80"/>
      <c r="Z535" s="80"/>
      <c r="AA535" s="80"/>
      <c r="AB535" s="80"/>
    </row>
    <row r="536" spans="4:28" ht="14.25" customHeight="1"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16"/>
      <c r="U536" s="80"/>
      <c r="V536" s="80"/>
      <c r="W536" s="80"/>
      <c r="X536" s="80"/>
      <c r="Y536" s="80"/>
      <c r="Z536" s="80"/>
      <c r="AA536" s="80"/>
      <c r="AB536" s="80"/>
    </row>
    <row r="537" spans="4:28" ht="14.25" customHeight="1"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16"/>
      <c r="U537" s="80"/>
      <c r="V537" s="80"/>
      <c r="W537" s="80"/>
      <c r="X537" s="80"/>
      <c r="Y537" s="80"/>
      <c r="Z537" s="80"/>
      <c r="AA537" s="80"/>
      <c r="AB537" s="80"/>
    </row>
    <row r="538" spans="4:28" ht="14.25" customHeight="1"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16"/>
      <c r="U538" s="80"/>
      <c r="V538" s="80"/>
      <c r="W538" s="80"/>
      <c r="X538" s="80"/>
      <c r="Y538" s="80"/>
      <c r="Z538" s="80"/>
      <c r="AA538" s="80"/>
      <c r="AB538" s="80"/>
    </row>
    <row r="539" spans="4:28" ht="14.25" customHeight="1"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16"/>
      <c r="U539" s="80"/>
      <c r="V539" s="80"/>
      <c r="W539" s="80"/>
      <c r="X539" s="80"/>
      <c r="Y539" s="80"/>
      <c r="Z539" s="80"/>
      <c r="AA539" s="80"/>
      <c r="AB539" s="80"/>
    </row>
    <row r="540" spans="4:28" ht="14.25" customHeight="1"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16"/>
      <c r="U540" s="80"/>
      <c r="V540" s="80"/>
      <c r="W540" s="80"/>
      <c r="X540" s="80"/>
      <c r="Y540" s="80"/>
      <c r="Z540" s="80"/>
      <c r="AA540" s="80"/>
      <c r="AB540" s="80"/>
    </row>
    <row r="541" spans="4:28" ht="14.25" customHeight="1"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16"/>
      <c r="U541" s="80"/>
      <c r="V541" s="80"/>
      <c r="W541" s="80"/>
      <c r="X541" s="80"/>
      <c r="Y541" s="80"/>
      <c r="Z541" s="80"/>
      <c r="AA541" s="80"/>
      <c r="AB541" s="80"/>
    </row>
    <row r="542" spans="4:28" ht="14.25" customHeight="1"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16"/>
      <c r="U542" s="80"/>
      <c r="V542" s="80"/>
      <c r="W542" s="80"/>
      <c r="X542" s="80"/>
      <c r="Y542" s="80"/>
      <c r="Z542" s="80"/>
      <c r="AA542" s="80"/>
      <c r="AB542" s="80"/>
    </row>
    <row r="543" spans="4:28" ht="14.25" customHeight="1"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16"/>
      <c r="U543" s="80"/>
      <c r="V543" s="80"/>
      <c r="W543" s="80"/>
      <c r="X543" s="80"/>
      <c r="Y543" s="80"/>
      <c r="Z543" s="80"/>
      <c r="AA543" s="80"/>
      <c r="AB543" s="80"/>
    </row>
    <row r="544" spans="4:28" ht="14.25" customHeight="1"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16"/>
      <c r="U544" s="80"/>
      <c r="V544" s="80"/>
      <c r="W544" s="80"/>
      <c r="X544" s="80"/>
      <c r="Y544" s="80"/>
      <c r="Z544" s="80"/>
      <c r="AA544" s="80"/>
      <c r="AB544" s="80"/>
    </row>
    <row r="545" spans="4:28" ht="14.25" customHeight="1"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16"/>
      <c r="U545" s="80"/>
      <c r="V545" s="80"/>
      <c r="W545" s="80"/>
      <c r="X545" s="80"/>
      <c r="Y545" s="80"/>
      <c r="Z545" s="80"/>
      <c r="AA545" s="80"/>
      <c r="AB545" s="80"/>
    </row>
    <row r="546" spans="4:28" ht="14.25" customHeight="1"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16"/>
      <c r="U546" s="80"/>
      <c r="V546" s="80"/>
      <c r="W546" s="80"/>
      <c r="X546" s="80"/>
      <c r="Y546" s="80"/>
      <c r="Z546" s="80"/>
      <c r="AA546" s="80"/>
      <c r="AB546" s="80"/>
    </row>
    <row r="547" spans="4:28" ht="14.25" customHeight="1"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16"/>
      <c r="U547" s="80"/>
      <c r="V547" s="80"/>
      <c r="W547" s="80"/>
      <c r="X547" s="80"/>
      <c r="Y547" s="80"/>
      <c r="Z547" s="80"/>
      <c r="AA547" s="80"/>
      <c r="AB547" s="80"/>
    </row>
    <row r="548" spans="4:28" ht="14.25" customHeight="1"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16"/>
      <c r="U548" s="80"/>
      <c r="V548" s="80"/>
      <c r="W548" s="80"/>
      <c r="X548" s="80"/>
      <c r="Y548" s="80"/>
      <c r="Z548" s="80"/>
      <c r="AA548" s="80"/>
      <c r="AB548" s="80"/>
    </row>
    <row r="549" spans="4:28" ht="14.25" customHeight="1"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16"/>
      <c r="U549" s="80"/>
      <c r="V549" s="80"/>
      <c r="W549" s="80"/>
      <c r="X549" s="80"/>
      <c r="Y549" s="80"/>
      <c r="Z549" s="80"/>
      <c r="AA549" s="80"/>
      <c r="AB549" s="80"/>
    </row>
    <row r="550" spans="4:28" ht="14.25" customHeight="1"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16"/>
      <c r="U550" s="80"/>
      <c r="V550" s="80"/>
      <c r="W550" s="80"/>
      <c r="X550" s="80"/>
      <c r="Y550" s="80"/>
      <c r="Z550" s="80"/>
      <c r="AA550" s="80"/>
      <c r="AB550" s="80"/>
    </row>
    <row r="551" spans="4:28" ht="14.25" customHeight="1"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16"/>
      <c r="U551" s="80"/>
      <c r="V551" s="80"/>
      <c r="W551" s="80"/>
      <c r="X551" s="80"/>
      <c r="Y551" s="80"/>
      <c r="Z551" s="80"/>
      <c r="AA551" s="80"/>
      <c r="AB551" s="80"/>
    </row>
    <row r="552" spans="4:28" ht="14.25" customHeight="1"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16"/>
      <c r="U552" s="80"/>
      <c r="V552" s="80"/>
      <c r="W552" s="80"/>
      <c r="X552" s="80"/>
      <c r="Y552" s="80"/>
      <c r="Z552" s="80"/>
      <c r="AA552" s="80"/>
      <c r="AB552" s="80"/>
    </row>
    <row r="553" spans="4:28" ht="14.25" customHeight="1"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16"/>
      <c r="U553" s="80"/>
      <c r="V553" s="80"/>
      <c r="W553" s="80"/>
      <c r="X553" s="80"/>
      <c r="Y553" s="80"/>
      <c r="Z553" s="80"/>
      <c r="AA553" s="80"/>
      <c r="AB553" s="80"/>
    </row>
    <row r="554" spans="4:28" ht="14.25" customHeight="1"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16"/>
      <c r="U554" s="80"/>
      <c r="V554" s="80"/>
      <c r="W554" s="80"/>
      <c r="X554" s="80"/>
      <c r="Y554" s="80"/>
      <c r="Z554" s="80"/>
      <c r="AA554" s="80"/>
      <c r="AB554" s="80"/>
    </row>
    <row r="555" spans="4:28" ht="14.25" customHeight="1"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16"/>
      <c r="U555" s="80"/>
      <c r="V555" s="80"/>
      <c r="W555" s="80"/>
      <c r="X555" s="80"/>
      <c r="Y555" s="80"/>
      <c r="Z555" s="80"/>
      <c r="AA555" s="80"/>
      <c r="AB555" s="80"/>
    </row>
    <row r="556" spans="4:28" ht="14.25" customHeight="1"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16"/>
      <c r="U556" s="80"/>
      <c r="V556" s="80"/>
      <c r="W556" s="80"/>
      <c r="X556" s="80"/>
      <c r="Y556" s="80"/>
      <c r="Z556" s="80"/>
      <c r="AA556" s="80"/>
      <c r="AB556" s="80"/>
    </row>
    <row r="557" spans="4:28" ht="14.25" customHeight="1"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16"/>
      <c r="U557" s="80"/>
      <c r="V557" s="80"/>
      <c r="W557" s="80"/>
      <c r="X557" s="80"/>
      <c r="Y557" s="80"/>
      <c r="Z557" s="80"/>
      <c r="AA557" s="80"/>
      <c r="AB557" s="80"/>
    </row>
    <row r="558" spans="4:28" ht="14.25" customHeight="1"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16"/>
      <c r="U558" s="80"/>
      <c r="V558" s="80"/>
      <c r="W558" s="80"/>
      <c r="X558" s="80"/>
      <c r="Y558" s="80"/>
      <c r="Z558" s="80"/>
      <c r="AA558" s="80"/>
      <c r="AB558" s="80"/>
    </row>
    <row r="559" spans="4:28" ht="14.25" customHeight="1"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16"/>
      <c r="U559" s="80"/>
      <c r="V559" s="80"/>
      <c r="W559" s="80"/>
      <c r="X559" s="80"/>
      <c r="Y559" s="80"/>
      <c r="Z559" s="80"/>
      <c r="AA559" s="80"/>
      <c r="AB559" s="80"/>
    </row>
    <row r="560" spans="4:28" ht="14.25" customHeight="1"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16"/>
      <c r="U560" s="80"/>
      <c r="V560" s="80"/>
      <c r="W560" s="80"/>
      <c r="X560" s="80"/>
      <c r="Y560" s="80"/>
      <c r="Z560" s="80"/>
      <c r="AA560" s="80"/>
      <c r="AB560" s="80"/>
    </row>
    <row r="561" spans="4:28" ht="14.25" customHeight="1"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16"/>
      <c r="U561" s="80"/>
      <c r="V561" s="80"/>
      <c r="W561" s="80"/>
      <c r="X561" s="80"/>
      <c r="Y561" s="80"/>
      <c r="Z561" s="80"/>
      <c r="AA561" s="80"/>
      <c r="AB561" s="80"/>
    </row>
    <row r="562" spans="4:28" ht="14.25" customHeight="1"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16"/>
      <c r="U562" s="80"/>
      <c r="V562" s="80"/>
      <c r="W562" s="80"/>
      <c r="X562" s="80"/>
      <c r="Y562" s="80"/>
      <c r="Z562" s="80"/>
      <c r="AA562" s="80"/>
      <c r="AB562" s="80"/>
    </row>
    <row r="563" spans="4:28" ht="14.25" customHeight="1"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16"/>
      <c r="U563" s="80"/>
      <c r="V563" s="80"/>
      <c r="W563" s="80"/>
      <c r="X563" s="80"/>
      <c r="Y563" s="80"/>
      <c r="Z563" s="80"/>
      <c r="AA563" s="80"/>
      <c r="AB563" s="80"/>
    </row>
    <row r="564" spans="4:28" ht="14.25" customHeight="1"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16"/>
      <c r="U564" s="80"/>
      <c r="V564" s="80"/>
      <c r="W564" s="80"/>
      <c r="X564" s="80"/>
      <c r="Y564" s="80"/>
      <c r="Z564" s="80"/>
      <c r="AA564" s="80"/>
      <c r="AB564" s="80"/>
    </row>
    <row r="565" spans="4:28" ht="14.25" customHeight="1"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16"/>
      <c r="U565" s="80"/>
      <c r="V565" s="80"/>
      <c r="W565" s="80"/>
      <c r="X565" s="80"/>
      <c r="Y565" s="80"/>
      <c r="Z565" s="80"/>
      <c r="AA565" s="80"/>
      <c r="AB565" s="80"/>
    </row>
    <row r="566" spans="4:28" ht="14.25" customHeight="1"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16"/>
      <c r="U566" s="80"/>
      <c r="V566" s="80"/>
      <c r="W566" s="80"/>
      <c r="X566" s="80"/>
      <c r="Y566" s="80"/>
      <c r="Z566" s="80"/>
      <c r="AA566" s="80"/>
      <c r="AB566" s="80"/>
    </row>
    <row r="567" spans="4:28" ht="14.25" customHeight="1"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16"/>
      <c r="U567" s="80"/>
      <c r="V567" s="80"/>
      <c r="W567" s="80"/>
      <c r="X567" s="80"/>
      <c r="Y567" s="80"/>
      <c r="Z567" s="80"/>
      <c r="AA567" s="80"/>
      <c r="AB567" s="80"/>
    </row>
    <row r="568" spans="4:28" ht="14.25" customHeight="1"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16"/>
      <c r="U568" s="80"/>
      <c r="V568" s="80"/>
      <c r="W568" s="80"/>
      <c r="X568" s="80"/>
      <c r="Y568" s="80"/>
      <c r="Z568" s="80"/>
      <c r="AA568" s="80"/>
      <c r="AB568" s="80"/>
    </row>
    <row r="569" spans="4:28" ht="14.25" customHeight="1"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16"/>
      <c r="U569" s="80"/>
      <c r="V569" s="80"/>
      <c r="W569" s="80"/>
      <c r="X569" s="80"/>
      <c r="Y569" s="80"/>
      <c r="Z569" s="80"/>
      <c r="AA569" s="80"/>
      <c r="AB569" s="80"/>
    </row>
    <row r="570" spans="4:28" ht="14.25" customHeight="1"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16"/>
      <c r="U570" s="80"/>
      <c r="V570" s="80"/>
      <c r="W570" s="80"/>
      <c r="X570" s="80"/>
      <c r="Y570" s="80"/>
      <c r="Z570" s="80"/>
      <c r="AA570" s="80"/>
      <c r="AB570" s="80"/>
    </row>
    <row r="571" spans="4:28" ht="14.25" customHeight="1"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16"/>
      <c r="U571" s="80"/>
      <c r="V571" s="80"/>
      <c r="W571" s="80"/>
      <c r="X571" s="80"/>
      <c r="Y571" s="80"/>
      <c r="Z571" s="80"/>
      <c r="AA571" s="80"/>
      <c r="AB571" s="80"/>
    </row>
    <row r="572" spans="4:28" ht="14.25" customHeight="1"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16"/>
      <c r="U572" s="80"/>
      <c r="V572" s="80"/>
      <c r="W572" s="80"/>
      <c r="X572" s="80"/>
      <c r="Y572" s="80"/>
      <c r="Z572" s="80"/>
      <c r="AA572" s="80"/>
      <c r="AB572" s="80"/>
    </row>
    <row r="573" spans="4:28" ht="14.25" customHeight="1"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16"/>
      <c r="U573" s="80"/>
      <c r="V573" s="80"/>
      <c r="W573" s="80"/>
      <c r="X573" s="80"/>
      <c r="Y573" s="80"/>
      <c r="Z573" s="80"/>
      <c r="AA573" s="80"/>
      <c r="AB573" s="80"/>
    </row>
    <row r="574" spans="4:28" ht="14.25" customHeight="1"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16"/>
      <c r="U574" s="80"/>
      <c r="V574" s="80"/>
      <c r="W574" s="80"/>
      <c r="X574" s="80"/>
      <c r="Y574" s="80"/>
      <c r="Z574" s="80"/>
      <c r="AA574" s="80"/>
      <c r="AB574" s="80"/>
    </row>
    <row r="575" spans="4:28" ht="14.25" customHeight="1"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16"/>
      <c r="U575" s="80"/>
      <c r="V575" s="80"/>
      <c r="W575" s="80"/>
      <c r="X575" s="80"/>
      <c r="Y575" s="80"/>
      <c r="Z575" s="80"/>
      <c r="AA575" s="80"/>
      <c r="AB575" s="80"/>
    </row>
    <row r="576" spans="4:28" ht="14.25" customHeight="1"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16"/>
      <c r="U576" s="80"/>
      <c r="V576" s="80"/>
      <c r="W576" s="80"/>
      <c r="X576" s="80"/>
      <c r="Y576" s="80"/>
      <c r="Z576" s="80"/>
      <c r="AA576" s="80"/>
      <c r="AB576" s="80"/>
    </row>
    <row r="577" spans="4:28" ht="14.25" customHeight="1"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16"/>
      <c r="U577" s="80"/>
      <c r="V577" s="80"/>
      <c r="W577" s="80"/>
      <c r="X577" s="80"/>
      <c r="Y577" s="80"/>
      <c r="Z577" s="80"/>
      <c r="AA577" s="80"/>
      <c r="AB577" s="80"/>
    </row>
    <row r="578" spans="4:28" ht="14.25" customHeight="1"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16"/>
      <c r="U578" s="80"/>
      <c r="V578" s="80"/>
      <c r="W578" s="80"/>
      <c r="X578" s="80"/>
      <c r="Y578" s="80"/>
      <c r="Z578" s="80"/>
      <c r="AA578" s="80"/>
      <c r="AB578" s="80"/>
    </row>
    <row r="579" spans="4:28" ht="14.25" customHeight="1"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16"/>
      <c r="U579" s="80"/>
      <c r="V579" s="80"/>
      <c r="W579" s="80"/>
      <c r="X579" s="80"/>
      <c r="Y579" s="80"/>
      <c r="Z579" s="80"/>
      <c r="AA579" s="80"/>
      <c r="AB579" s="80"/>
    </row>
    <row r="580" spans="4:28" ht="14.25" customHeight="1"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16"/>
      <c r="U580" s="80"/>
      <c r="V580" s="80"/>
      <c r="W580" s="80"/>
      <c r="X580" s="80"/>
      <c r="Y580" s="80"/>
      <c r="Z580" s="80"/>
      <c r="AA580" s="80"/>
      <c r="AB580" s="80"/>
    </row>
    <row r="581" spans="4:28" ht="14.25" customHeight="1"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16"/>
      <c r="U581" s="80"/>
      <c r="V581" s="80"/>
      <c r="W581" s="80"/>
      <c r="X581" s="80"/>
      <c r="Y581" s="80"/>
      <c r="Z581" s="80"/>
      <c r="AA581" s="80"/>
      <c r="AB581" s="80"/>
    </row>
    <row r="582" spans="4:28" ht="14.25" customHeight="1"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16"/>
      <c r="U582" s="80"/>
      <c r="V582" s="80"/>
      <c r="W582" s="80"/>
      <c r="X582" s="80"/>
      <c r="Y582" s="80"/>
      <c r="Z582" s="80"/>
      <c r="AA582" s="80"/>
      <c r="AB582" s="80"/>
    </row>
    <row r="583" spans="4:28" ht="14.25" customHeight="1"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16"/>
      <c r="U583" s="80"/>
      <c r="V583" s="80"/>
      <c r="W583" s="80"/>
      <c r="X583" s="80"/>
      <c r="Y583" s="80"/>
      <c r="Z583" s="80"/>
      <c r="AA583" s="80"/>
      <c r="AB583" s="80"/>
    </row>
    <row r="584" spans="4:28" ht="14.25" customHeight="1"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16"/>
      <c r="U584" s="80"/>
      <c r="V584" s="80"/>
      <c r="W584" s="80"/>
      <c r="X584" s="80"/>
      <c r="Y584" s="80"/>
      <c r="Z584" s="80"/>
      <c r="AA584" s="80"/>
      <c r="AB584" s="80"/>
    </row>
    <row r="585" spans="4:28" ht="14.25" customHeight="1"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16"/>
      <c r="U585" s="80"/>
      <c r="V585" s="80"/>
      <c r="W585" s="80"/>
      <c r="X585" s="80"/>
      <c r="Y585" s="80"/>
      <c r="Z585" s="80"/>
      <c r="AA585" s="80"/>
      <c r="AB585" s="80"/>
    </row>
    <row r="586" spans="4:28" ht="14.25" customHeight="1"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16"/>
      <c r="U586" s="80"/>
      <c r="V586" s="80"/>
      <c r="W586" s="80"/>
      <c r="X586" s="80"/>
      <c r="Y586" s="80"/>
      <c r="Z586" s="80"/>
      <c r="AA586" s="80"/>
      <c r="AB586" s="80"/>
    </row>
    <row r="587" spans="4:28" ht="14.25" customHeight="1"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16"/>
      <c r="U587" s="80"/>
      <c r="V587" s="80"/>
      <c r="W587" s="80"/>
      <c r="X587" s="80"/>
      <c r="Y587" s="80"/>
      <c r="Z587" s="80"/>
      <c r="AA587" s="80"/>
      <c r="AB587" s="80"/>
    </row>
    <row r="588" spans="4:28" ht="14.25" customHeight="1"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16"/>
      <c r="U588" s="80"/>
      <c r="V588" s="80"/>
      <c r="W588" s="80"/>
      <c r="X588" s="80"/>
      <c r="Y588" s="80"/>
      <c r="Z588" s="80"/>
      <c r="AA588" s="80"/>
      <c r="AB588" s="80"/>
    </row>
    <row r="589" spans="4:28" ht="14.25" customHeight="1"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16"/>
      <c r="U589" s="80"/>
      <c r="V589" s="80"/>
      <c r="W589" s="80"/>
      <c r="X589" s="80"/>
      <c r="Y589" s="80"/>
      <c r="Z589" s="80"/>
      <c r="AA589" s="80"/>
      <c r="AB589" s="80"/>
    </row>
    <row r="590" spans="4:28" ht="14.25" customHeight="1"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16"/>
      <c r="U590" s="80"/>
      <c r="V590" s="80"/>
      <c r="W590" s="80"/>
      <c r="X590" s="80"/>
      <c r="Y590" s="80"/>
      <c r="Z590" s="80"/>
      <c r="AA590" s="80"/>
      <c r="AB590" s="80"/>
    </row>
    <row r="591" spans="4:28" ht="14.25" customHeight="1"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16"/>
      <c r="U591" s="80"/>
      <c r="V591" s="80"/>
      <c r="W591" s="80"/>
      <c r="X591" s="80"/>
      <c r="Y591" s="80"/>
      <c r="Z591" s="80"/>
      <c r="AA591" s="80"/>
      <c r="AB591" s="80"/>
    </row>
    <row r="592" spans="4:28" ht="14.25" customHeight="1"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16"/>
      <c r="U592" s="80"/>
      <c r="V592" s="80"/>
      <c r="W592" s="80"/>
      <c r="X592" s="80"/>
      <c r="Y592" s="80"/>
      <c r="Z592" s="80"/>
      <c r="AA592" s="80"/>
      <c r="AB592" s="80"/>
    </row>
    <row r="593" spans="4:28" ht="14.25" customHeight="1"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16"/>
      <c r="U593" s="80"/>
      <c r="V593" s="80"/>
      <c r="W593" s="80"/>
      <c r="X593" s="80"/>
      <c r="Y593" s="80"/>
      <c r="Z593" s="80"/>
      <c r="AA593" s="80"/>
      <c r="AB593" s="80"/>
    </row>
    <row r="594" spans="4:28" ht="14.25" customHeight="1"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16"/>
      <c r="U594" s="80"/>
      <c r="V594" s="80"/>
      <c r="W594" s="80"/>
      <c r="X594" s="80"/>
      <c r="Y594" s="80"/>
      <c r="Z594" s="80"/>
      <c r="AA594" s="80"/>
      <c r="AB594" s="80"/>
    </row>
    <row r="595" spans="4:28" ht="14.25" customHeight="1"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16"/>
      <c r="U595" s="80"/>
      <c r="V595" s="80"/>
      <c r="W595" s="80"/>
      <c r="X595" s="80"/>
      <c r="Y595" s="80"/>
      <c r="Z595" s="80"/>
      <c r="AA595" s="80"/>
      <c r="AB595" s="80"/>
    </row>
    <row r="596" spans="4:28" ht="14.25" customHeight="1"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16"/>
      <c r="U596" s="80"/>
      <c r="V596" s="80"/>
      <c r="W596" s="80"/>
      <c r="X596" s="80"/>
      <c r="Y596" s="80"/>
      <c r="Z596" s="80"/>
      <c r="AA596" s="80"/>
      <c r="AB596" s="80"/>
    </row>
    <row r="597" spans="4:28" ht="14.25" customHeight="1"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16"/>
      <c r="U597" s="80"/>
      <c r="V597" s="80"/>
      <c r="W597" s="80"/>
      <c r="X597" s="80"/>
      <c r="Y597" s="80"/>
      <c r="Z597" s="80"/>
      <c r="AA597" s="80"/>
      <c r="AB597" s="80"/>
    </row>
    <row r="598" spans="4:28" ht="14.25" customHeight="1"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16"/>
      <c r="U598" s="80"/>
      <c r="V598" s="80"/>
      <c r="W598" s="80"/>
      <c r="X598" s="80"/>
      <c r="Y598" s="80"/>
      <c r="Z598" s="80"/>
      <c r="AA598" s="80"/>
      <c r="AB598" s="80"/>
    </row>
    <row r="599" spans="4:28" ht="14.25" customHeight="1"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16"/>
      <c r="U599" s="80"/>
      <c r="V599" s="80"/>
      <c r="W599" s="80"/>
      <c r="X599" s="80"/>
      <c r="Y599" s="80"/>
      <c r="Z599" s="80"/>
      <c r="AA599" s="80"/>
      <c r="AB599" s="80"/>
    </row>
    <row r="600" spans="4:28" ht="14.25" customHeight="1"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16"/>
      <c r="U600" s="80"/>
      <c r="V600" s="80"/>
      <c r="W600" s="80"/>
      <c r="X600" s="80"/>
      <c r="Y600" s="80"/>
      <c r="Z600" s="80"/>
      <c r="AA600" s="80"/>
      <c r="AB600" s="80"/>
    </row>
    <row r="601" spans="4:28" ht="14.25" customHeight="1"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16"/>
      <c r="U601" s="80"/>
      <c r="V601" s="80"/>
      <c r="W601" s="80"/>
      <c r="X601" s="80"/>
      <c r="Y601" s="80"/>
      <c r="Z601" s="80"/>
      <c r="AA601" s="80"/>
      <c r="AB601" s="80"/>
    </row>
    <row r="602" spans="4:28" ht="14.25" customHeight="1"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16"/>
      <c r="U602" s="80"/>
      <c r="V602" s="80"/>
      <c r="W602" s="80"/>
      <c r="X602" s="80"/>
      <c r="Y602" s="80"/>
      <c r="Z602" s="80"/>
      <c r="AA602" s="80"/>
      <c r="AB602" s="80"/>
    </row>
    <row r="603" spans="4:28" ht="14.25" customHeight="1"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16"/>
      <c r="U603" s="80"/>
      <c r="V603" s="80"/>
      <c r="W603" s="80"/>
      <c r="X603" s="80"/>
      <c r="Y603" s="80"/>
      <c r="Z603" s="80"/>
      <c r="AA603" s="80"/>
      <c r="AB603" s="80"/>
    </row>
    <row r="604" spans="4:28" ht="14.25" customHeight="1"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16"/>
      <c r="U604" s="80"/>
      <c r="V604" s="80"/>
      <c r="W604" s="80"/>
      <c r="X604" s="80"/>
      <c r="Y604" s="80"/>
      <c r="Z604" s="80"/>
      <c r="AA604" s="80"/>
      <c r="AB604" s="80"/>
    </row>
    <row r="605" spans="4:28" ht="14.25" customHeight="1"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16"/>
      <c r="U605" s="80"/>
      <c r="V605" s="80"/>
      <c r="W605" s="80"/>
      <c r="X605" s="80"/>
      <c r="Y605" s="80"/>
      <c r="Z605" s="80"/>
      <c r="AA605" s="80"/>
      <c r="AB605" s="80"/>
    </row>
    <row r="606" spans="4:28" ht="14.25" customHeight="1"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16"/>
      <c r="U606" s="80"/>
      <c r="V606" s="80"/>
      <c r="W606" s="80"/>
      <c r="X606" s="80"/>
      <c r="Y606" s="80"/>
      <c r="Z606" s="80"/>
      <c r="AA606" s="80"/>
      <c r="AB606" s="80"/>
    </row>
    <row r="607" spans="4:28" ht="14.25" customHeight="1"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16"/>
      <c r="U607" s="80"/>
      <c r="V607" s="80"/>
      <c r="W607" s="80"/>
      <c r="X607" s="80"/>
      <c r="Y607" s="80"/>
      <c r="Z607" s="80"/>
      <c r="AA607" s="80"/>
      <c r="AB607" s="80"/>
    </row>
    <row r="608" spans="4:28" ht="14.25" customHeight="1"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16"/>
      <c r="U608" s="80"/>
      <c r="V608" s="80"/>
      <c r="W608" s="80"/>
      <c r="X608" s="80"/>
      <c r="Y608" s="80"/>
      <c r="Z608" s="80"/>
      <c r="AA608" s="80"/>
      <c r="AB608" s="80"/>
    </row>
    <row r="609" spans="4:28" ht="14.25" customHeight="1"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16"/>
      <c r="U609" s="80"/>
      <c r="V609" s="80"/>
      <c r="W609" s="80"/>
      <c r="X609" s="80"/>
      <c r="Y609" s="80"/>
      <c r="Z609" s="80"/>
      <c r="AA609" s="80"/>
      <c r="AB609" s="80"/>
    </row>
    <row r="610" spans="4:28" ht="14.25" customHeight="1"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16"/>
      <c r="U610" s="80"/>
      <c r="V610" s="80"/>
      <c r="W610" s="80"/>
      <c r="X610" s="80"/>
      <c r="Y610" s="80"/>
      <c r="Z610" s="80"/>
      <c r="AA610" s="80"/>
      <c r="AB610" s="80"/>
    </row>
    <row r="611" spans="4:28" ht="14.25" customHeight="1"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16"/>
      <c r="U611" s="80"/>
      <c r="V611" s="80"/>
      <c r="W611" s="80"/>
      <c r="X611" s="80"/>
      <c r="Y611" s="80"/>
      <c r="Z611" s="80"/>
      <c r="AA611" s="80"/>
      <c r="AB611" s="80"/>
    </row>
    <row r="612" spans="4:28" ht="14.25" customHeight="1"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16"/>
      <c r="U612" s="80"/>
      <c r="V612" s="80"/>
      <c r="W612" s="80"/>
      <c r="X612" s="80"/>
      <c r="Y612" s="80"/>
      <c r="Z612" s="80"/>
      <c r="AA612" s="80"/>
      <c r="AB612" s="80"/>
    </row>
    <row r="613" spans="4:28" ht="14.25" customHeight="1"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16"/>
      <c r="U613" s="80"/>
      <c r="V613" s="80"/>
      <c r="W613" s="80"/>
      <c r="X613" s="80"/>
      <c r="Y613" s="80"/>
      <c r="Z613" s="80"/>
      <c r="AA613" s="80"/>
      <c r="AB613" s="80"/>
    </row>
    <row r="614" spans="4:28" ht="14.25" customHeight="1"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16"/>
      <c r="U614" s="80"/>
      <c r="V614" s="80"/>
      <c r="W614" s="80"/>
      <c r="X614" s="80"/>
      <c r="Y614" s="80"/>
      <c r="Z614" s="80"/>
      <c r="AA614" s="80"/>
      <c r="AB614" s="80"/>
    </row>
    <row r="615" spans="4:28" ht="14.25" customHeight="1"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16"/>
      <c r="U615" s="80"/>
      <c r="V615" s="80"/>
      <c r="W615" s="80"/>
      <c r="X615" s="80"/>
      <c r="Y615" s="80"/>
      <c r="Z615" s="80"/>
      <c r="AA615" s="80"/>
      <c r="AB615" s="80"/>
    </row>
    <row r="616" spans="4:28" ht="14.25" customHeight="1"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16"/>
      <c r="U616" s="80"/>
      <c r="V616" s="80"/>
      <c r="W616" s="80"/>
      <c r="X616" s="80"/>
      <c r="Y616" s="80"/>
      <c r="Z616" s="80"/>
      <c r="AA616" s="80"/>
      <c r="AB616" s="80"/>
    </row>
    <row r="617" spans="4:28" ht="14.25" customHeight="1"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16"/>
      <c r="U617" s="80"/>
      <c r="V617" s="80"/>
      <c r="W617" s="80"/>
      <c r="X617" s="80"/>
      <c r="Y617" s="80"/>
      <c r="Z617" s="80"/>
      <c r="AA617" s="80"/>
      <c r="AB617" s="80"/>
    </row>
    <row r="618" spans="4:28" ht="14.25" customHeight="1"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16"/>
      <c r="U618" s="80"/>
      <c r="V618" s="80"/>
      <c r="W618" s="80"/>
      <c r="X618" s="80"/>
      <c r="Y618" s="80"/>
      <c r="Z618" s="80"/>
      <c r="AA618" s="80"/>
      <c r="AB618" s="80"/>
    </row>
    <row r="619" spans="4:28" ht="14.25" customHeight="1"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16"/>
      <c r="U619" s="80"/>
      <c r="V619" s="80"/>
      <c r="W619" s="80"/>
      <c r="X619" s="80"/>
      <c r="Y619" s="80"/>
      <c r="Z619" s="80"/>
      <c r="AA619" s="80"/>
      <c r="AB619" s="80"/>
    </row>
    <row r="620" spans="4:28" ht="14.25" customHeight="1"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16"/>
      <c r="U620" s="80"/>
      <c r="V620" s="80"/>
      <c r="W620" s="80"/>
      <c r="X620" s="80"/>
      <c r="Y620" s="80"/>
      <c r="Z620" s="80"/>
      <c r="AA620" s="80"/>
      <c r="AB620" s="80"/>
    </row>
    <row r="621" spans="4:28" ht="14.25" customHeight="1"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16"/>
      <c r="U621" s="80"/>
      <c r="V621" s="80"/>
      <c r="W621" s="80"/>
      <c r="X621" s="80"/>
      <c r="Y621" s="80"/>
      <c r="Z621" s="80"/>
      <c r="AA621" s="80"/>
      <c r="AB621" s="80"/>
    </row>
    <row r="622" spans="4:28" ht="14.25" customHeight="1"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16"/>
      <c r="U622" s="80"/>
      <c r="V622" s="80"/>
      <c r="W622" s="80"/>
      <c r="X622" s="80"/>
      <c r="Y622" s="80"/>
      <c r="Z622" s="80"/>
      <c r="AA622" s="80"/>
      <c r="AB622" s="80"/>
    </row>
    <row r="623" spans="4:28" ht="14.25" customHeight="1"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16"/>
      <c r="U623" s="80"/>
      <c r="V623" s="80"/>
      <c r="W623" s="80"/>
      <c r="X623" s="80"/>
      <c r="Y623" s="80"/>
      <c r="Z623" s="80"/>
      <c r="AA623" s="80"/>
      <c r="AB623" s="80"/>
    </row>
    <row r="624" spans="4:28" ht="14.25" customHeight="1"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16"/>
      <c r="U624" s="80"/>
      <c r="V624" s="80"/>
      <c r="W624" s="80"/>
      <c r="X624" s="80"/>
      <c r="Y624" s="80"/>
      <c r="Z624" s="80"/>
      <c r="AA624" s="80"/>
      <c r="AB624" s="80"/>
    </row>
    <row r="625" spans="4:28" ht="14.25" customHeight="1"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16"/>
      <c r="U625" s="80"/>
      <c r="V625" s="80"/>
      <c r="W625" s="80"/>
      <c r="X625" s="80"/>
      <c r="Y625" s="80"/>
      <c r="Z625" s="80"/>
      <c r="AA625" s="80"/>
      <c r="AB625" s="80"/>
    </row>
    <row r="626" spans="4:28" ht="14.25" customHeight="1"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16"/>
      <c r="U626" s="80"/>
      <c r="V626" s="80"/>
      <c r="W626" s="80"/>
      <c r="X626" s="80"/>
      <c r="Y626" s="80"/>
      <c r="Z626" s="80"/>
      <c r="AA626" s="80"/>
      <c r="AB626" s="80"/>
    </row>
    <row r="627" spans="4:28" ht="14.25" customHeight="1"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16"/>
      <c r="U627" s="80"/>
      <c r="V627" s="80"/>
      <c r="W627" s="80"/>
      <c r="X627" s="80"/>
      <c r="Y627" s="80"/>
      <c r="Z627" s="80"/>
      <c r="AA627" s="80"/>
      <c r="AB627" s="80"/>
    </row>
    <row r="628" spans="4:28" ht="14.25" customHeight="1"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16"/>
      <c r="U628" s="80"/>
      <c r="V628" s="80"/>
      <c r="W628" s="80"/>
      <c r="X628" s="80"/>
      <c r="Y628" s="80"/>
      <c r="Z628" s="80"/>
      <c r="AA628" s="80"/>
      <c r="AB628" s="80"/>
    </row>
    <row r="629" spans="4:28" ht="14.25" customHeight="1"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16"/>
      <c r="U629" s="80"/>
      <c r="V629" s="80"/>
      <c r="W629" s="80"/>
      <c r="X629" s="80"/>
      <c r="Y629" s="80"/>
      <c r="Z629" s="80"/>
      <c r="AA629" s="80"/>
      <c r="AB629" s="80"/>
    </row>
    <row r="630" spans="4:28" ht="14.25" customHeight="1"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16"/>
      <c r="U630" s="80"/>
      <c r="V630" s="80"/>
      <c r="W630" s="80"/>
      <c r="X630" s="80"/>
      <c r="Y630" s="80"/>
      <c r="Z630" s="80"/>
      <c r="AA630" s="80"/>
      <c r="AB630" s="80"/>
    </row>
    <row r="631" spans="4:28" ht="14.25" customHeight="1"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16"/>
      <c r="U631" s="80"/>
      <c r="V631" s="80"/>
      <c r="W631" s="80"/>
      <c r="X631" s="80"/>
      <c r="Y631" s="80"/>
      <c r="Z631" s="80"/>
      <c r="AA631" s="80"/>
      <c r="AB631" s="80"/>
    </row>
    <row r="632" spans="4:28" ht="14.25" customHeight="1"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16"/>
      <c r="U632" s="80"/>
      <c r="V632" s="80"/>
      <c r="W632" s="80"/>
      <c r="X632" s="80"/>
      <c r="Y632" s="80"/>
      <c r="Z632" s="80"/>
      <c r="AA632" s="80"/>
      <c r="AB632" s="80"/>
    </row>
    <row r="633" spans="4:28" ht="14.25" customHeight="1"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16"/>
      <c r="U633" s="80"/>
      <c r="V633" s="80"/>
      <c r="W633" s="80"/>
      <c r="X633" s="80"/>
      <c r="Y633" s="80"/>
      <c r="Z633" s="80"/>
      <c r="AA633" s="80"/>
      <c r="AB633" s="80"/>
    </row>
    <row r="634" spans="4:28" ht="14.25" customHeight="1"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16"/>
      <c r="U634" s="80"/>
      <c r="V634" s="80"/>
      <c r="W634" s="80"/>
      <c r="X634" s="80"/>
      <c r="Y634" s="80"/>
      <c r="Z634" s="80"/>
      <c r="AA634" s="80"/>
      <c r="AB634" s="80"/>
    </row>
    <row r="635" spans="4:28" ht="14.25" customHeight="1"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16"/>
      <c r="U635" s="80"/>
      <c r="V635" s="80"/>
      <c r="W635" s="80"/>
      <c r="X635" s="80"/>
      <c r="Y635" s="80"/>
      <c r="Z635" s="80"/>
      <c r="AA635" s="80"/>
      <c r="AB635" s="80"/>
    </row>
    <row r="636" spans="4:28" ht="14.25" customHeight="1"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16"/>
      <c r="U636" s="80"/>
      <c r="V636" s="80"/>
      <c r="W636" s="80"/>
      <c r="X636" s="80"/>
      <c r="Y636" s="80"/>
      <c r="Z636" s="80"/>
      <c r="AA636" s="80"/>
      <c r="AB636" s="80"/>
    </row>
    <row r="637" spans="4:28" ht="14.25" customHeight="1"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16"/>
      <c r="U637" s="80"/>
      <c r="V637" s="80"/>
      <c r="W637" s="80"/>
      <c r="X637" s="80"/>
      <c r="Y637" s="80"/>
      <c r="Z637" s="80"/>
      <c r="AA637" s="80"/>
      <c r="AB637" s="80"/>
    </row>
    <row r="638" spans="4:28" ht="14.25" customHeight="1"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16"/>
      <c r="U638" s="80"/>
      <c r="V638" s="80"/>
      <c r="W638" s="80"/>
      <c r="X638" s="80"/>
      <c r="Y638" s="80"/>
      <c r="Z638" s="80"/>
      <c r="AA638" s="80"/>
      <c r="AB638" s="80"/>
    </row>
    <row r="639" spans="4:28" ht="14.25" customHeight="1"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16"/>
      <c r="U639" s="80"/>
      <c r="V639" s="80"/>
      <c r="W639" s="80"/>
      <c r="X639" s="80"/>
      <c r="Y639" s="80"/>
      <c r="Z639" s="80"/>
      <c r="AA639" s="80"/>
      <c r="AB639" s="80"/>
    </row>
    <row r="640" spans="4:28" ht="14.25" customHeight="1"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16"/>
      <c r="U640" s="80"/>
      <c r="V640" s="80"/>
      <c r="W640" s="80"/>
      <c r="X640" s="80"/>
      <c r="Y640" s="80"/>
      <c r="Z640" s="80"/>
      <c r="AA640" s="80"/>
      <c r="AB640" s="80"/>
    </row>
    <row r="641" spans="4:28" ht="14.25" customHeight="1"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16"/>
      <c r="U641" s="80"/>
      <c r="V641" s="80"/>
      <c r="W641" s="80"/>
      <c r="X641" s="80"/>
      <c r="Y641" s="80"/>
      <c r="Z641" s="80"/>
      <c r="AA641" s="80"/>
      <c r="AB641" s="80"/>
    </row>
    <row r="642" spans="4:28" ht="14.25" customHeight="1"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16"/>
      <c r="U642" s="80"/>
      <c r="V642" s="80"/>
      <c r="W642" s="80"/>
      <c r="X642" s="80"/>
      <c r="Y642" s="80"/>
      <c r="Z642" s="80"/>
      <c r="AA642" s="80"/>
      <c r="AB642" s="80"/>
    </row>
    <row r="643" spans="4:28" ht="14.25" customHeight="1"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16"/>
      <c r="U643" s="80"/>
      <c r="V643" s="80"/>
      <c r="W643" s="80"/>
      <c r="X643" s="80"/>
      <c r="Y643" s="80"/>
      <c r="Z643" s="80"/>
      <c r="AA643" s="80"/>
      <c r="AB643" s="80"/>
    </row>
    <row r="644" spans="4:28" ht="14.25" customHeight="1"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16"/>
      <c r="U644" s="80"/>
      <c r="V644" s="80"/>
      <c r="W644" s="80"/>
      <c r="X644" s="80"/>
      <c r="Y644" s="80"/>
      <c r="Z644" s="80"/>
      <c r="AA644" s="80"/>
      <c r="AB644" s="80"/>
    </row>
    <row r="645" spans="4:28" ht="14.25" customHeight="1"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16"/>
      <c r="U645" s="80"/>
      <c r="V645" s="80"/>
      <c r="W645" s="80"/>
      <c r="X645" s="80"/>
      <c r="Y645" s="80"/>
      <c r="Z645" s="80"/>
      <c r="AA645" s="80"/>
      <c r="AB645" s="80"/>
    </row>
    <row r="646" spans="4:28" ht="14.25" customHeight="1"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16"/>
      <c r="U646" s="80"/>
      <c r="V646" s="80"/>
      <c r="W646" s="80"/>
      <c r="X646" s="80"/>
      <c r="Y646" s="80"/>
      <c r="Z646" s="80"/>
      <c r="AA646" s="80"/>
      <c r="AB646" s="80"/>
    </row>
    <row r="647" spans="4:28" ht="14.25" customHeight="1"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16"/>
      <c r="U647" s="80"/>
      <c r="V647" s="80"/>
      <c r="W647" s="80"/>
      <c r="X647" s="80"/>
      <c r="Y647" s="80"/>
      <c r="Z647" s="80"/>
      <c r="AA647" s="80"/>
      <c r="AB647" s="80"/>
    </row>
    <row r="648" spans="4:28" ht="14.25" customHeight="1"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16"/>
      <c r="U648" s="80"/>
      <c r="V648" s="80"/>
      <c r="W648" s="80"/>
      <c r="X648" s="80"/>
      <c r="Y648" s="80"/>
      <c r="Z648" s="80"/>
      <c r="AA648" s="80"/>
      <c r="AB648" s="80"/>
    </row>
    <row r="649" spans="4:28" ht="14.25" customHeight="1"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16"/>
      <c r="U649" s="80"/>
      <c r="V649" s="80"/>
      <c r="W649" s="80"/>
      <c r="X649" s="80"/>
      <c r="Y649" s="80"/>
      <c r="Z649" s="80"/>
      <c r="AA649" s="80"/>
      <c r="AB649" s="80"/>
    </row>
    <row r="650" spans="4:28" ht="14.25" customHeight="1"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16"/>
      <c r="U650" s="80"/>
      <c r="V650" s="80"/>
      <c r="W650" s="80"/>
      <c r="X650" s="80"/>
      <c r="Y650" s="80"/>
      <c r="Z650" s="80"/>
      <c r="AA650" s="80"/>
      <c r="AB650" s="80"/>
    </row>
    <row r="651" spans="4:28" ht="14.25" customHeight="1"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16"/>
      <c r="U651" s="80"/>
      <c r="V651" s="80"/>
      <c r="W651" s="80"/>
      <c r="X651" s="80"/>
      <c r="Y651" s="80"/>
      <c r="Z651" s="80"/>
      <c r="AA651" s="80"/>
      <c r="AB651" s="80"/>
    </row>
    <row r="652" spans="4:28" ht="14.25" customHeight="1"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16"/>
      <c r="U652" s="80"/>
      <c r="V652" s="80"/>
      <c r="W652" s="80"/>
      <c r="X652" s="80"/>
      <c r="Y652" s="80"/>
      <c r="Z652" s="80"/>
      <c r="AA652" s="80"/>
      <c r="AB652" s="80"/>
    </row>
    <row r="653" spans="4:28" ht="14.25" customHeight="1"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16"/>
      <c r="U653" s="80"/>
      <c r="V653" s="80"/>
      <c r="W653" s="80"/>
      <c r="X653" s="80"/>
      <c r="Y653" s="80"/>
      <c r="Z653" s="80"/>
      <c r="AA653" s="80"/>
      <c r="AB653" s="80"/>
    </row>
    <row r="654" spans="4:28" ht="14.25" customHeight="1"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16"/>
      <c r="U654" s="80"/>
      <c r="V654" s="80"/>
      <c r="W654" s="80"/>
      <c r="X654" s="80"/>
      <c r="Y654" s="80"/>
      <c r="Z654" s="80"/>
      <c r="AA654" s="80"/>
      <c r="AB654" s="80"/>
    </row>
    <row r="655" spans="4:28" ht="14.25" customHeight="1"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16"/>
      <c r="U655" s="80"/>
      <c r="V655" s="80"/>
      <c r="W655" s="80"/>
      <c r="X655" s="80"/>
      <c r="Y655" s="80"/>
      <c r="Z655" s="80"/>
      <c r="AA655" s="80"/>
      <c r="AB655" s="80"/>
    </row>
    <row r="656" spans="4:28" ht="14.25" customHeight="1"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16"/>
      <c r="U656" s="80"/>
      <c r="V656" s="80"/>
      <c r="W656" s="80"/>
      <c r="X656" s="80"/>
      <c r="Y656" s="80"/>
      <c r="Z656" s="80"/>
      <c r="AA656" s="80"/>
      <c r="AB656" s="80"/>
    </row>
    <row r="657" spans="4:28" ht="14.25" customHeight="1"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16"/>
      <c r="U657" s="80"/>
      <c r="V657" s="80"/>
      <c r="W657" s="80"/>
      <c r="X657" s="80"/>
      <c r="Y657" s="80"/>
      <c r="Z657" s="80"/>
      <c r="AA657" s="80"/>
      <c r="AB657" s="80"/>
    </row>
    <row r="658" spans="4:28" ht="14.25" customHeight="1"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16"/>
      <c r="U658" s="80"/>
      <c r="V658" s="80"/>
      <c r="W658" s="80"/>
      <c r="X658" s="80"/>
      <c r="Y658" s="80"/>
      <c r="Z658" s="80"/>
      <c r="AA658" s="80"/>
      <c r="AB658" s="80"/>
    </row>
    <row r="659" spans="4:28" ht="14.25" customHeight="1"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16"/>
      <c r="U659" s="80"/>
      <c r="V659" s="80"/>
      <c r="W659" s="80"/>
      <c r="X659" s="80"/>
      <c r="Y659" s="80"/>
      <c r="Z659" s="80"/>
      <c r="AA659" s="80"/>
      <c r="AB659" s="80"/>
    </row>
    <row r="660" spans="4:28" ht="14.25" customHeight="1"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16"/>
      <c r="U660" s="80"/>
      <c r="V660" s="80"/>
      <c r="W660" s="80"/>
      <c r="X660" s="80"/>
      <c r="Y660" s="80"/>
      <c r="Z660" s="80"/>
      <c r="AA660" s="80"/>
      <c r="AB660" s="80"/>
    </row>
    <row r="661" spans="4:28" ht="14.25" customHeight="1"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16"/>
      <c r="U661" s="80"/>
      <c r="V661" s="80"/>
      <c r="W661" s="80"/>
      <c r="X661" s="80"/>
      <c r="Y661" s="80"/>
      <c r="Z661" s="80"/>
      <c r="AA661" s="80"/>
      <c r="AB661" s="80"/>
    </row>
    <row r="662" spans="4:28" ht="14.25" customHeight="1"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16"/>
      <c r="U662" s="80"/>
      <c r="V662" s="80"/>
      <c r="W662" s="80"/>
      <c r="X662" s="80"/>
      <c r="Y662" s="80"/>
      <c r="Z662" s="80"/>
      <c r="AA662" s="80"/>
      <c r="AB662" s="80"/>
    </row>
    <row r="663" spans="4:28" ht="14.25" customHeight="1"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16"/>
      <c r="U663" s="80"/>
      <c r="V663" s="80"/>
      <c r="W663" s="80"/>
      <c r="X663" s="80"/>
      <c r="Y663" s="80"/>
      <c r="Z663" s="80"/>
      <c r="AA663" s="80"/>
      <c r="AB663" s="80"/>
    </row>
    <row r="664" spans="4:28" ht="14.25" customHeight="1"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16"/>
      <c r="U664" s="80"/>
      <c r="V664" s="80"/>
      <c r="W664" s="80"/>
      <c r="X664" s="80"/>
      <c r="Y664" s="80"/>
      <c r="Z664" s="80"/>
      <c r="AA664" s="80"/>
      <c r="AB664" s="80"/>
    </row>
    <row r="665" spans="4:28" ht="14.25" customHeight="1"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16"/>
      <c r="U665" s="80"/>
      <c r="V665" s="80"/>
      <c r="W665" s="80"/>
      <c r="X665" s="80"/>
      <c r="Y665" s="80"/>
      <c r="Z665" s="80"/>
      <c r="AA665" s="80"/>
      <c r="AB665" s="80"/>
    </row>
    <row r="666" spans="4:28" ht="14.25" customHeight="1"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16"/>
      <c r="U666" s="80"/>
      <c r="V666" s="80"/>
      <c r="W666" s="80"/>
      <c r="X666" s="80"/>
      <c r="Y666" s="80"/>
      <c r="Z666" s="80"/>
      <c r="AA666" s="80"/>
      <c r="AB666" s="80"/>
    </row>
    <row r="667" spans="4:28" ht="14.25" customHeight="1"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16"/>
      <c r="U667" s="80"/>
      <c r="V667" s="80"/>
      <c r="W667" s="80"/>
      <c r="X667" s="80"/>
      <c r="Y667" s="80"/>
      <c r="Z667" s="80"/>
      <c r="AA667" s="80"/>
      <c r="AB667" s="80"/>
    </row>
    <row r="668" spans="4:28" ht="14.25" customHeight="1"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16"/>
      <c r="U668" s="80"/>
      <c r="V668" s="80"/>
      <c r="W668" s="80"/>
      <c r="X668" s="80"/>
      <c r="Y668" s="80"/>
      <c r="Z668" s="80"/>
      <c r="AA668" s="80"/>
      <c r="AB668" s="80"/>
    </row>
    <row r="669" spans="4:28" ht="14.25" customHeight="1"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16"/>
      <c r="U669" s="80"/>
      <c r="V669" s="80"/>
      <c r="W669" s="80"/>
      <c r="X669" s="80"/>
      <c r="Y669" s="80"/>
      <c r="Z669" s="80"/>
      <c r="AA669" s="80"/>
      <c r="AB669" s="80"/>
    </row>
    <row r="670" spans="4:28" ht="14.25" customHeight="1"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16"/>
      <c r="U670" s="80"/>
      <c r="V670" s="80"/>
      <c r="W670" s="80"/>
      <c r="X670" s="80"/>
      <c r="Y670" s="80"/>
      <c r="Z670" s="80"/>
      <c r="AA670" s="80"/>
      <c r="AB670" s="80"/>
    </row>
    <row r="671" spans="4:28" ht="14.25" customHeight="1"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16"/>
      <c r="U671" s="80"/>
      <c r="V671" s="80"/>
      <c r="W671" s="80"/>
      <c r="X671" s="80"/>
      <c r="Y671" s="80"/>
      <c r="Z671" s="80"/>
      <c r="AA671" s="80"/>
      <c r="AB671" s="80"/>
    </row>
    <row r="672" spans="4:28" ht="14.25" customHeight="1"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16"/>
      <c r="U672" s="80"/>
      <c r="V672" s="80"/>
      <c r="W672" s="80"/>
      <c r="X672" s="80"/>
      <c r="Y672" s="80"/>
      <c r="Z672" s="80"/>
      <c r="AA672" s="80"/>
      <c r="AB672" s="80"/>
    </row>
    <row r="673" spans="4:28" ht="14.25" customHeight="1"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16"/>
      <c r="U673" s="80"/>
      <c r="V673" s="80"/>
      <c r="W673" s="80"/>
      <c r="X673" s="80"/>
      <c r="Y673" s="80"/>
      <c r="Z673" s="80"/>
      <c r="AA673" s="80"/>
      <c r="AB673" s="80"/>
    </row>
    <row r="674" spans="4:28" ht="14.25" customHeight="1"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16"/>
      <c r="U674" s="80"/>
      <c r="V674" s="80"/>
      <c r="W674" s="80"/>
      <c r="X674" s="80"/>
      <c r="Y674" s="80"/>
      <c r="Z674" s="80"/>
      <c r="AA674" s="80"/>
      <c r="AB674" s="80"/>
    </row>
    <row r="675" spans="4:28" ht="14.25" customHeight="1"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16"/>
      <c r="U675" s="80"/>
      <c r="V675" s="80"/>
      <c r="W675" s="80"/>
      <c r="X675" s="80"/>
      <c r="Y675" s="80"/>
      <c r="Z675" s="80"/>
      <c r="AA675" s="80"/>
      <c r="AB675" s="80"/>
    </row>
    <row r="676" spans="4:28" ht="14.25" customHeight="1"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16"/>
      <c r="U676" s="80"/>
      <c r="V676" s="80"/>
      <c r="W676" s="80"/>
      <c r="X676" s="80"/>
      <c r="Y676" s="80"/>
      <c r="Z676" s="80"/>
      <c r="AA676" s="80"/>
      <c r="AB676" s="80"/>
    </row>
    <row r="677" spans="4:28" ht="14.25" customHeight="1"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16"/>
      <c r="U677" s="80"/>
      <c r="V677" s="80"/>
      <c r="W677" s="80"/>
      <c r="X677" s="80"/>
      <c r="Y677" s="80"/>
      <c r="Z677" s="80"/>
      <c r="AA677" s="80"/>
      <c r="AB677" s="80"/>
    </row>
    <row r="678" spans="4:28" ht="14.25" customHeight="1"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16"/>
      <c r="U678" s="80"/>
      <c r="V678" s="80"/>
      <c r="W678" s="80"/>
      <c r="X678" s="80"/>
      <c r="Y678" s="80"/>
      <c r="Z678" s="80"/>
      <c r="AA678" s="80"/>
      <c r="AB678" s="80"/>
    </row>
    <row r="679" spans="4:28" ht="14.25" customHeight="1"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16"/>
      <c r="U679" s="80"/>
      <c r="V679" s="80"/>
      <c r="W679" s="80"/>
      <c r="X679" s="80"/>
      <c r="Y679" s="80"/>
      <c r="Z679" s="80"/>
      <c r="AA679" s="80"/>
      <c r="AB679" s="80"/>
    </row>
    <row r="680" spans="4:28" ht="14.25" customHeight="1"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16"/>
      <c r="U680" s="80"/>
      <c r="V680" s="80"/>
      <c r="W680" s="80"/>
      <c r="X680" s="80"/>
      <c r="Y680" s="80"/>
      <c r="Z680" s="80"/>
      <c r="AA680" s="80"/>
      <c r="AB680" s="80"/>
    </row>
    <row r="681" spans="4:28" ht="14.25" customHeight="1"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16"/>
      <c r="U681" s="80"/>
      <c r="V681" s="80"/>
      <c r="W681" s="80"/>
      <c r="X681" s="80"/>
      <c r="Y681" s="80"/>
      <c r="Z681" s="80"/>
      <c r="AA681" s="80"/>
      <c r="AB681" s="80"/>
    </row>
    <row r="682" spans="4:28" ht="14.25" customHeight="1"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16"/>
      <c r="U682" s="80"/>
      <c r="V682" s="80"/>
      <c r="W682" s="80"/>
      <c r="X682" s="80"/>
      <c r="Y682" s="80"/>
      <c r="Z682" s="80"/>
      <c r="AA682" s="80"/>
      <c r="AB682" s="80"/>
    </row>
    <row r="683" spans="4:28" ht="14.25" customHeight="1"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16"/>
      <c r="U683" s="80"/>
      <c r="V683" s="80"/>
      <c r="W683" s="80"/>
      <c r="X683" s="80"/>
      <c r="Y683" s="80"/>
      <c r="Z683" s="80"/>
      <c r="AA683" s="80"/>
      <c r="AB683" s="80"/>
    </row>
    <row r="684" spans="4:28" ht="14.25" customHeight="1"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16"/>
      <c r="U684" s="80"/>
      <c r="V684" s="80"/>
      <c r="W684" s="80"/>
      <c r="X684" s="80"/>
      <c r="Y684" s="80"/>
      <c r="Z684" s="80"/>
      <c r="AA684" s="80"/>
      <c r="AB684" s="80"/>
    </row>
    <row r="685" spans="4:28" ht="14.25" customHeight="1"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16"/>
      <c r="U685" s="80"/>
      <c r="V685" s="80"/>
      <c r="W685" s="80"/>
      <c r="X685" s="80"/>
      <c r="Y685" s="80"/>
      <c r="Z685" s="80"/>
      <c r="AA685" s="80"/>
      <c r="AB685" s="80"/>
    </row>
    <row r="686" spans="4:28" ht="14.25" customHeight="1"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16"/>
      <c r="U686" s="80"/>
      <c r="V686" s="80"/>
      <c r="W686" s="80"/>
      <c r="X686" s="80"/>
      <c r="Y686" s="80"/>
      <c r="Z686" s="80"/>
      <c r="AA686" s="80"/>
      <c r="AB686" s="80"/>
    </row>
    <row r="687" spans="4:28" ht="14.25" customHeight="1"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16"/>
      <c r="U687" s="80"/>
      <c r="V687" s="80"/>
      <c r="W687" s="80"/>
      <c r="X687" s="80"/>
      <c r="Y687" s="80"/>
      <c r="Z687" s="80"/>
      <c r="AA687" s="80"/>
      <c r="AB687" s="80"/>
    </row>
    <row r="688" spans="4:28" ht="14.25" customHeight="1"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16"/>
      <c r="U688" s="80"/>
      <c r="V688" s="80"/>
      <c r="W688" s="80"/>
      <c r="X688" s="80"/>
      <c r="Y688" s="80"/>
      <c r="Z688" s="80"/>
      <c r="AA688" s="80"/>
      <c r="AB688" s="80"/>
    </row>
    <row r="689" spans="4:28" ht="14.25" customHeight="1"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16"/>
      <c r="U689" s="80"/>
      <c r="V689" s="80"/>
      <c r="W689" s="80"/>
      <c r="X689" s="80"/>
      <c r="Y689" s="80"/>
      <c r="Z689" s="80"/>
      <c r="AA689" s="80"/>
      <c r="AB689" s="80"/>
    </row>
    <row r="690" spans="4:28" ht="14.25" customHeight="1"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16"/>
      <c r="U690" s="80"/>
      <c r="V690" s="80"/>
      <c r="W690" s="80"/>
      <c r="X690" s="80"/>
      <c r="Y690" s="80"/>
      <c r="Z690" s="80"/>
      <c r="AA690" s="80"/>
      <c r="AB690" s="80"/>
    </row>
    <row r="691" spans="4:28" ht="14.25" customHeight="1"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16"/>
      <c r="U691" s="80"/>
      <c r="V691" s="80"/>
      <c r="W691" s="80"/>
      <c r="X691" s="80"/>
      <c r="Y691" s="80"/>
      <c r="Z691" s="80"/>
      <c r="AA691" s="80"/>
      <c r="AB691" s="80"/>
    </row>
    <row r="692" spans="4:28" ht="14.25" customHeight="1"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16"/>
      <c r="U692" s="80"/>
      <c r="V692" s="80"/>
      <c r="W692" s="80"/>
      <c r="X692" s="80"/>
      <c r="Y692" s="80"/>
      <c r="Z692" s="80"/>
      <c r="AA692" s="80"/>
      <c r="AB692" s="80"/>
    </row>
    <row r="693" spans="4:28" ht="14.25" customHeight="1"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16"/>
      <c r="U693" s="80"/>
      <c r="V693" s="80"/>
      <c r="W693" s="80"/>
      <c r="X693" s="80"/>
      <c r="Y693" s="80"/>
      <c r="Z693" s="80"/>
      <c r="AA693" s="80"/>
      <c r="AB693" s="80"/>
    </row>
    <row r="694" spans="4:28" ht="14.25" customHeight="1"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16"/>
      <c r="U694" s="80"/>
      <c r="V694" s="80"/>
      <c r="W694" s="80"/>
      <c r="X694" s="80"/>
      <c r="Y694" s="80"/>
      <c r="Z694" s="80"/>
      <c r="AA694" s="80"/>
      <c r="AB694" s="80"/>
    </row>
    <row r="695" spans="4:28" ht="14.25" customHeight="1"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16"/>
      <c r="U695" s="80"/>
      <c r="V695" s="80"/>
      <c r="W695" s="80"/>
      <c r="X695" s="80"/>
      <c r="Y695" s="80"/>
      <c r="Z695" s="80"/>
      <c r="AA695" s="80"/>
      <c r="AB695" s="80"/>
    </row>
    <row r="696" spans="4:28" ht="14.25" customHeight="1"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16"/>
      <c r="U696" s="80"/>
      <c r="V696" s="80"/>
      <c r="W696" s="80"/>
      <c r="X696" s="80"/>
      <c r="Y696" s="80"/>
      <c r="Z696" s="80"/>
      <c r="AA696" s="80"/>
      <c r="AB696" s="80"/>
    </row>
    <row r="697" spans="4:28" ht="14.25" customHeight="1"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16"/>
      <c r="U697" s="80"/>
      <c r="V697" s="80"/>
      <c r="W697" s="80"/>
      <c r="X697" s="80"/>
      <c r="Y697" s="80"/>
      <c r="Z697" s="80"/>
      <c r="AA697" s="80"/>
      <c r="AB697" s="80"/>
    </row>
    <row r="698" spans="4:28" ht="14.25" customHeight="1"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16"/>
      <c r="U698" s="80"/>
      <c r="V698" s="80"/>
      <c r="W698" s="80"/>
      <c r="X698" s="80"/>
      <c r="Y698" s="80"/>
      <c r="Z698" s="80"/>
      <c r="AA698" s="80"/>
      <c r="AB698" s="80"/>
    </row>
    <row r="699" spans="4:28" ht="14.25" customHeight="1"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16"/>
      <c r="U699" s="80"/>
      <c r="V699" s="80"/>
      <c r="W699" s="80"/>
      <c r="X699" s="80"/>
      <c r="Y699" s="80"/>
      <c r="Z699" s="80"/>
      <c r="AA699" s="80"/>
      <c r="AB699" s="80"/>
    </row>
    <row r="700" spans="4:28" ht="14.25" customHeight="1"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16"/>
      <c r="U700" s="80"/>
      <c r="V700" s="80"/>
      <c r="W700" s="80"/>
      <c r="X700" s="80"/>
      <c r="Y700" s="80"/>
      <c r="Z700" s="80"/>
      <c r="AA700" s="80"/>
      <c r="AB700" s="80"/>
    </row>
    <row r="701" spans="4:28" ht="14.25" customHeight="1"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16"/>
      <c r="U701" s="80"/>
      <c r="V701" s="80"/>
      <c r="W701" s="80"/>
      <c r="X701" s="80"/>
      <c r="Y701" s="80"/>
      <c r="Z701" s="80"/>
      <c r="AA701" s="80"/>
      <c r="AB701" s="80"/>
    </row>
    <row r="702" spans="4:28" ht="14.25" customHeight="1"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16"/>
      <c r="U702" s="80"/>
      <c r="V702" s="80"/>
      <c r="W702" s="80"/>
      <c r="X702" s="80"/>
      <c r="Y702" s="80"/>
      <c r="Z702" s="80"/>
      <c r="AA702" s="80"/>
      <c r="AB702" s="80"/>
    </row>
    <row r="703" spans="4:28" ht="14.25" customHeight="1"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16"/>
      <c r="U703" s="80"/>
      <c r="V703" s="80"/>
      <c r="W703" s="80"/>
      <c r="X703" s="80"/>
      <c r="Y703" s="80"/>
      <c r="Z703" s="80"/>
      <c r="AA703" s="80"/>
      <c r="AB703" s="80"/>
    </row>
    <row r="704" spans="4:28" ht="14.25" customHeight="1"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16"/>
      <c r="U704" s="80"/>
      <c r="V704" s="80"/>
      <c r="W704" s="80"/>
      <c r="X704" s="80"/>
      <c r="Y704" s="80"/>
      <c r="Z704" s="80"/>
      <c r="AA704" s="80"/>
      <c r="AB704" s="80"/>
    </row>
    <row r="705" spans="4:28" ht="14.25" customHeight="1"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16"/>
      <c r="U705" s="80"/>
      <c r="V705" s="80"/>
      <c r="W705" s="80"/>
      <c r="X705" s="80"/>
      <c r="Y705" s="80"/>
      <c r="Z705" s="80"/>
      <c r="AA705" s="80"/>
      <c r="AB705" s="80"/>
    </row>
    <row r="706" spans="4:28" ht="14.25" customHeight="1"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16"/>
      <c r="U706" s="80"/>
      <c r="V706" s="80"/>
      <c r="W706" s="80"/>
      <c r="X706" s="80"/>
      <c r="Y706" s="80"/>
      <c r="Z706" s="80"/>
      <c r="AA706" s="80"/>
      <c r="AB706" s="80"/>
    </row>
    <row r="707" spans="4:28" ht="14.25" customHeight="1"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16"/>
      <c r="U707" s="80"/>
      <c r="V707" s="80"/>
      <c r="W707" s="80"/>
      <c r="X707" s="80"/>
      <c r="Y707" s="80"/>
      <c r="Z707" s="80"/>
      <c r="AA707" s="80"/>
      <c r="AB707" s="80"/>
    </row>
    <row r="708" spans="4:28" ht="14.25" customHeight="1"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16"/>
      <c r="U708" s="80"/>
      <c r="V708" s="80"/>
      <c r="W708" s="80"/>
      <c r="X708" s="80"/>
      <c r="Y708" s="80"/>
      <c r="Z708" s="80"/>
      <c r="AA708" s="80"/>
      <c r="AB708" s="80"/>
    </row>
    <row r="709" spans="4:28" ht="14.25" customHeight="1"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16"/>
      <c r="U709" s="80"/>
      <c r="V709" s="80"/>
      <c r="W709" s="80"/>
      <c r="X709" s="80"/>
      <c r="Y709" s="80"/>
      <c r="Z709" s="80"/>
      <c r="AA709" s="80"/>
      <c r="AB709" s="80"/>
    </row>
    <row r="710" spans="4:28" ht="14.25" customHeight="1"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16"/>
      <c r="U710" s="80"/>
      <c r="V710" s="80"/>
      <c r="W710" s="80"/>
      <c r="X710" s="80"/>
      <c r="Y710" s="80"/>
      <c r="Z710" s="80"/>
      <c r="AA710" s="80"/>
      <c r="AB710" s="80"/>
    </row>
    <row r="711" spans="4:28" ht="14.25" customHeight="1"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16"/>
      <c r="U711" s="80"/>
      <c r="V711" s="80"/>
      <c r="W711" s="80"/>
      <c r="X711" s="80"/>
      <c r="Y711" s="80"/>
      <c r="Z711" s="80"/>
      <c r="AA711" s="80"/>
      <c r="AB711" s="80"/>
    </row>
    <row r="712" spans="4:28" ht="14.25" customHeight="1"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16"/>
      <c r="U712" s="80"/>
      <c r="V712" s="80"/>
      <c r="W712" s="80"/>
      <c r="X712" s="80"/>
      <c r="Y712" s="80"/>
      <c r="Z712" s="80"/>
      <c r="AA712" s="80"/>
      <c r="AB712" s="80"/>
    </row>
    <row r="713" spans="4:28" ht="14.25" customHeight="1"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16"/>
      <c r="U713" s="80"/>
      <c r="V713" s="80"/>
      <c r="W713" s="80"/>
      <c r="X713" s="80"/>
      <c r="Y713" s="80"/>
      <c r="Z713" s="80"/>
      <c r="AA713" s="80"/>
      <c r="AB713" s="80"/>
    </row>
    <row r="714" spans="4:28" ht="14.25" customHeight="1"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16"/>
      <c r="U714" s="80"/>
      <c r="V714" s="80"/>
      <c r="W714" s="80"/>
      <c r="X714" s="80"/>
      <c r="Y714" s="80"/>
      <c r="Z714" s="80"/>
      <c r="AA714" s="80"/>
      <c r="AB714" s="80"/>
    </row>
    <row r="715" spans="4:28" ht="14.25" customHeight="1"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16"/>
      <c r="U715" s="80"/>
      <c r="V715" s="80"/>
      <c r="W715" s="80"/>
      <c r="X715" s="80"/>
      <c r="Y715" s="80"/>
      <c r="Z715" s="80"/>
      <c r="AA715" s="80"/>
      <c r="AB715" s="80"/>
    </row>
    <row r="716" spans="4:28" ht="14.25" customHeight="1"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16"/>
      <c r="U716" s="80"/>
      <c r="V716" s="80"/>
      <c r="W716" s="80"/>
      <c r="X716" s="80"/>
      <c r="Y716" s="80"/>
      <c r="Z716" s="80"/>
      <c r="AA716" s="80"/>
      <c r="AB716" s="80"/>
    </row>
    <row r="717" spans="4:28" ht="14.25" customHeight="1"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16"/>
      <c r="U717" s="80"/>
      <c r="V717" s="80"/>
      <c r="W717" s="80"/>
      <c r="X717" s="80"/>
      <c r="Y717" s="80"/>
      <c r="Z717" s="80"/>
      <c r="AA717" s="80"/>
      <c r="AB717" s="80"/>
    </row>
    <row r="718" spans="4:28" ht="14.25" customHeight="1"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16"/>
      <c r="U718" s="80"/>
      <c r="V718" s="80"/>
      <c r="W718" s="80"/>
      <c r="X718" s="80"/>
      <c r="Y718" s="80"/>
      <c r="Z718" s="80"/>
      <c r="AA718" s="80"/>
      <c r="AB718" s="80"/>
    </row>
    <row r="719" spans="4:28" ht="14.25" customHeight="1"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16"/>
      <c r="U719" s="80"/>
      <c r="V719" s="80"/>
      <c r="W719" s="80"/>
      <c r="X719" s="80"/>
      <c r="Y719" s="80"/>
      <c r="Z719" s="80"/>
      <c r="AA719" s="80"/>
      <c r="AB719" s="80"/>
    </row>
    <row r="720" spans="4:28" ht="14.25" customHeight="1"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16"/>
      <c r="U720" s="80"/>
      <c r="V720" s="80"/>
      <c r="W720" s="80"/>
      <c r="X720" s="80"/>
      <c r="Y720" s="80"/>
      <c r="Z720" s="80"/>
      <c r="AA720" s="80"/>
      <c r="AB720" s="80"/>
    </row>
    <row r="721" spans="4:28" ht="14.25" customHeight="1"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16"/>
      <c r="U721" s="80"/>
      <c r="V721" s="80"/>
      <c r="W721" s="80"/>
      <c r="X721" s="80"/>
      <c r="Y721" s="80"/>
      <c r="Z721" s="80"/>
      <c r="AA721" s="80"/>
      <c r="AB721" s="80"/>
    </row>
    <row r="722" spans="4:28" ht="14.25" customHeight="1"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16"/>
      <c r="U722" s="80"/>
      <c r="V722" s="80"/>
      <c r="W722" s="80"/>
      <c r="X722" s="80"/>
      <c r="Y722" s="80"/>
      <c r="Z722" s="80"/>
      <c r="AA722" s="80"/>
      <c r="AB722" s="80"/>
    </row>
    <row r="723" spans="4:28" ht="14.25" customHeight="1"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16"/>
      <c r="U723" s="80"/>
      <c r="V723" s="80"/>
      <c r="W723" s="80"/>
      <c r="X723" s="80"/>
      <c r="Y723" s="80"/>
      <c r="Z723" s="80"/>
      <c r="AA723" s="80"/>
      <c r="AB723" s="80"/>
    </row>
    <row r="724" spans="4:28" ht="14.25" customHeight="1"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16"/>
      <c r="U724" s="80"/>
      <c r="V724" s="80"/>
      <c r="W724" s="80"/>
      <c r="X724" s="80"/>
      <c r="Y724" s="80"/>
      <c r="Z724" s="80"/>
      <c r="AA724" s="80"/>
      <c r="AB724" s="80"/>
    </row>
    <row r="725" spans="4:28" ht="14.25" customHeight="1"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16"/>
      <c r="U725" s="80"/>
      <c r="V725" s="80"/>
      <c r="W725" s="80"/>
      <c r="X725" s="80"/>
      <c r="Y725" s="80"/>
      <c r="Z725" s="80"/>
      <c r="AA725" s="80"/>
      <c r="AB725" s="80"/>
    </row>
    <row r="726" spans="4:28" ht="14.25" customHeight="1"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16"/>
      <c r="U726" s="80"/>
      <c r="V726" s="80"/>
      <c r="W726" s="80"/>
      <c r="X726" s="80"/>
      <c r="Y726" s="80"/>
      <c r="Z726" s="80"/>
      <c r="AA726" s="80"/>
      <c r="AB726" s="80"/>
    </row>
    <row r="727" spans="4:28" ht="14.25" customHeight="1"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16"/>
      <c r="U727" s="80"/>
      <c r="V727" s="80"/>
      <c r="W727" s="80"/>
      <c r="X727" s="80"/>
      <c r="Y727" s="80"/>
      <c r="Z727" s="80"/>
      <c r="AA727" s="80"/>
      <c r="AB727" s="80"/>
    </row>
    <row r="728" spans="4:28" ht="14.25" customHeight="1"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16"/>
      <c r="U728" s="80"/>
      <c r="V728" s="80"/>
      <c r="W728" s="80"/>
      <c r="X728" s="80"/>
      <c r="Y728" s="80"/>
      <c r="Z728" s="80"/>
      <c r="AA728" s="80"/>
      <c r="AB728" s="80"/>
    </row>
    <row r="729" spans="4:28" ht="14.25" customHeight="1"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16"/>
      <c r="U729" s="80"/>
      <c r="V729" s="80"/>
      <c r="W729" s="80"/>
      <c r="X729" s="80"/>
      <c r="Y729" s="80"/>
      <c r="Z729" s="80"/>
      <c r="AA729" s="80"/>
      <c r="AB729" s="80"/>
    </row>
    <row r="730" spans="4:28" ht="14.25" customHeight="1"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16"/>
      <c r="U730" s="80"/>
      <c r="V730" s="80"/>
      <c r="W730" s="80"/>
      <c r="X730" s="80"/>
      <c r="Y730" s="80"/>
      <c r="Z730" s="80"/>
      <c r="AA730" s="80"/>
      <c r="AB730" s="80"/>
    </row>
    <row r="731" spans="4:28" ht="14.25" customHeight="1"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16"/>
      <c r="U731" s="80"/>
      <c r="V731" s="80"/>
      <c r="W731" s="80"/>
      <c r="X731" s="80"/>
      <c r="Y731" s="80"/>
      <c r="Z731" s="80"/>
      <c r="AA731" s="80"/>
      <c r="AB731" s="80"/>
    </row>
    <row r="732" spans="4:28" ht="14.25" customHeight="1"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16"/>
      <c r="U732" s="80"/>
      <c r="V732" s="80"/>
      <c r="W732" s="80"/>
      <c r="X732" s="80"/>
      <c r="Y732" s="80"/>
      <c r="Z732" s="80"/>
      <c r="AA732" s="80"/>
      <c r="AB732" s="80"/>
    </row>
    <row r="733" spans="4:28" ht="14.25" customHeight="1"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16"/>
      <c r="U733" s="80"/>
      <c r="V733" s="80"/>
      <c r="W733" s="80"/>
      <c r="X733" s="80"/>
      <c r="Y733" s="80"/>
      <c r="Z733" s="80"/>
      <c r="AA733" s="80"/>
      <c r="AB733" s="80"/>
    </row>
    <row r="734" spans="4:28" ht="14.25" customHeight="1"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16"/>
      <c r="U734" s="80"/>
      <c r="V734" s="80"/>
      <c r="W734" s="80"/>
      <c r="X734" s="80"/>
      <c r="Y734" s="80"/>
      <c r="Z734" s="80"/>
      <c r="AA734" s="80"/>
      <c r="AB734" s="80"/>
    </row>
    <row r="735" spans="4:28" ht="14.25" customHeight="1"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16"/>
      <c r="U735" s="80"/>
      <c r="V735" s="80"/>
      <c r="W735" s="80"/>
      <c r="X735" s="80"/>
      <c r="Y735" s="80"/>
      <c r="Z735" s="80"/>
      <c r="AA735" s="80"/>
      <c r="AB735" s="80"/>
    </row>
    <row r="736" spans="4:28" ht="14.25" customHeight="1"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16"/>
      <c r="U736" s="80"/>
      <c r="V736" s="80"/>
      <c r="W736" s="80"/>
      <c r="X736" s="80"/>
      <c r="Y736" s="80"/>
      <c r="Z736" s="80"/>
      <c r="AA736" s="80"/>
      <c r="AB736" s="80"/>
    </row>
    <row r="737" spans="4:28" ht="14.25" customHeight="1"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16"/>
      <c r="U737" s="80"/>
      <c r="V737" s="80"/>
      <c r="W737" s="80"/>
      <c r="X737" s="80"/>
      <c r="Y737" s="80"/>
      <c r="Z737" s="80"/>
      <c r="AA737" s="80"/>
      <c r="AB737" s="80"/>
    </row>
    <row r="738" spans="4:28" ht="14.25" customHeight="1"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16"/>
      <c r="U738" s="80"/>
      <c r="V738" s="80"/>
      <c r="W738" s="80"/>
      <c r="X738" s="80"/>
      <c r="Y738" s="80"/>
      <c r="Z738" s="80"/>
      <c r="AA738" s="80"/>
      <c r="AB738" s="80"/>
    </row>
    <row r="739" spans="4:28" ht="14.25" customHeight="1"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16"/>
      <c r="U739" s="80"/>
      <c r="V739" s="80"/>
      <c r="W739" s="80"/>
      <c r="X739" s="80"/>
      <c r="Y739" s="80"/>
      <c r="Z739" s="80"/>
      <c r="AA739" s="80"/>
      <c r="AB739" s="80"/>
    </row>
    <row r="740" spans="4:28" ht="14.25" customHeight="1"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16"/>
      <c r="U740" s="80"/>
      <c r="V740" s="80"/>
      <c r="W740" s="80"/>
      <c r="X740" s="80"/>
      <c r="Y740" s="80"/>
      <c r="Z740" s="80"/>
      <c r="AA740" s="80"/>
      <c r="AB740" s="80"/>
    </row>
    <row r="741" spans="4:28" ht="14.25" customHeight="1"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16"/>
      <c r="U741" s="80"/>
      <c r="V741" s="80"/>
      <c r="W741" s="80"/>
      <c r="X741" s="80"/>
      <c r="Y741" s="80"/>
      <c r="Z741" s="80"/>
      <c r="AA741" s="80"/>
      <c r="AB741" s="80"/>
    </row>
    <row r="742" spans="4:28" ht="14.25" customHeight="1"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16"/>
      <c r="U742" s="80"/>
      <c r="V742" s="80"/>
      <c r="W742" s="80"/>
      <c r="X742" s="80"/>
      <c r="Y742" s="80"/>
      <c r="Z742" s="80"/>
      <c r="AA742" s="80"/>
      <c r="AB742" s="80"/>
    </row>
    <row r="743" spans="4:28" ht="14.25" customHeight="1"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16"/>
      <c r="U743" s="80"/>
      <c r="V743" s="80"/>
      <c r="W743" s="80"/>
      <c r="X743" s="80"/>
      <c r="Y743" s="80"/>
      <c r="Z743" s="80"/>
      <c r="AA743" s="80"/>
      <c r="AB743" s="80"/>
    </row>
    <row r="744" spans="4:28" ht="14.25" customHeight="1"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16"/>
      <c r="U744" s="80"/>
      <c r="V744" s="80"/>
      <c r="W744" s="80"/>
      <c r="X744" s="80"/>
      <c r="Y744" s="80"/>
      <c r="Z744" s="80"/>
      <c r="AA744" s="80"/>
      <c r="AB744" s="80"/>
    </row>
    <row r="745" spans="4:28" ht="14.25" customHeight="1"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16"/>
      <c r="U745" s="80"/>
      <c r="V745" s="80"/>
      <c r="W745" s="80"/>
      <c r="X745" s="80"/>
      <c r="Y745" s="80"/>
      <c r="Z745" s="80"/>
      <c r="AA745" s="80"/>
      <c r="AB745" s="80"/>
    </row>
    <row r="746" spans="4:28" ht="14.25" customHeight="1"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16"/>
      <c r="U746" s="80"/>
      <c r="V746" s="80"/>
      <c r="W746" s="80"/>
      <c r="X746" s="80"/>
      <c r="Y746" s="80"/>
      <c r="Z746" s="80"/>
      <c r="AA746" s="80"/>
      <c r="AB746" s="80"/>
    </row>
    <row r="747" spans="4:28" ht="14.25" customHeight="1"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16"/>
      <c r="U747" s="80"/>
      <c r="V747" s="80"/>
      <c r="W747" s="80"/>
      <c r="X747" s="80"/>
      <c r="Y747" s="80"/>
      <c r="Z747" s="80"/>
      <c r="AA747" s="80"/>
      <c r="AB747" s="80"/>
    </row>
    <row r="748" spans="4:28" ht="14.25" customHeight="1"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16"/>
      <c r="U748" s="80"/>
      <c r="V748" s="80"/>
      <c r="W748" s="80"/>
      <c r="X748" s="80"/>
      <c r="Y748" s="80"/>
      <c r="Z748" s="80"/>
      <c r="AA748" s="80"/>
      <c r="AB748" s="80"/>
    </row>
    <row r="749" spans="4:28" ht="14.25" customHeight="1"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16"/>
      <c r="U749" s="80"/>
      <c r="V749" s="80"/>
      <c r="W749" s="80"/>
      <c r="X749" s="80"/>
      <c r="Y749" s="80"/>
      <c r="Z749" s="80"/>
      <c r="AA749" s="80"/>
      <c r="AB749" s="80"/>
    </row>
    <row r="750" spans="4:28" ht="14.25" customHeight="1"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16"/>
      <c r="U750" s="80"/>
      <c r="V750" s="80"/>
      <c r="W750" s="80"/>
      <c r="X750" s="80"/>
      <c r="Y750" s="80"/>
      <c r="Z750" s="80"/>
      <c r="AA750" s="80"/>
      <c r="AB750" s="80"/>
    </row>
    <row r="751" spans="4:28" ht="14.25" customHeight="1"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16"/>
      <c r="U751" s="80"/>
      <c r="V751" s="80"/>
      <c r="W751" s="80"/>
      <c r="X751" s="80"/>
      <c r="Y751" s="80"/>
      <c r="Z751" s="80"/>
      <c r="AA751" s="80"/>
      <c r="AB751" s="80"/>
    </row>
    <row r="752" spans="4:28" ht="14.25" customHeight="1"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16"/>
      <c r="U752" s="80"/>
      <c r="V752" s="80"/>
      <c r="W752" s="80"/>
      <c r="X752" s="80"/>
      <c r="Y752" s="80"/>
      <c r="Z752" s="80"/>
      <c r="AA752" s="80"/>
      <c r="AB752" s="80"/>
    </row>
    <row r="753" spans="4:28" ht="14.25" customHeight="1"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16"/>
      <c r="U753" s="80"/>
      <c r="V753" s="80"/>
      <c r="W753" s="80"/>
      <c r="X753" s="80"/>
      <c r="Y753" s="80"/>
      <c r="Z753" s="80"/>
      <c r="AA753" s="80"/>
      <c r="AB753" s="80"/>
    </row>
    <row r="754" spans="4:28" ht="14.25" customHeight="1"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16"/>
      <c r="U754" s="80"/>
      <c r="V754" s="80"/>
      <c r="W754" s="80"/>
      <c r="X754" s="80"/>
      <c r="Y754" s="80"/>
      <c r="Z754" s="80"/>
      <c r="AA754" s="80"/>
      <c r="AB754" s="80"/>
    </row>
    <row r="755" spans="4:28" ht="14.25" customHeight="1"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16"/>
      <c r="U755" s="80"/>
      <c r="V755" s="80"/>
      <c r="W755" s="80"/>
      <c r="X755" s="80"/>
      <c r="Y755" s="80"/>
      <c r="Z755" s="80"/>
      <c r="AA755" s="80"/>
      <c r="AB755" s="80"/>
    </row>
    <row r="756" spans="4:28" ht="14.25" customHeight="1"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16"/>
      <c r="U756" s="80"/>
      <c r="V756" s="80"/>
      <c r="W756" s="80"/>
      <c r="X756" s="80"/>
      <c r="Y756" s="80"/>
      <c r="Z756" s="80"/>
      <c r="AA756" s="80"/>
      <c r="AB756" s="80"/>
    </row>
    <row r="757" spans="4:28" ht="14.25" customHeight="1"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16"/>
      <c r="U757" s="80"/>
      <c r="V757" s="80"/>
      <c r="W757" s="80"/>
      <c r="X757" s="80"/>
      <c r="Y757" s="80"/>
      <c r="Z757" s="80"/>
      <c r="AA757" s="80"/>
      <c r="AB757" s="80"/>
    </row>
    <row r="758" spans="4:28" ht="14.25" customHeight="1"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16"/>
      <c r="U758" s="80"/>
      <c r="V758" s="80"/>
      <c r="W758" s="80"/>
      <c r="X758" s="80"/>
      <c r="Y758" s="80"/>
      <c r="Z758" s="80"/>
      <c r="AA758" s="80"/>
      <c r="AB758" s="80"/>
    </row>
    <row r="759" spans="4:28" ht="14.25" customHeight="1"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16"/>
      <c r="U759" s="80"/>
      <c r="V759" s="80"/>
      <c r="W759" s="80"/>
      <c r="X759" s="80"/>
      <c r="Y759" s="80"/>
      <c r="Z759" s="80"/>
      <c r="AA759" s="80"/>
      <c r="AB759" s="80"/>
    </row>
    <row r="760" spans="4:28" ht="14.25" customHeight="1"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16"/>
      <c r="U760" s="80"/>
      <c r="V760" s="80"/>
      <c r="W760" s="80"/>
      <c r="X760" s="80"/>
      <c r="Y760" s="80"/>
      <c r="Z760" s="80"/>
      <c r="AA760" s="80"/>
      <c r="AB760" s="80"/>
    </row>
    <row r="761" spans="4:28" ht="14.25" customHeight="1"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16"/>
      <c r="U761" s="80"/>
      <c r="V761" s="80"/>
      <c r="W761" s="80"/>
      <c r="X761" s="80"/>
      <c r="Y761" s="80"/>
      <c r="Z761" s="80"/>
      <c r="AA761" s="80"/>
      <c r="AB761" s="80"/>
    </row>
    <row r="762" spans="4:28" ht="14.25" customHeight="1"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16"/>
      <c r="U762" s="80"/>
      <c r="V762" s="80"/>
      <c r="W762" s="80"/>
      <c r="X762" s="80"/>
      <c r="Y762" s="80"/>
      <c r="Z762" s="80"/>
      <c r="AA762" s="80"/>
      <c r="AB762" s="80"/>
    </row>
    <row r="763" spans="4:28" ht="14.25" customHeight="1"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16"/>
      <c r="U763" s="80"/>
      <c r="V763" s="80"/>
      <c r="W763" s="80"/>
      <c r="X763" s="80"/>
      <c r="Y763" s="80"/>
      <c r="Z763" s="80"/>
      <c r="AA763" s="80"/>
      <c r="AB763" s="80"/>
    </row>
    <row r="764" spans="4:28" ht="14.25" customHeight="1"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16"/>
      <c r="U764" s="80"/>
      <c r="V764" s="80"/>
      <c r="W764" s="80"/>
      <c r="X764" s="80"/>
      <c r="Y764" s="80"/>
      <c r="Z764" s="80"/>
      <c r="AA764" s="80"/>
      <c r="AB764" s="80"/>
    </row>
    <row r="765" spans="4:28" ht="14.25" customHeight="1"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16"/>
      <c r="U765" s="80"/>
      <c r="V765" s="80"/>
      <c r="W765" s="80"/>
      <c r="X765" s="80"/>
      <c r="Y765" s="80"/>
      <c r="Z765" s="80"/>
      <c r="AA765" s="80"/>
      <c r="AB765" s="80"/>
    </row>
    <row r="766" spans="4:28" ht="14.25" customHeight="1"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16"/>
      <c r="U766" s="80"/>
      <c r="V766" s="80"/>
      <c r="W766" s="80"/>
      <c r="X766" s="80"/>
      <c r="Y766" s="80"/>
      <c r="Z766" s="80"/>
      <c r="AA766" s="80"/>
      <c r="AB766" s="80"/>
    </row>
    <row r="767" spans="4:28" ht="14.25" customHeight="1"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16"/>
      <c r="U767" s="80"/>
      <c r="V767" s="80"/>
      <c r="W767" s="80"/>
      <c r="X767" s="80"/>
      <c r="Y767" s="80"/>
      <c r="Z767" s="80"/>
      <c r="AA767" s="80"/>
      <c r="AB767" s="80"/>
    </row>
    <row r="768" spans="4:28" ht="14.25" customHeight="1"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16"/>
      <c r="U768" s="80"/>
      <c r="V768" s="80"/>
      <c r="W768" s="80"/>
      <c r="X768" s="80"/>
      <c r="Y768" s="80"/>
      <c r="Z768" s="80"/>
      <c r="AA768" s="80"/>
      <c r="AB768" s="80"/>
    </row>
    <row r="769" spans="4:28" ht="14.25" customHeight="1"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16"/>
      <c r="U769" s="80"/>
      <c r="V769" s="80"/>
      <c r="W769" s="80"/>
      <c r="X769" s="80"/>
      <c r="Y769" s="80"/>
      <c r="Z769" s="80"/>
      <c r="AA769" s="80"/>
      <c r="AB769" s="80"/>
    </row>
    <row r="770" spans="4:28" ht="14.25" customHeight="1"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16"/>
      <c r="U770" s="80"/>
      <c r="V770" s="80"/>
      <c r="W770" s="80"/>
      <c r="X770" s="80"/>
      <c r="Y770" s="80"/>
      <c r="Z770" s="80"/>
      <c r="AA770" s="80"/>
      <c r="AB770" s="80"/>
    </row>
    <row r="771" spans="4:28" ht="14.25" customHeight="1"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16"/>
      <c r="U771" s="80"/>
      <c r="V771" s="80"/>
      <c r="W771" s="80"/>
      <c r="X771" s="80"/>
      <c r="Y771" s="80"/>
      <c r="Z771" s="80"/>
      <c r="AA771" s="80"/>
      <c r="AB771" s="80"/>
    </row>
    <row r="772" spans="4:28" ht="14.25" customHeight="1"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16"/>
      <c r="U772" s="80"/>
      <c r="V772" s="80"/>
      <c r="W772" s="80"/>
      <c r="X772" s="80"/>
      <c r="Y772" s="80"/>
      <c r="Z772" s="80"/>
      <c r="AA772" s="80"/>
      <c r="AB772" s="80"/>
    </row>
    <row r="773" spans="4:28" ht="14.25" customHeight="1"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16"/>
      <c r="U773" s="80"/>
      <c r="V773" s="80"/>
      <c r="W773" s="80"/>
      <c r="X773" s="80"/>
      <c r="Y773" s="80"/>
      <c r="Z773" s="80"/>
      <c r="AA773" s="80"/>
      <c r="AB773" s="80"/>
    </row>
    <row r="774" spans="4:28" ht="14.25" customHeight="1"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16"/>
      <c r="U774" s="80"/>
      <c r="V774" s="80"/>
      <c r="W774" s="80"/>
      <c r="X774" s="80"/>
      <c r="Y774" s="80"/>
      <c r="Z774" s="80"/>
      <c r="AA774" s="80"/>
      <c r="AB774" s="80"/>
    </row>
    <row r="775" spans="4:28" ht="14.25" customHeight="1"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16"/>
      <c r="U775" s="80"/>
      <c r="V775" s="80"/>
      <c r="W775" s="80"/>
      <c r="X775" s="80"/>
      <c r="Y775" s="80"/>
      <c r="Z775" s="80"/>
      <c r="AA775" s="80"/>
      <c r="AB775" s="80"/>
    </row>
    <row r="776" spans="4:28" ht="14.25" customHeight="1"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16"/>
      <c r="U776" s="80"/>
      <c r="V776" s="80"/>
      <c r="W776" s="80"/>
      <c r="X776" s="80"/>
      <c r="Y776" s="80"/>
      <c r="Z776" s="80"/>
      <c r="AA776" s="80"/>
      <c r="AB776" s="80"/>
    </row>
    <row r="777" spans="4:28" ht="14.25" customHeight="1"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16"/>
      <c r="U777" s="80"/>
      <c r="V777" s="80"/>
      <c r="W777" s="80"/>
      <c r="X777" s="80"/>
      <c r="Y777" s="80"/>
      <c r="Z777" s="80"/>
      <c r="AA777" s="80"/>
      <c r="AB777" s="80"/>
    </row>
    <row r="778" spans="4:28" ht="14.25" customHeight="1"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16"/>
      <c r="U778" s="80"/>
      <c r="V778" s="80"/>
      <c r="W778" s="80"/>
      <c r="X778" s="80"/>
      <c r="Y778" s="80"/>
      <c r="Z778" s="80"/>
      <c r="AA778" s="80"/>
      <c r="AB778" s="80"/>
    </row>
    <row r="779" spans="4:28" ht="14.25" customHeight="1"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16"/>
      <c r="U779" s="80"/>
      <c r="V779" s="80"/>
      <c r="W779" s="80"/>
      <c r="X779" s="80"/>
      <c r="Y779" s="80"/>
      <c r="Z779" s="80"/>
      <c r="AA779" s="80"/>
      <c r="AB779" s="80"/>
    </row>
    <row r="780" spans="4:28" ht="14.25" customHeight="1"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16"/>
      <c r="U780" s="80"/>
      <c r="V780" s="80"/>
      <c r="W780" s="80"/>
      <c r="X780" s="80"/>
      <c r="Y780" s="80"/>
      <c r="Z780" s="80"/>
      <c r="AA780" s="80"/>
      <c r="AB780" s="80"/>
    </row>
    <row r="781" spans="4:28" ht="14.25" customHeight="1"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16"/>
      <c r="U781" s="80"/>
      <c r="V781" s="80"/>
      <c r="W781" s="80"/>
      <c r="X781" s="80"/>
      <c r="Y781" s="80"/>
      <c r="Z781" s="80"/>
      <c r="AA781" s="80"/>
      <c r="AB781" s="80"/>
    </row>
    <row r="782" spans="4:28" ht="14.25" customHeight="1"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16"/>
      <c r="U782" s="80"/>
      <c r="V782" s="80"/>
      <c r="W782" s="80"/>
      <c r="X782" s="80"/>
      <c r="Y782" s="80"/>
      <c r="Z782" s="80"/>
      <c r="AA782" s="80"/>
      <c r="AB782" s="80"/>
    </row>
    <row r="783" spans="4:28" ht="14.25" customHeight="1"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16"/>
      <c r="U783" s="80"/>
      <c r="V783" s="80"/>
      <c r="W783" s="80"/>
      <c r="X783" s="80"/>
      <c r="Y783" s="80"/>
      <c r="Z783" s="80"/>
      <c r="AA783" s="80"/>
      <c r="AB783" s="80"/>
    </row>
    <row r="784" spans="4:28" ht="14.25" customHeight="1"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16"/>
      <c r="U784" s="80"/>
      <c r="V784" s="80"/>
      <c r="W784" s="80"/>
      <c r="X784" s="80"/>
      <c r="Y784" s="80"/>
      <c r="Z784" s="80"/>
      <c r="AA784" s="80"/>
      <c r="AB784" s="80"/>
    </row>
    <row r="785" spans="4:28" ht="14.25" customHeight="1"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16"/>
      <c r="U785" s="80"/>
      <c r="V785" s="80"/>
      <c r="W785" s="80"/>
      <c r="X785" s="80"/>
      <c r="Y785" s="80"/>
      <c r="Z785" s="80"/>
      <c r="AA785" s="80"/>
      <c r="AB785" s="80"/>
    </row>
    <row r="786" spans="4:28" ht="14.25" customHeight="1"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16"/>
      <c r="U786" s="80"/>
      <c r="V786" s="80"/>
      <c r="W786" s="80"/>
      <c r="X786" s="80"/>
      <c r="Y786" s="80"/>
      <c r="Z786" s="80"/>
      <c r="AA786" s="80"/>
      <c r="AB786" s="80"/>
    </row>
    <row r="787" spans="4:28" ht="14.25" customHeight="1"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16"/>
      <c r="U787" s="80"/>
      <c r="V787" s="80"/>
      <c r="W787" s="80"/>
      <c r="X787" s="80"/>
      <c r="Y787" s="80"/>
      <c r="Z787" s="80"/>
      <c r="AA787" s="80"/>
      <c r="AB787" s="80"/>
    </row>
    <row r="788" spans="4:28" ht="14.25" customHeight="1"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16"/>
      <c r="U788" s="80"/>
      <c r="V788" s="80"/>
      <c r="W788" s="80"/>
      <c r="X788" s="80"/>
      <c r="Y788" s="80"/>
      <c r="Z788" s="80"/>
      <c r="AA788" s="80"/>
      <c r="AB788" s="80"/>
    </row>
    <row r="789" spans="4:28" ht="14.25" customHeight="1"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16"/>
      <c r="U789" s="80"/>
      <c r="V789" s="80"/>
      <c r="W789" s="80"/>
      <c r="X789" s="80"/>
      <c r="Y789" s="80"/>
      <c r="Z789" s="80"/>
      <c r="AA789" s="80"/>
      <c r="AB789" s="80"/>
    </row>
    <row r="790" spans="4:28" ht="14.25" customHeight="1"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16"/>
      <c r="U790" s="80"/>
      <c r="V790" s="80"/>
      <c r="W790" s="80"/>
      <c r="X790" s="80"/>
      <c r="Y790" s="80"/>
      <c r="Z790" s="80"/>
      <c r="AA790" s="80"/>
      <c r="AB790" s="80"/>
    </row>
    <row r="791" spans="4:28" ht="14.25" customHeight="1"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16"/>
      <c r="U791" s="80"/>
      <c r="V791" s="80"/>
      <c r="W791" s="80"/>
      <c r="X791" s="80"/>
      <c r="Y791" s="80"/>
      <c r="Z791" s="80"/>
      <c r="AA791" s="80"/>
      <c r="AB791" s="80"/>
    </row>
    <row r="792" spans="4:28" ht="14.25" customHeight="1"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16"/>
      <c r="U792" s="80"/>
      <c r="V792" s="80"/>
      <c r="W792" s="80"/>
      <c r="X792" s="80"/>
      <c r="Y792" s="80"/>
      <c r="Z792" s="80"/>
      <c r="AA792" s="80"/>
      <c r="AB792" s="80"/>
    </row>
    <row r="793" spans="4:28" ht="14.25" customHeight="1"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16"/>
      <c r="U793" s="80"/>
      <c r="V793" s="80"/>
      <c r="W793" s="80"/>
      <c r="X793" s="80"/>
      <c r="Y793" s="80"/>
      <c r="Z793" s="80"/>
      <c r="AA793" s="80"/>
      <c r="AB793" s="80"/>
    </row>
    <row r="794" spans="4:28" ht="14.25" customHeight="1"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16"/>
      <c r="U794" s="80"/>
      <c r="V794" s="80"/>
      <c r="W794" s="80"/>
      <c r="X794" s="80"/>
      <c r="Y794" s="80"/>
      <c r="Z794" s="80"/>
      <c r="AA794" s="80"/>
      <c r="AB794" s="80"/>
    </row>
    <row r="795" spans="4:28" ht="14.25" customHeight="1"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16"/>
      <c r="U795" s="80"/>
      <c r="V795" s="80"/>
      <c r="W795" s="80"/>
      <c r="X795" s="80"/>
      <c r="Y795" s="80"/>
      <c r="Z795" s="80"/>
      <c r="AA795" s="80"/>
      <c r="AB795" s="80"/>
    </row>
    <row r="796" spans="4:28" ht="14.25" customHeight="1"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16"/>
      <c r="U796" s="80"/>
      <c r="V796" s="80"/>
      <c r="W796" s="80"/>
      <c r="X796" s="80"/>
      <c r="Y796" s="80"/>
      <c r="Z796" s="80"/>
      <c r="AA796" s="80"/>
      <c r="AB796" s="80"/>
    </row>
    <row r="797" spans="4:28" ht="14.25" customHeight="1"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16"/>
      <c r="U797" s="80"/>
      <c r="V797" s="80"/>
      <c r="W797" s="80"/>
      <c r="X797" s="80"/>
      <c r="Y797" s="80"/>
      <c r="Z797" s="80"/>
      <c r="AA797" s="80"/>
      <c r="AB797" s="80"/>
    </row>
    <row r="798" spans="4:28" ht="14.25" customHeight="1"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16"/>
      <c r="U798" s="80"/>
      <c r="V798" s="80"/>
      <c r="W798" s="80"/>
      <c r="X798" s="80"/>
      <c r="Y798" s="80"/>
      <c r="Z798" s="80"/>
      <c r="AA798" s="80"/>
      <c r="AB798" s="80"/>
    </row>
    <row r="799" spans="4:28" ht="14.25" customHeight="1"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16"/>
      <c r="U799" s="80"/>
      <c r="V799" s="80"/>
      <c r="W799" s="80"/>
      <c r="X799" s="80"/>
      <c r="Y799" s="80"/>
      <c r="Z799" s="80"/>
      <c r="AA799" s="80"/>
      <c r="AB799" s="80"/>
    </row>
    <row r="800" spans="4:28" ht="14.25" customHeight="1"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16"/>
      <c r="U800" s="80"/>
      <c r="V800" s="80"/>
      <c r="W800" s="80"/>
      <c r="X800" s="80"/>
      <c r="Y800" s="80"/>
      <c r="Z800" s="80"/>
      <c r="AA800" s="80"/>
      <c r="AB800" s="80"/>
    </row>
    <row r="801" spans="4:28" ht="14.25" customHeight="1"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16"/>
      <c r="U801" s="80"/>
      <c r="V801" s="80"/>
      <c r="W801" s="80"/>
      <c r="X801" s="80"/>
      <c r="Y801" s="80"/>
      <c r="Z801" s="80"/>
      <c r="AA801" s="80"/>
      <c r="AB801" s="80"/>
    </row>
    <row r="802" spans="4:28" ht="14.25" customHeight="1"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16"/>
      <c r="U802" s="80"/>
      <c r="V802" s="80"/>
      <c r="W802" s="80"/>
      <c r="X802" s="80"/>
      <c r="Y802" s="80"/>
      <c r="Z802" s="80"/>
      <c r="AA802" s="80"/>
      <c r="AB802" s="80"/>
    </row>
    <row r="803" spans="4:28" ht="14.25" customHeight="1"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16"/>
      <c r="U803" s="80"/>
      <c r="V803" s="80"/>
      <c r="W803" s="80"/>
      <c r="X803" s="80"/>
      <c r="Y803" s="80"/>
      <c r="Z803" s="80"/>
      <c r="AA803" s="80"/>
      <c r="AB803" s="80"/>
    </row>
    <row r="804" spans="4:28" ht="14.25" customHeight="1"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16"/>
      <c r="U804" s="80"/>
      <c r="V804" s="80"/>
      <c r="W804" s="80"/>
      <c r="X804" s="80"/>
      <c r="Y804" s="80"/>
      <c r="Z804" s="80"/>
      <c r="AA804" s="80"/>
      <c r="AB804" s="80"/>
    </row>
    <row r="805" spans="4:28" ht="14.25" customHeight="1"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16"/>
      <c r="U805" s="80"/>
      <c r="V805" s="80"/>
      <c r="W805" s="80"/>
      <c r="X805" s="80"/>
      <c r="Y805" s="80"/>
      <c r="Z805" s="80"/>
      <c r="AA805" s="80"/>
      <c r="AB805" s="80"/>
    </row>
    <row r="806" spans="4:28" ht="14.25" customHeight="1"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16"/>
      <c r="U806" s="80"/>
      <c r="V806" s="80"/>
      <c r="W806" s="80"/>
      <c r="X806" s="80"/>
      <c r="Y806" s="80"/>
      <c r="Z806" s="80"/>
      <c r="AA806" s="80"/>
      <c r="AB806" s="80"/>
    </row>
    <row r="807" spans="4:28" ht="14.25" customHeight="1"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16"/>
      <c r="U807" s="80"/>
      <c r="V807" s="80"/>
      <c r="W807" s="80"/>
      <c r="X807" s="80"/>
      <c r="Y807" s="80"/>
      <c r="Z807" s="80"/>
      <c r="AA807" s="80"/>
      <c r="AB807" s="80"/>
    </row>
    <row r="808" spans="4:28" ht="14.25" customHeight="1"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16"/>
      <c r="U808" s="80"/>
      <c r="V808" s="80"/>
      <c r="W808" s="80"/>
      <c r="X808" s="80"/>
      <c r="Y808" s="80"/>
      <c r="Z808" s="80"/>
      <c r="AA808" s="80"/>
      <c r="AB808" s="80"/>
    </row>
    <row r="809" spans="4:28" ht="14.25" customHeight="1"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16"/>
      <c r="U809" s="80"/>
      <c r="V809" s="80"/>
      <c r="W809" s="80"/>
      <c r="X809" s="80"/>
      <c r="Y809" s="80"/>
      <c r="Z809" s="80"/>
      <c r="AA809" s="80"/>
      <c r="AB809" s="80"/>
    </row>
    <row r="810" spans="4:28" ht="14.25" customHeight="1"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16"/>
      <c r="U810" s="80"/>
      <c r="V810" s="80"/>
      <c r="W810" s="80"/>
      <c r="X810" s="80"/>
      <c r="Y810" s="80"/>
      <c r="Z810" s="80"/>
      <c r="AA810" s="80"/>
      <c r="AB810" s="80"/>
    </row>
    <row r="811" spans="4:28" ht="14.25" customHeight="1"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16"/>
      <c r="U811" s="80"/>
      <c r="V811" s="80"/>
      <c r="W811" s="80"/>
      <c r="X811" s="80"/>
      <c r="Y811" s="80"/>
      <c r="Z811" s="80"/>
      <c r="AA811" s="80"/>
      <c r="AB811" s="80"/>
    </row>
    <row r="812" spans="4:28" ht="14.25" customHeight="1"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16"/>
      <c r="U812" s="80"/>
      <c r="V812" s="80"/>
      <c r="W812" s="80"/>
      <c r="X812" s="80"/>
      <c r="Y812" s="80"/>
      <c r="Z812" s="80"/>
      <c r="AA812" s="80"/>
      <c r="AB812" s="80"/>
    </row>
    <row r="813" spans="4:28" ht="14.25" customHeight="1"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16"/>
      <c r="U813" s="80"/>
      <c r="V813" s="80"/>
      <c r="W813" s="80"/>
      <c r="X813" s="80"/>
      <c r="Y813" s="80"/>
      <c r="Z813" s="80"/>
      <c r="AA813" s="80"/>
      <c r="AB813" s="80"/>
    </row>
    <row r="814" spans="4:28" ht="14.25" customHeight="1"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16"/>
      <c r="U814" s="80"/>
      <c r="V814" s="80"/>
      <c r="W814" s="80"/>
      <c r="X814" s="80"/>
      <c r="Y814" s="80"/>
      <c r="Z814" s="80"/>
      <c r="AA814" s="80"/>
      <c r="AB814" s="80"/>
    </row>
    <row r="815" spans="4:28" ht="14.25" customHeight="1"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16"/>
      <c r="U815" s="80"/>
      <c r="V815" s="80"/>
      <c r="W815" s="80"/>
      <c r="X815" s="80"/>
      <c r="Y815" s="80"/>
      <c r="Z815" s="80"/>
      <c r="AA815" s="80"/>
      <c r="AB815" s="80"/>
    </row>
    <row r="816" spans="4:28" ht="14.25" customHeight="1"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16"/>
      <c r="U816" s="80"/>
      <c r="V816" s="80"/>
      <c r="W816" s="80"/>
      <c r="X816" s="80"/>
      <c r="Y816" s="80"/>
      <c r="Z816" s="80"/>
      <c r="AA816" s="80"/>
      <c r="AB816" s="80"/>
    </row>
    <row r="817" spans="4:28" ht="14.25" customHeight="1"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16"/>
      <c r="U817" s="80"/>
      <c r="V817" s="80"/>
      <c r="W817" s="80"/>
      <c r="X817" s="80"/>
      <c r="Y817" s="80"/>
      <c r="Z817" s="80"/>
      <c r="AA817" s="80"/>
      <c r="AB817" s="80"/>
    </row>
    <row r="818" spans="4:28" ht="14.25" customHeight="1"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16"/>
      <c r="U818" s="80"/>
      <c r="V818" s="80"/>
      <c r="W818" s="80"/>
      <c r="X818" s="80"/>
      <c r="Y818" s="80"/>
      <c r="Z818" s="80"/>
      <c r="AA818" s="80"/>
      <c r="AB818" s="80"/>
    </row>
    <row r="819" spans="4:28" ht="14.25" customHeight="1"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16"/>
      <c r="U819" s="80"/>
      <c r="V819" s="80"/>
      <c r="W819" s="80"/>
      <c r="X819" s="80"/>
      <c r="Y819" s="80"/>
      <c r="Z819" s="80"/>
      <c r="AA819" s="80"/>
      <c r="AB819" s="80"/>
    </row>
    <row r="820" spans="4:28" ht="14.25" customHeight="1"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16"/>
      <c r="U820" s="80"/>
      <c r="V820" s="80"/>
      <c r="W820" s="80"/>
      <c r="X820" s="80"/>
      <c r="Y820" s="80"/>
      <c r="Z820" s="80"/>
      <c r="AA820" s="80"/>
      <c r="AB820" s="80"/>
    </row>
    <row r="821" spans="4:28" ht="14.25" customHeight="1"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16"/>
      <c r="U821" s="80"/>
      <c r="V821" s="80"/>
      <c r="W821" s="80"/>
      <c r="X821" s="80"/>
      <c r="Y821" s="80"/>
      <c r="Z821" s="80"/>
      <c r="AA821" s="80"/>
      <c r="AB821" s="80"/>
    </row>
    <row r="822" spans="4:28" ht="14.25" customHeight="1"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16"/>
      <c r="U822" s="80"/>
      <c r="V822" s="80"/>
      <c r="W822" s="80"/>
      <c r="X822" s="80"/>
      <c r="Y822" s="80"/>
      <c r="Z822" s="80"/>
      <c r="AA822" s="80"/>
      <c r="AB822" s="80"/>
    </row>
    <row r="823" spans="4:28" ht="14.25" customHeight="1"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16"/>
      <c r="U823" s="80"/>
      <c r="V823" s="80"/>
      <c r="W823" s="80"/>
      <c r="X823" s="80"/>
      <c r="Y823" s="80"/>
      <c r="Z823" s="80"/>
      <c r="AA823" s="80"/>
      <c r="AB823" s="80"/>
    </row>
    <row r="824" spans="4:28" ht="14.25" customHeight="1"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16"/>
      <c r="U824" s="80"/>
      <c r="V824" s="80"/>
      <c r="W824" s="80"/>
      <c r="X824" s="80"/>
      <c r="Y824" s="80"/>
      <c r="Z824" s="80"/>
      <c r="AA824" s="80"/>
      <c r="AB824" s="80"/>
    </row>
    <row r="825" spans="4:28" ht="14.25" customHeight="1"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16"/>
      <c r="U825" s="80"/>
      <c r="V825" s="80"/>
      <c r="W825" s="80"/>
      <c r="X825" s="80"/>
      <c r="Y825" s="80"/>
      <c r="Z825" s="80"/>
      <c r="AA825" s="80"/>
      <c r="AB825" s="80"/>
    </row>
    <row r="826" spans="4:28" ht="14.25" customHeight="1"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16"/>
      <c r="U826" s="80"/>
      <c r="V826" s="80"/>
      <c r="W826" s="80"/>
      <c r="X826" s="80"/>
      <c r="Y826" s="80"/>
      <c r="Z826" s="80"/>
      <c r="AA826" s="80"/>
      <c r="AB826" s="80"/>
    </row>
    <row r="827" spans="4:28" ht="14.25" customHeight="1"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16"/>
      <c r="U827" s="80"/>
      <c r="V827" s="80"/>
      <c r="W827" s="80"/>
      <c r="X827" s="80"/>
      <c r="Y827" s="80"/>
      <c r="Z827" s="80"/>
      <c r="AA827" s="80"/>
      <c r="AB827" s="80"/>
    </row>
    <row r="828" spans="4:28" ht="14.25" customHeight="1"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16"/>
      <c r="U828" s="80"/>
      <c r="V828" s="80"/>
      <c r="W828" s="80"/>
      <c r="X828" s="80"/>
      <c r="Y828" s="80"/>
      <c r="Z828" s="80"/>
      <c r="AA828" s="80"/>
      <c r="AB828" s="80"/>
    </row>
    <row r="829" spans="4:28" ht="14.25" customHeight="1"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16"/>
      <c r="U829" s="80"/>
      <c r="V829" s="80"/>
      <c r="W829" s="80"/>
      <c r="X829" s="80"/>
      <c r="Y829" s="80"/>
      <c r="Z829" s="80"/>
      <c r="AA829" s="80"/>
      <c r="AB829" s="80"/>
    </row>
    <row r="830" spans="4:28" ht="14.25" customHeight="1"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16"/>
      <c r="U830" s="80"/>
      <c r="V830" s="80"/>
      <c r="W830" s="80"/>
      <c r="X830" s="80"/>
      <c r="Y830" s="80"/>
      <c r="Z830" s="80"/>
      <c r="AA830" s="80"/>
      <c r="AB830" s="80"/>
    </row>
    <row r="831" spans="4:28" ht="14.25" customHeight="1"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16"/>
      <c r="U831" s="80"/>
      <c r="V831" s="80"/>
      <c r="W831" s="80"/>
      <c r="X831" s="80"/>
      <c r="Y831" s="80"/>
      <c r="Z831" s="80"/>
      <c r="AA831" s="80"/>
      <c r="AB831" s="80"/>
    </row>
    <row r="832" spans="4:28" ht="14.25" customHeight="1"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16"/>
      <c r="U832" s="80"/>
      <c r="V832" s="80"/>
      <c r="W832" s="80"/>
      <c r="X832" s="80"/>
      <c r="Y832" s="80"/>
      <c r="Z832" s="80"/>
      <c r="AA832" s="80"/>
      <c r="AB832" s="80"/>
    </row>
    <row r="833" spans="4:28" ht="14.25" customHeight="1"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16"/>
      <c r="U833" s="80"/>
      <c r="V833" s="80"/>
      <c r="W833" s="80"/>
      <c r="X833" s="80"/>
      <c r="Y833" s="80"/>
      <c r="Z833" s="80"/>
      <c r="AA833" s="80"/>
      <c r="AB833" s="80"/>
    </row>
    <row r="834" spans="4:28" ht="14.25" customHeight="1"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16"/>
      <c r="U834" s="80"/>
      <c r="V834" s="80"/>
      <c r="W834" s="80"/>
      <c r="X834" s="80"/>
      <c r="Y834" s="80"/>
      <c r="Z834" s="80"/>
      <c r="AA834" s="80"/>
      <c r="AB834" s="80"/>
    </row>
    <row r="835" spans="4:28" ht="14.25" customHeight="1"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16"/>
      <c r="U835" s="80"/>
      <c r="V835" s="80"/>
      <c r="W835" s="80"/>
      <c r="X835" s="80"/>
      <c r="Y835" s="80"/>
      <c r="Z835" s="80"/>
      <c r="AA835" s="80"/>
      <c r="AB835" s="80"/>
    </row>
    <row r="836" spans="4:28" ht="14.25" customHeight="1"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16"/>
      <c r="U836" s="80"/>
      <c r="V836" s="80"/>
      <c r="W836" s="80"/>
      <c r="X836" s="80"/>
      <c r="Y836" s="80"/>
      <c r="Z836" s="80"/>
      <c r="AA836" s="80"/>
      <c r="AB836" s="80"/>
    </row>
    <row r="837" spans="4:28" ht="14.25" customHeight="1"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16"/>
      <c r="U837" s="80"/>
      <c r="V837" s="80"/>
      <c r="W837" s="80"/>
      <c r="X837" s="80"/>
      <c r="Y837" s="80"/>
      <c r="Z837" s="80"/>
      <c r="AA837" s="80"/>
      <c r="AB837" s="80"/>
    </row>
    <row r="838" spans="4:28" ht="14.25" customHeight="1"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16"/>
      <c r="U838" s="80"/>
      <c r="V838" s="80"/>
      <c r="W838" s="80"/>
      <c r="X838" s="80"/>
      <c r="Y838" s="80"/>
      <c r="Z838" s="80"/>
      <c r="AA838" s="80"/>
      <c r="AB838" s="80"/>
    </row>
    <row r="839" spans="4:28" ht="14.25" customHeight="1"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16"/>
      <c r="U839" s="80"/>
      <c r="V839" s="80"/>
      <c r="W839" s="80"/>
      <c r="X839" s="80"/>
      <c r="Y839" s="80"/>
      <c r="Z839" s="80"/>
      <c r="AA839" s="80"/>
      <c r="AB839" s="80"/>
    </row>
    <row r="840" spans="4:28" ht="14.25" customHeight="1"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16"/>
      <c r="U840" s="80"/>
      <c r="V840" s="80"/>
      <c r="W840" s="80"/>
      <c r="X840" s="80"/>
      <c r="Y840" s="80"/>
      <c r="Z840" s="80"/>
      <c r="AA840" s="80"/>
      <c r="AB840" s="80"/>
    </row>
    <row r="841" spans="4:28" ht="14.25" customHeight="1"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16"/>
      <c r="U841" s="80"/>
      <c r="V841" s="80"/>
      <c r="W841" s="80"/>
      <c r="X841" s="80"/>
      <c r="Y841" s="80"/>
      <c r="Z841" s="80"/>
      <c r="AA841" s="80"/>
      <c r="AB841" s="80"/>
    </row>
    <row r="842" spans="4:28" ht="14.25" customHeight="1"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16"/>
      <c r="U842" s="80"/>
      <c r="V842" s="80"/>
      <c r="W842" s="80"/>
      <c r="X842" s="80"/>
      <c r="Y842" s="80"/>
      <c r="Z842" s="80"/>
      <c r="AA842" s="80"/>
      <c r="AB842" s="80"/>
    </row>
    <row r="843" spans="4:28" ht="14.25" customHeight="1"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16"/>
      <c r="U843" s="80"/>
      <c r="V843" s="80"/>
      <c r="W843" s="80"/>
      <c r="X843" s="80"/>
      <c r="Y843" s="80"/>
      <c r="Z843" s="80"/>
      <c r="AA843" s="80"/>
      <c r="AB843" s="80"/>
    </row>
    <row r="844" spans="4:28" ht="14.25" customHeight="1"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16"/>
      <c r="U844" s="80"/>
      <c r="V844" s="80"/>
      <c r="W844" s="80"/>
      <c r="X844" s="80"/>
      <c r="Y844" s="80"/>
      <c r="Z844" s="80"/>
      <c r="AA844" s="80"/>
      <c r="AB844" s="80"/>
    </row>
    <row r="845" spans="4:28" ht="14.25" customHeight="1"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16"/>
      <c r="U845" s="80"/>
      <c r="V845" s="80"/>
      <c r="W845" s="80"/>
      <c r="X845" s="80"/>
      <c r="Y845" s="80"/>
      <c r="Z845" s="80"/>
      <c r="AA845" s="80"/>
      <c r="AB845" s="80"/>
    </row>
    <row r="846" spans="4:28" ht="14.25" customHeight="1"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16"/>
      <c r="U846" s="80"/>
      <c r="V846" s="80"/>
      <c r="W846" s="80"/>
      <c r="X846" s="80"/>
      <c r="Y846" s="80"/>
      <c r="Z846" s="80"/>
      <c r="AA846" s="80"/>
      <c r="AB846" s="80"/>
    </row>
    <row r="847" spans="4:28" ht="14.25" customHeight="1"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16"/>
      <c r="U847" s="80"/>
      <c r="V847" s="80"/>
      <c r="W847" s="80"/>
      <c r="X847" s="80"/>
      <c r="Y847" s="80"/>
      <c r="Z847" s="80"/>
      <c r="AA847" s="80"/>
      <c r="AB847" s="80"/>
    </row>
    <row r="848" spans="4:28" ht="14.25" customHeight="1"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16"/>
      <c r="U848" s="80"/>
      <c r="V848" s="80"/>
      <c r="W848" s="80"/>
      <c r="X848" s="80"/>
      <c r="Y848" s="80"/>
      <c r="Z848" s="80"/>
      <c r="AA848" s="80"/>
      <c r="AB848" s="80"/>
    </row>
    <row r="849" spans="4:28" ht="14.25" customHeight="1"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16"/>
      <c r="U849" s="80"/>
      <c r="V849" s="80"/>
      <c r="W849" s="80"/>
      <c r="X849" s="80"/>
      <c r="Y849" s="80"/>
      <c r="Z849" s="80"/>
      <c r="AA849" s="80"/>
      <c r="AB849" s="80"/>
    </row>
    <row r="850" spans="4:28" ht="14.25" customHeight="1"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16"/>
      <c r="U850" s="80"/>
      <c r="V850" s="80"/>
      <c r="W850" s="80"/>
      <c r="X850" s="80"/>
      <c r="Y850" s="80"/>
      <c r="Z850" s="80"/>
      <c r="AA850" s="80"/>
      <c r="AB850" s="80"/>
    </row>
    <row r="851" spans="4:28" ht="14.25" customHeight="1"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16"/>
      <c r="U851" s="80"/>
      <c r="V851" s="80"/>
      <c r="W851" s="80"/>
      <c r="X851" s="80"/>
      <c r="Y851" s="80"/>
      <c r="Z851" s="80"/>
      <c r="AA851" s="80"/>
      <c r="AB851" s="80"/>
    </row>
    <row r="852" spans="4:28" ht="14.25" customHeight="1"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16"/>
      <c r="U852" s="80"/>
      <c r="V852" s="80"/>
      <c r="W852" s="80"/>
      <c r="X852" s="80"/>
      <c r="Y852" s="80"/>
      <c r="Z852" s="80"/>
      <c r="AA852" s="80"/>
      <c r="AB852" s="80"/>
    </row>
    <row r="853" spans="4:28" ht="14.25" customHeight="1"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16"/>
      <c r="U853" s="80"/>
      <c r="V853" s="80"/>
      <c r="W853" s="80"/>
      <c r="X853" s="80"/>
      <c r="Y853" s="80"/>
      <c r="Z853" s="80"/>
      <c r="AA853" s="80"/>
      <c r="AB853" s="80"/>
    </row>
    <row r="854" spans="4:28" ht="14.25" customHeight="1"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16"/>
      <c r="U854" s="80"/>
      <c r="V854" s="80"/>
      <c r="W854" s="80"/>
      <c r="X854" s="80"/>
      <c r="Y854" s="80"/>
      <c r="Z854" s="80"/>
      <c r="AA854" s="80"/>
      <c r="AB854" s="80"/>
    </row>
    <row r="855" spans="4:28" ht="14.25" customHeight="1"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16"/>
      <c r="U855" s="80"/>
      <c r="V855" s="80"/>
      <c r="W855" s="80"/>
      <c r="X855" s="80"/>
      <c r="Y855" s="80"/>
      <c r="Z855" s="80"/>
      <c r="AA855" s="80"/>
      <c r="AB855" s="80"/>
    </row>
    <row r="856" spans="4:28" ht="14.25" customHeight="1"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16"/>
      <c r="U856" s="80"/>
      <c r="V856" s="80"/>
      <c r="W856" s="80"/>
      <c r="X856" s="80"/>
      <c r="Y856" s="80"/>
      <c r="Z856" s="80"/>
      <c r="AA856" s="80"/>
      <c r="AB856" s="80"/>
    </row>
    <row r="857" spans="4:28" ht="14.25" customHeight="1"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16"/>
      <c r="U857" s="80"/>
      <c r="V857" s="80"/>
      <c r="W857" s="80"/>
      <c r="X857" s="80"/>
      <c r="Y857" s="80"/>
      <c r="Z857" s="80"/>
      <c r="AA857" s="80"/>
      <c r="AB857" s="80"/>
    </row>
    <row r="858" spans="4:28" ht="14.25" customHeight="1"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16"/>
      <c r="U858" s="80"/>
      <c r="V858" s="80"/>
      <c r="W858" s="80"/>
      <c r="X858" s="80"/>
      <c r="Y858" s="80"/>
      <c r="Z858" s="80"/>
      <c r="AA858" s="80"/>
      <c r="AB858" s="80"/>
    </row>
    <row r="859" spans="4:28" ht="14.25" customHeight="1"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16"/>
      <c r="U859" s="80"/>
      <c r="V859" s="80"/>
      <c r="W859" s="80"/>
      <c r="X859" s="80"/>
      <c r="Y859" s="80"/>
      <c r="Z859" s="80"/>
      <c r="AA859" s="80"/>
      <c r="AB859" s="80"/>
    </row>
    <row r="860" spans="4:28" ht="14.25" customHeight="1"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16"/>
      <c r="U860" s="80"/>
      <c r="V860" s="80"/>
      <c r="W860" s="80"/>
      <c r="X860" s="80"/>
      <c r="Y860" s="80"/>
      <c r="Z860" s="80"/>
      <c r="AA860" s="80"/>
      <c r="AB860" s="80"/>
    </row>
    <row r="861" spans="4:28" ht="14.25" customHeight="1"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16"/>
      <c r="U861" s="80"/>
      <c r="V861" s="80"/>
      <c r="W861" s="80"/>
      <c r="X861" s="80"/>
      <c r="Y861" s="80"/>
      <c r="Z861" s="80"/>
      <c r="AA861" s="80"/>
      <c r="AB861" s="80"/>
    </row>
    <row r="862" spans="4:28" ht="14.25" customHeight="1"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16"/>
      <c r="U862" s="80"/>
      <c r="V862" s="80"/>
      <c r="W862" s="80"/>
      <c r="X862" s="80"/>
      <c r="Y862" s="80"/>
      <c r="Z862" s="80"/>
      <c r="AA862" s="80"/>
      <c r="AB862" s="80"/>
    </row>
    <row r="863" spans="4:28" ht="14.25" customHeight="1"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16"/>
      <c r="U863" s="80"/>
      <c r="V863" s="80"/>
      <c r="W863" s="80"/>
      <c r="X863" s="80"/>
      <c r="Y863" s="80"/>
      <c r="Z863" s="80"/>
      <c r="AA863" s="80"/>
      <c r="AB863" s="80"/>
    </row>
    <row r="864" spans="4:28" ht="14.25" customHeight="1"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16"/>
      <c r="U864" s="80"/>
      <c r="V864" s="80"/>
      <c r="W864" s="80"/>
      <c r="X864" s="80"/>
      <c r="Y864" s="80"/>
      <c r="Z864" s="80"/>
      <c r="AA864" s="80"/>
      <c r="AB864" s="80"/>
    </row>
    <row r="865" spans="4:28" ht="14.25" customHeight="1"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16"/>
      <c r="U865" s="80"/>
      <c r="V865" s="80"/>
      <c r="W865" s="80"/>
      <c r="X865" s="80"/>
      <c r="Y865" s="80"/>
      <c r="Z865" s="80"/>
      <c r="AA865" s="80"/>
      <c r="AB865" s="80"/>
    </row>
    <row r="866" spans="4:28" ht="14.25" customHeight="1"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16"/>
      <c r="U866" s="80"/>
      <c r="V866" s="80"/>
      <c r="W866" s="80"/>
      <c r="X866" s="80"/>
      <c r="Y866" s="80"/>
      <c r="Z866" s="80"/>
      <c r="AA866" s="80"/>
      <c r="AB866" s="80"/>
    </row>
    <row r="867" spans="4:28" ht="14.25" customHeight="1"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16"/>
      <c r="U867" s="80"/>
      <c r="V867" s="80"/>
      <c r="W867" s="80"/>
      <c r="X867" s="80"/>
      <c r="Y867" s="80"/>
      <c r="Z867" s="80"/>
      <c r="AA867" s="80"/>
      <c r="AB867" s="80"/>
    </row>
    <row r="868" spans="4:28" ht="14.25" customHeight="1"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16"/>
      <c r="U868" s="80"/>
      <c r="V868" s="80"/>
      <c r="W868" s="80"/>
      <c r="X868" s="80"/>
      <c r="Y868" s="80"/>
      <c r="Z868" s="80"/>
      <c r="AA868" s="80"/>
      <c r="AB868" s="80"/>
    </row>
    <row r="869" spans="4:28" ht="14.25" customHeight="1"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16"/>
      <c r="U869" s="80"/>
      <c r="V869" s="80"/>
      <c r="W869" s="80"/>
      <c r="X869" s="80"/>
      <c r="Y869" s="80"/>
      <c r="Z869" s="80"/>
      <c r="AA869" s="80"/>
      <c r="AB869" s="80"/>
    </row>
    <row r="870" spans="4:28" ht="14.25" customHeight="1"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16"/>
      <c r="U870" s="80"/>
      <c r="V870" s="80"/>
      <c r="W870" s="80"/>
      <c r="X870" s="80"/>
      <c r="Y870" s="80"/>
      <c r="Z870" s="80"/>
      <c r="AA870" s="80"/>
      <c r="AB870" s="80"/>
    </row>
    <row r="871" spans="4:28" ht="14.25" customHeight="1"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16"/>
      <c r="U871" s="80"/>
      <c r="V871" s="80"/>
      <c r="W871" s="80"/>
      <c r="X871" s="80"/>
      <c r="Y871" s="80"/>
      <c r="Z871" s="80"/>
      <c r="AA871" s="80"/>
      <c r="AB871" s="80"/>
    </row>
    <row r="872" spans="4:28" ht="14.25" customHeight="1"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16"/>
      <c r="U872" s="80"/>
      <c r="V872" s="80"/>
      <c r="W872" s="80"/>
      <c r="X872" s="80"/>
      <c r="Y872" s="80"/>
      <c r="Z872" s="80"/>
      <c r="AA872" s="80"/>
      <c r="AB872" s="80"/>
    </row>
    <row r="873" spans="4:28" ht="14.25" customHeight="1"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16"/>
      <c r="U873" s="80"/>
      <c r="V873" s="80"/>
      <c r="W873" s="80"/>
      <c r="X873" s="80"/>
      <c r="Y873" s="80"/>
      <c r="Z873" s="80"/>
      <c r="AA873" s="80"/>
      <c r="AB873" s="80"/>
    </row>
    <row r="874" spans="4:28" ht="14.25" customHeight="1"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16"/>
      <c r="U874" s="80"/>
      <c r="V874" s="80"/>
      <c r="W874" s="80"/>
      <c r="X874" s="80"/>
      <c r="Y874" s="80"/>
      <c r="Z874" s="80"/>
      <c r="AA874" s="80"/>
      <c r="AB874" s="80"/>
    </row>
    <row r="875" spans="4:28" ht="14.25" customHeight="1"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16"/>
      <c r="U875" s="80"/>
      <c r="V875" s="80"/>
      <c r="W875" s="80"/>
      <c r="X875" s="80"/>
      <c r="Y875" s="80"/>
      <c r="Z875" s="80"/>
      <c r="AA875" s="80"/>
      <c r="AB875" s="80"/>
    </row>
    <row r="876" spans="4:28" ht="14.25" customHeight="1"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16"/>
      <c r="U876" s="80"/>
      <c r="V876" s="80"/>
      <c r="W876" s="80"/>
      <c r="X876" s="80"/>
      <c r="Y876" s="80"/>
      <c r="Z876" s="80"/>
      <c r="AA876" s="80"/>
      <c r="AB876" s="80"/>
    </row>
    <row r="877" spans="4:28" ht="14.25" customHeight="1"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16"/>
      <c r="U877" s="80"/>
      <c r="V877" s="80"/>
      <c r="W877" s="80"/>
      <c r="X877" s="80"/>
      <c r="Y877" s="80"/>
      <c r="Z877" s="80"/>
      <c r="AA877" s="80"/>
      <c r="AB877" s="80"/>
    </row>
    <row r="878" spans="4:28" ht="14.25" customHeight="1"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16"/>
      <c r="U878" s="80"/>
      <c r="V878" s="80"/>
      <c r="W878" s="80"/>
      <c r="X878" s="80"/>
      <c r="Y878" s="80"/>
      <c r="Z878" s="80"/>
      <c r="AA878" s="80"/>
      <c r="AB878" s="80"/>
    </row>
    <row r="879" spans="4:28" ht="14.25" customHeight="1"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16"/>
      <c r="U879" s="80"/>
      <c r="V879" s="80"/>
      <c r="W879" s="80"/>
      <c r="X879" s="80"/>
      <c r="Y879" s="80"/>
      <c r="Z879" s="80"/>
      <c r="AA879" s="80"/>
      <c r="AB879" s="80"/>
    </row>
    <row r="880" spans="4:28" ht="14.25" customHeight="1"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16"/>
      <c r="U880" s="80"/>
      <c r="V880" s="80"/>
      <c r="W880" s="80"/>
      <c r="X880" s="80"/>
      <c r="Y880" s="80"/>
      <c r="Z880" s="80"/>
      <c r="AA880" s="80"/>
      <c r="AB880" s="80"/>
    </row>
    <row r="881" spans="4:28" ht="14.25" customHeight="1"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16"/>
      <c r="U881" s="80"/>
      <c r="V881" s="80"/>
      <c r="W881" s="80"/>
      <c r="X881" s="80"/>
      <c r="Y881" s="80"/>
      <c r="Z881" s="80"/>
      <c r="AA881" s="80"/>
      <c r="AB881" s="80"/>
    </row>
    <row r="882" spans="4:28" ht="14.25" customHeight="1"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16"/>
      <c r="U882" s="80"/>
      <c r="V882" s="80"/>
      <c r="W882" s="80"/>
      <c r="X882" s="80"/>
      <c r="Y882" s="80"/>
      <c r="Z882" s="80"/>
      <c r="AA882" s="80"/>
      <c r="AB882" s="80"/>
    </row>
    <row r="883" spans="4:28" ht="14.25" customHeight="1"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16"/>
      <c r="U883" s="80"/>
      <c r="V883" s="80"/>
      <c r="W883" s="80"/>
      <c r="X883" s="80"/>
      <c r="Y883" s="80"/>
      <c r="Z883" s="80"/>
      <c r="AA883" s="80"/>
      <c r="AB883" s="80"/>
    </row>
    <row r="884" spans="4:28" ht="14.25" customHeight="1"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16"/>
      <c r="U884" s="80"/>
      <c r="V884" s="80"/>
      <c r="W884" s="80"/>
      <c r="X884" s="80"/>
      <c r="Y884" s="80"/>
      <c r="Z884" s="80"/>
      <c r="AA884" s="80"/>
      <c r="AB884" s="80"/>
    </row>
    <row r="885" spans="4:28" ht="14.25" customHeight="1"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16"/>
      <c r="U885" s="80"/>
      <c r="V885" s="80"/>
      <c r="W885" s="80"/>
      <c r="X885" s="80"/>
      <c r="Y885" s="80"/>
      <c r="Z885" s="80"/>
      <c r="AA885" s="80"/>
      <c r="AB885" s="80"/>
    </row>
    <row r="886" spans="4:28" ht="14.25" customHeight="1"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16"/>
      <c r="U886" s="80"/>
      <c r="V886" s="80"/>
      <c r="W886" s="80"/>
      <c r="X886" s="80"/>
      <c r="Y886" s="80"/>
      <c r="Z886" s="80"/>
      <c r="AA886" s="80"/>
      <c r="AB886" s="80"/>
    </row>
    <row r="887" spans="4:28" ht="14.25" customHeight="1"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16"/>
      <c r="U887" s="80"/>
      <c r="V887" s="80"/>
      <c r="W887" s="80"/>
      <c r="X887" s="80"/>
      <c r="Y887" s="80"/>
      <c r="Z887" s="80"/>
      <c r="AA887" s="80"/>
      <c r="AB887" s="80"/>
    </row>
    <row r="888" spans="4:28" ht="14.25" customHeight="1"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16"/>
      <c r="U888" s="80"/>
      <c r="V888" s="80"/>
      <c r="W888" s="80"/>
      <c r="X888" s="80"/>
      <c r="Y888" s="80"/>
      <c r="Z888" s="80"/>
      <c r="AA888" s="80"/>
      <c r="AB888" s="80"/>
    </row>
    <row r="889" spans="4:28" ht="14.25" customHeight="1"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16"/>
      <c r="U889" s="80"/>
      <c r="V889" s="80"/>
      <c r="W889" s="80"/>
      <c r="X889" s="80"/>
      <c r="Y889" s="80"/>
      <c r="Z889" s="80"/>
      <c r="AA889" s="80"/>
      <c r="AB889" s="80"/>
    </row>
    <row r="890" spans="4:28" ht="14.25" customHeight="1"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16"/>
      <c r="U890" s="80"/>
      <c r="V890" s="80"/>
      <c r="W890" s="80"/>
      <c r="X890" s="80"/>
      <c r="Y890" s="80"/>
      <c r="Z890" s="80"/>
      <c r="AA890" s="80"/>
      <c r="AB890" s="80"/>
    </row>
    <row r="891" spans="4:28" ht="14.25" customHeight="1"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16"/>
      <c r="U891" s="80"/>
      <c r="V891" s="80"/>
      <c r="W891" s="80"/>
      <c r="X891" s="80"/>
      <c r="Y891" s="80"/>
      <c r="Z891" s="80"/>
      <c r="AA891" s="80"/>
      <c r="AB891" s="80"/>
    </row>
    <row r="892" spans="4:28" ht="14.25" customHeight="1"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16"/>
      <c r="U892" s="80"/>
      <c r="V892" s="80"/>
      <c r="W892" s="80"/>
      <c r="X892" s="80"/>
      <c r="Y892" s="80"/>
      <c r="Z892" s="80"/>
      <c r="AA892" s="80"/>
      <c r="AB892" s="80"/>
    </row>
    <row r="893" spans="4:28" ht="14.25" customHeight="1"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16"/>
      <c r="U893" s="80"/>
      <c r="V893" s="80"/>
      <c r="W893" s="80"/>
      <c r="X893" s="80"/>
      <c r="Y893" s="80"/>
      <c r="Z893" s="80"/>
      <c r="AA893" s="80"/>
      <c r="AB893" s="80"/>
    </row>
    <row r="894" spans="4:28" ht="14.25" customHeight="1"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16"/>
      <c r="U894" s="80"/>
      <c r="V894" s="80"/>
      <c r="W894" s="80"/>
      <c r="X894" s="80"/>
      <c r="Y894" s="80"/>
      <c r="Z894" s="80"/>
      <c r="AA894" s="80"/>
      <c r="AB894" s="80"/>
    </row>
    <row r="895" spans="4:28" ht="14.25" customHeight="1"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16"/>
      <c r="U895" s="80"/>
      <c r="V895" s="80"/>
      <c r="W895" s="80"/>
      <c r="X895" s="80"/>
      <c r="Y895" s="80"/>
      <c r="Z895" s="80"/>
      <c r="AA895" s="80"/>
      <c r="AB895" s="80"/>
    </row>
    <row r="896" spans="4:28" ht="14.25" customHeight="1"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16"/>
      <c r="U896" s="80"/>
      <c r="V896" s="80"/>
      <c r="W896" s="80"/>
      <c r="X896" s="80"/>
      <c r="Y896" s="80"/>
      <c r="Z896" s="80"/>
      <c r="AA896" s="80"/>
      <c r="AB896" s="80"/>
    </row>
    <row r="897" spans="4:28" ht="14.25" customHeight="1"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16"/>
      <c r="U897" s="80"/>
      <c r="V897" s="80"/>
      <c r="W897" s="80"/>
      <c r="X897" s="80"/>
      <c r="Y897" s="80"/>
      <c r="Z897" s="80"/>
      <c r="AA897" s="80"/>
      <c r="AB897" s="80"/>
    </row>
    <row r="898" spans="4:28" ht="14.25" customHeight="1"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16"/>
      <c r="U898" s="80"/>
      <c r="V898" s="80"/>
      <c r="W898" s="80"/>
      <c r="X898" s="80"/>
      <c r="Y898" s="80"/>
      <c r="Z898" s="80"/>
      <c r="AA898" s="80"/>
      <c r="AB898" s="80"/>
    </row>
    <row r="899" spans="4:28" ht="14.25" customHeight="1"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16"/>
      <c r="U899" s="80"/>
      <c r="V899" s="80"/>
      <c r="W899" s="80"/>
      <c r="X899" s="80"/>
      <c r="Y899" s="80"/>
      <c r="Z899" s="80"/>
      <c r="AA899" s="80"/>
      <c r="AB899" s="80"/>
    </row>
    <row r="900" spans="4:28" ht="14.25" customHeight="1"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16"/>
      <c r="U900" s="80"/>
      <c r="V900" s="80"/>
      <c r="W900" s="80"/>
      <c r="X900" s="80"/>
      <c r="Y900" s="80"/>
      <c r="Z900" s="80"/>
      <c r="AA900" s="80"/>
      <c r="AB900" s="80"/>
    </row>
    <row r="901" spans="4:28" ht="14.25" customHeight="1"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16"/>
      <c r="U901" s="80"/>
      <c r="V901" s="80"/>
      <c r="W901" s="80"/>
      <c r="X901" s="80"/>
      <c r="Y901" s="80"/>
      <c r="Z901" s="80"/>
      <c r="AA901" s="80"/>
      <c r="AB901" s="80"/>
    </row>
    <row r="902" spans="4:28" ht="14.25" customHeight="1"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16"/>
      <c r="U902" s="80"/>
      <c r="V902" s="80"/>
      <c r="W902" s="80"/>
      <c r="X902" s="80"/>
      <c r="Y902" s="80"/>
      <c r="Z902" s="80"/>
      <c r="AA902" s="80"/>
      <c r="AB902" s="80"/>
    </row>
    <row r="903" spans="4:28" ht="14.25" customHeight="1"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16"/>
      <c r="U903" s="80"/>
      <c r="V903" s="80"/>
      <c r="W903" s="80"/>
      <c r="X903" s="80"/>
      <c r="Y903" s="80"/>
      <c r="Z903" s="80"/>
      <c r="AA903" s="80"/>
      <c r="AB903" s="80"/>
    </row>
    <row r="904" spans="4:28" ht="14.25" customHeight="1"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16"/>
      <c r="U904" s="80"/>
      <c r="V904" s="80"/>
      <c r="W904" s="80"/>
      <c r="X904" s="80"/>
      <c r="Y904" s="80"/>
      <c r="Z904" s="80"/>
      <c r="AA904" s="80"/>
      <c r="AB904" s="80"/>
    </row>
    <row r="905" spans="4:28" ht="14.25" customHeight="1"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16"/>
      <c r="U905" s="80"/>
      <c r="V905" s="80"/>
      <c r="W905" s="80"/>
      <c r="X905" s="80"/>
      <c r="Y905" s="80"/>
      <c r="Z905" s="80"/>
      <c r="AA905" s="80"/>
      <c r="AB905" s="80"/>
    </row>
    <row r="906" spans="4:28" ht="14.25" customHeight="1"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16"/>
      <c r="U906" s="80"/>
      <c r="V906" s="80"/>
      <c r="W906" s="80"/>
      <c r="X906" s="80"/>
      <c r="Y906" s="80"/>
      <c r="Z906" s="80"/>
      <c r="AA906" s="80"/>
      <c r="AB906" s="80"/>
    </row>
    <row r="907" spans="4:28" ht="14.25" customHeight="1"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16"/>
      <c r="U907" s="80"/>
      <c r="V907" s="80"/>
      <c r="W907" s="80"/>
      <c r="X907" s="80"/>
      <c r="Y907" s="80"/>
      <c r="Z907" s="80"/>
      <c r="AA907" s="80"/>
      <c r="AB907" s="80"/>
    </row>
    <row r="908" spans="4:28" ht="14.25" customHeight="1"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16"/>
      <c r="U908" s="80"/>
      <c r="V908" s="80"/>
      <c r="W908" s="80"/>
      <c r="X908" s="80"/>
      <c r="Y908" s="80"/>
      <c r="Z908" s="80"/>
      <c r="AA908" s="80"/>
      <c r="AB908" s="80"/>
    </row>
    <row r="909" spans="4:28" ht="14.25" customHeight="1"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16"/>
      <c r="U909" s="80"/>
      <c r="V909" s="80"/>
      <c r="W909" s="80"/>
      <c r="X909" s="80"/>
      <c r="Y909" s="80"/>
      <c r="Z909" s="80"/>
      <c r="AA909" s="80"/>
      <c r="AB909" s="80"/>
    </row>
    <row r="910" spans="4:28" ht="14.25" customHeight="1"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16"/>
      <c r="U910" s="80"/>
      <c r="V910" s="80"/>
      <c r="W910" s="80"/>
      <c r="X910" s="80"/>
      <c r="Y910" s="80"/>
      <c r="Z910" s="80"/>
      <c r="AA910" s="80"/>
      <c r="AB910" s="80"/>
    </row>
    <row r="911" spans="4:28" ht="14.25" customHeight="1"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16"/>
      <c r="U911" s="80"/>
      <c r="V911" s="80"/>
      <c r="W911" s="80"/>
      <c r="X911" s="80"/>
      <c r="Y911" s="80"/>
      <c r="Z911" s="80"/>
      <c r="AA911" s="80"/>
      <c r="AB911" s="80"/>
    </row>
    <row r="912" spans="4:28" ht="14.25" customHeight="1"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16"/>
      <c r="U912" s="80"/>
      <c r="V912" s="80"/>
      <c r="W912" s="80"/>
      <c r="X912" s="80"/>
      <c r="Y912" s="80"/>
      <c r="Z912" s="80"/>
      <c r="AA912" s="80"/>
      <c r="AB912" s="80"/>
    </row>
    <row r="913" spans="4:28" ht="14.25" customHeight="1"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16"/>
      <c r="U913" s="80"/>
      <c r="V913" s="80"/>
      <c r="W913" s="80"/>
      <c r="X913" s="80"/>
      <c r="Y913" s="80"/>
      <c r="Z913" s="80"/>
      <c r="AA913" s="80"/>
      <c r="AB913" s="80"/>
    </row>
    <row r="914" spans="4:28" ht="14.25" customHeight="1"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16"/>
      <c r="U914" s="80"/>
      <c r="V914" s="80"/>
      <c r="W914" s="80"/>
      <c r="X914" s="80"/>
      <c r="Y914" s="80"/>
      <c r="Z914" s="80"/>
      <c r="AA914" s="80"/>
      <c r="AB914" s="80"/>
    </row>
    <row r="915" spans="4:28" ht="14.25" customHeight="1"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16"/>
      <c r="U915" s="80"/>
      <c r="V915" s="80"/>
      <c r="W915" s="80"/>
      <c r="X915" s="80"/>
      <c r="Y915" s="80"/>
      <c r="Z915" s="80"/>
      <c r="AA915" s="80"/>
      <c r="AB915" s="80"/>
    </row>
    <row r="916" spans="4:28" ht="14.25" customHeight="1"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16"/>
      <c r="U916" s="80"/>
      <c r="V916" s="80"/>
      <c r="W916" s="80"/>
      <c r="X916" s="80"/>
      <c r="Y916" s="80"/>
      <c r="Z916" s="80"/>
      <c r="AA916" s="80"/>
      <c r="AB916" s="80"/>
    </row>
    <row r="917" spans="4:28" ht="14.25" customHeight="1"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16"/>
      <c r="U917" s="80"/>
      <c r="V917" s="80"/>
      <c r="W917" s="80"/>
      <c r="X917" s="80"/>
      <c r="Y917" s="80"/>
      <c r="Z917" s="80"/>
      <c r="AA917" s="80"/>
      <c r="AB917" s="80"/>
    </row>
    <row r="918" spans="4:28" ht="14.25" customHeight="1"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16"/>
      <c r="U918" s="80"/>
      <c r="V918" s="80"/>
      <c r="W918" s="80"/>
      <c r="X918" s="80"/>
      <c r="Y918" s="80"/>
      <c r="Z918" s="80"/>
      <c r="AA918" s="80"/>
      <c r="AB918" s="80"/>
    </row>
    <row r="919" spans="4:28" ht="14.25" customHeight="1"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16"/>
      <c r="U919" s="80"/>
      <c r="V919" s="80"/>
      <c r="W919" s="80"/>
      <c r="X919" s="80"/>
      <c r="Y919" s="80"/>
      <c r="Z919" s="80"/>
      <c r="AA919" s="80"/>
      <c r="AB919" s="80"/>
    </row>
    <row r="920" spans="4:28" ht="14.25" customHeight="1"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16"/>
      <c r="U920" s="80"/>
      <c r="V920" s="80"/>
      <c r="W920" s="80"/>
      <c r="X920" s="80"/>
      <c r="Y920" s="80"/>
      <c r="Z920" s="80"/>
      <c r="AA920" s="80"/>
      <c r="AB920" s="80"/>
    </row>
    <row r="921" spans="4:28" ht="14.25" customHeight="1"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16"/>
      <c r="U921" s="80"/>
      <c r="V921" s="80"/>
      <c r="W921" s="80"/>
      <c r="X921" s="80"/>
      <c r="Y921" s="80"/>
      <c r="Z921" s="80"/>
      <c r="AA921" s="80"/>
      <c r="AB921" s="80"/>
    </row>
    <row r="922" spans="4:28" ht="14.25" customHeight="1"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16"/>
      <c r="U922" s="80"/>
      <c r="V922" s="80"/>
      <c r="W922" s="80"/>
      <c r="X922" s="80"/>
      <c r="Y922" s="80"/>
      <c r="Z922" s="80"/>
      <c r="AA922" s="80"/>
      <c r="AB922" s="80"/>
    </row>
    <row r="923" spans="4:28" ht="14.25" customHeight="1"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16"/>
      <c r="U923" s="80"/>
      <c r="V923" s="80"/>
      <c r="W923" s="80"/>
      <c r="X923" s="80"/>
      <c r="Y923" s="80"/>
      <c r="Z923" s="80"/>
      <c r="AA923" s="80"/>
      <c r="AB923" s="80"/>
    </row>
    <row r="924" spans="4:28" ht="14.25" customHeight="1"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16"/>
      <c r="U924" s="80"/>
      <c r="V924" s="80"/>
      <c r="W924" s="80"/>
      <c r="X924" s="80"/>
      <c r="Y924" s="80"/>
      <c r="Z924" s="80"/>
      <c r="AA924" s="80"/>
      <c r="AB924" s="80"/>
    </row>
    <row r="925" spans="4:28" ht="14.25" customHeight="1"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16"/>
      <c r="U925" s="80"/>
      <c r="V925" s="80"/>
      <c r="W925" s="80"/>
      <c r="X925" s="80"/>
      <c r="Y925" s="80"/>
      <c r="Z925" s="80"/>
      <c r="AA925" s="80"/>
      <c r="AB925" s="80"/>
    </row>
    <row r="926" spans="4:28" ht="14.25" customHeight="1"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16"/>
      <c r="U926" s="80"/>
      <c r="V926" s="80"/>
      <c r="W926" s="80"/>
      <c r="X926" s="80"/>
      <c r="Y926" s="80"/>
      <c r="Z926" s="80"/>
      <c r="AA926" s="80"/>
      <c r="AB926" s="80"/>
    </row>
    <row r="927" spans="4:28" ht="14.25" customHeight="1"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16"/>
      <c r="U927" s="80"/>
      <c r="V927" s="80"/>
      <c r="W927" s="80"/>
      <c r="X927" s="80"/>
      <c r="Y927" s="80"/>
      <c r="Z927" s="80"/>
      <c r="AA927" s="80"/>
      <c r="AB927" s="80"/>
    </row>
    <row r="928" spans="4:28" ht="14.25" customHeight="1"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16"/>
      <c r="U928" s="80"/>
      <c r="V928" s="80"/>
      <c r="W928" s="80"/>
      <c r="X928" s="80"/>
      <c r="Y928" s="80"/>
      <c r="Z928" s="80"/>
      <c r="AA928" s="80"/>
      <c r="AB928" s="80"/>
    </row>
    <row r="929" spans="4:28" ht="14.25" customHeight="1"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16"/>
      <c r="U929" s="80"/>
      <c r="V929" s="80"/>
      <c r="W929" s="80"/>
      <c r="X929" s="80"/>
      <c r="Y929" s="80"/>
      <c r="Z929" s="80"/>
      <c r="AA929" s="80"/>
      <c r="AB929" s="80"/>
    </row>
    <row r="930" spans="4:28" ht="14.25" customHeight="1"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16"/>
      <c r="U930" s="80"/>
      <c r="V930" s="80"/>
      <c r="W930" s="80"/>
      <c r="X930" s="80"/>
      <c r="Y930" s="80"/>
      <c r="Z930" s="80"/>
      <c r="AA930" s="80"/>
      <c r="AB930" s="80"/>
    </row>
    <row r="931" spans="4:28" ht="14.25" customHeight="1"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16"/>
      <c r="U931" s="80"/>
      <c r="V931" s="80"/>
      <c r="W931" s="80"/>
      <c r="X931" s="80"/>
      <c r="Y931" s="80"/>
      <c r="Z931" s="80"/>
      <c r="AA931" s="80"/>
      <c r="AB931" s="80"/>
    </row>
    <row r="932" spans="4:28" ht="14.25" customHeight="1"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16"/>
      <c r="U932" s="80"/>
      <c r="V932" s="80"/>
      <c r="W932" s="80"/>
      <c r="X932" s="80"/>
      <c r="Y932" s="80"/>
      <c r="Z932" s="80"/>
      <c r="AA932" s="80"/>
      <c r="AB932" s="80"/>
    </row>
    <row r="933" spans="4:28" ht="14.25" customHeight="1"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16"/>
      <c r="U933" s="80"/>
      <c r="V933" s="80"/>
      <c r="W933" s="80"/>
      <c r="X933" s="80"/>
      <c r="Y933" s="80"/>
      <c r="Z933" s="80"/>
      <c r="AA933" s="80"/>
      <c r="AB933" s="80"/>
    </row>
    <row r="934" spans="4:28" ht="14.25" customHeight="1"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16"/>
      <c r="U934" s="80"/>
      <c r="V934" s="80"/>
      <c r="W934" s="80"/>
      <c r="X934" s="80"/>
      <c r="Y934" s="80"/>
      <c r="Z934" s="80"/>
      <c r="AA934" s="80"/>
      <c r="AB934" s="80"/>
    </row>
    <row r="935" spans="4:28" ht="14.25" customHeight="1"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16"/>
      <c r="U935" s="80"/>
      <c r="V935" s="80"/>
      <c r="W935" s="80"/>
      <c r="X935" s="80"/>
      <c r="Y935" s="80"/>
      <c r="Z935" s="80"/>
      <c r="AA935" s="80"/>
      <c r="AB935" s="80"/>
    </row>
    <row r="936" spans="4:28" ht="14.25" customHeight="1"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16"/>
      <c r="U936" s="80"/>
      <c r="V936" s="80"/>
      <c r="W936" s="80"/>
      <c r="X936" s="80"/>
      <c r="Y936" s="80"/>
      <c r="Z936" s="80"/>
      <c r="AA936" s="80"/>
      <c r="AB936" s="80"/>
    </row>
    <row r="937" spans="4:28" ht="14.25" customHeight="1"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16"/>
      <c r="U937" s="80"/>
      <c r="V937" s="80"/>
      <c r="W937" s="80"/>
      <c r="X937" s="80"/>
      <c r="Y937" s="80"/>
      <c r="Z937" s="80"/>
      <c r="AA937" s="80"/>
      <c r="AB937" s="80"/>
    </row>
    <row r="938" spans="4:28" ht="14.25" customHeight="1"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16"/>
      <c r="U938" s="80"/>
      <c r="V938" s="80"/>
      <c r="W938" s="80"/>
      <c r="X938" s="80"/>
      <c r="Y938" s="80"/>
      <c r="Z938" s="80"/>
      <c r="AA938" s="80"/>
      <c r="AB938" s="80"/>
    </row>
    <row r="939" spans="4:28" ht="14.25" customHeight="1"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16"/>
      <c r="U939" s="80"/>
      <c r="V939" s="80"/>
      <c r="W939" s="80"/>
      <c r="X939" s="80"/>
      <c r="Y939" s="80"/>
      <c r="Z939" s="80"/>
      <c r="AA939" s="80"/>
      <c r="AB939" s="80"/>
    </row>
    <row r="940" spans="4:28" ht="14.25" customHeight="1"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16"/>
      <c r="U940" s="80"/>
      <c r="V940" s="80"/>
      <c r="W940" s="80"/>
      <c r="X940" s="80"/>
      <c r="Y940" s="80"/>
      <c r="Z940" s="80"/>
      <c r="AA940" s="80"/>
      <c r="AB940" s="80"/>
    </row>
    <row r="941" spans="4:28" ht="14.25" customHeight="1"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16"/>
      <c r="U941" s="80"/>
      <c r="V941" s="80"/>
      <c r="W941" s="80"/>
      <c r="X941" s="80"/>
      <c r="Y941" s="80"/>
      <c r="Z941" s="80"/>
      <c r="AA941" s="80"/>
      <c r="AB941" s="80"/>
    </row>
    <row r="942" spans="4:28" ht="14.25" customHeight="1"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16"/>
      <c r="U942" s="80"/>
      <c r="V942" s="80"/>
      <c r="W942" s="80"/>
      <c r="X942" s="80"/>
      <c r="Y942" s="80"/>
      <c r="Z942" s="80"/>
      <c r="AA942" s="80"/>
      <c r="AB942" s="80"/>
    </row>
    <row r="943" spans="4:28" ht="14.25" customHeight="1"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16"/>
      <c r="U943" s="80"/>
      <c r="V943" s="80"/>
      <c r="W943" s="80"/>
      <c r="X943" s="80"/>
      <c r="Y943" s="80"/>
      <c r="Z943" s="80"/>
      <c r="AA943" s="80"/>
      <c r="AB943" s="80"/>
    </row>
    <row r="944" spans="4:28" ht="14.25" customHeight="1"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16"/>
      <c r="U944" s="80"/>
      <c r="V944" s="80"/>
      <c r="W944" s="80"/>
      <c r="X944" s="80"/>
      <c r="Y944" s="80"/>
      <c r="Z944" s="80"/>
      <c r="AA944" s="80"/>
      <c r="AB944" s="80"/>
    </row>
    <row r="945" spans="4:28" ht="14.25" customHeight="1"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16"/>
      <c r="U945" s="80"/>
      <c r="V945" s="80"/>
      <c r="W945" s="80"/>
      <c r="X945" s="80"/>
      <c r="Y945" s="80"/>
      <c r="Z945" s="80"/>
      <c r="AA945" s="80"/>
      <c r="AB945" s="80"/>
    </row>
    <row r="946" spans="4:28" ht="14.25" customHeight="1"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16"/>
      <c r="U946" s="80"/>
      <c r="V946" s="80"/>
      <c r="W946" s="80"/>
      <c r="X946" s="80"/>
      <c r="Y946" s="80"/>
      <c r="Z946" s="80"/>
      <c r="AA946" s="80"/>
      <c r="AB946" s="80"/>
    </row>
    <row r="947" spans="4:28" ht="14.25" customHeight="1"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16"/>
      <c r="U947" s="80"/>
      <c r="V947" s="80"/>
      <c r="W947" s="80"/>
      <c r="X947" s="80"/>
      <c r="Y947" s="80"/>
      <c r="Z947" s="80"/>
      <c r="AA947" s="80"/>
      <c r="AB947" s="80"/>
    </row>
    <row r="948" spans="4:28" ht="14.25" customHeight="1"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16"/>
      <c r="U948" s="80"/>
      <c r="V948" s="80"/>
      <c r="W948" s="80"/>
      <c r="X948" s="80"/>
      <c r="Y948" s="80"/>
      <c r="Z948" s="80"/>
      <c r="AA948" s="80"/>
      <c r="AB948" s="80"/>
    </row>
    <row r="949" spans="4:28" ht="14.25" customHeight="1"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16"/>
      <c r="U949" s="80"/>
      <c r="V949" s="80"/>
      <c r="W949" s="80"/>
      <c r="X949" s="80"/>
      <c r="Y949" s="80"/>
      <c r="Z949" s="80"/>
      <c r="AA949" s="80"/>
      <c r="AB949" s="80"/>
    </row>
    <row r="950" spans="4:28" ht="14.25" customHeight="1"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16"/>
      <c r="U950" s="80"/>
      <c r="V950" s="80"/>
      <c r="W950" s="80"/>
      <c r="X950" s="80"/>
      <c r="Y950" s="80"/>
      <c r="Z950" s="80"/>
      <c r="AA950" s="80"/>
      <c r="AB950" s="80"/>
    </row>
    <row r="951" spans="4:28" ht="14.25" customHeight="1"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16"/>
      <c r="U951" s="80"/>
      <c r="V951" s="80"/>
      <c r="W951" s="80"/>
      <c r="X951" s="80"/>
      <c r="Y951" s="80"/>
      <c r="Z951" s="80"/>
      <c r="AA951" s="80"/>
      <c r="AB951" s="80"/>
    </row>
    <row r="952" spans="4:28" ht="14.25" customHeight="1"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16"/>
      <c r="U952" s="80"/>
      <c r="V952" s="80"/>
      <c r="W952" s="80"/>
      <c r="X952" s="80"/>
      <c r="Y952" s="80"/>
      <c r="Z952" s="80"/>
      <c r="AA952" s="80"/>
      <c r="AB952" s="80"/>
    </row>
    <row r="953" spans="4:28" ht="14.25" customHeight="1"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16"/>
      <c r="U953" s="80"/>
      <c r="V953" s="80"/>
      <c r="W953" s="80"/>
      <c r="X953" s="80"/>
      <c r="Y953" s="80"/>
      <c r="Z953" s="80"/>
      <c r="AA953" s="80"/>
      <c r="AB953" s="80"/>
    </row>
    <row r="954" spans="4:28" ht="14.25" customHeight="1"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16"/>
      <c r="U954" s="80"/>
      <c r="V954" s="80"/>
      <c r="W954" s="80"/>
      <c r="X954" s="80"/>
      <c r="Y954" s="80"/>
      <c r="Z954" s="80"/>
      <c r="AA954" s="80"/>
      <c r="AB954" s="80"/>
    </row>
    <row r="955" spans="4:28" ht="14.25" customHeight="1"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16"/>
      <c r="U955" s="80"/>
      <c r="V955" s="80"/>
      <c r="W955" s="80"/>
      <c r="X955" s="80"/>
      <c r="Y955" s="80"/>
      <c r="Z955" s="80"/>
      <c r="AA955" s="80"/>
      <c r="AB955" s="80"/>
    </row>
    <row r="956" spans="4:28" ht="14.25" customHeight="1"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16"/>
      <c r="U956" s="80"/>
      <c r="V956" s="80"/>
      <c r="W956" s="80"/>
      <c r="X956" s="80"/>
      <c r="Y956" s="80"/>
      <c r="Z956" s="80"/>
      <c r="AA956" s="80"/>
      <c r="AB956" s="80"/>
    </row>
    <row r="957" spans="4:28" ht="14.25" customHeight="1"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16"/>
      <c r="U957" s="80"/>
      <c r="V957" s="80"/>
      <c r="W957" s="80"/>
      <c r="X957" s="80"/>
      <c r="Y957" s="80"/>
      <c r="Z957" s="80"/>
      <c r="AA957" s="80"/>
      <c r="AB957" s="80"/>
    </row>
    <row r="958" spans="4:28" ht="14.25" customHeight="1"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16"/>
      <c r="U958" s="80"/>
      <c r="V958" s="80"/>
      <c r="W958" s="80"/>
      <c r="X958" s="80"/>
      <c r="Y958" s="80"/>
      <c r="Z958" s="80"/>
      <c r="AA958" s="80"/>
      <c r="AB958" s="80"/>
    </row>
    <row r="959" spans="4:28" ht="14.25" customHeight="1"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16"/>
      <c r="U959" s="80"/>
      <c r="V959" s="80"/>
      <c r="W959" s="80"/>
      <c r="X959" s="80"/>
      <c r="Y959" s="80"/>
      <c r="Z959" s="80"/>
      <c r="AA959" s="80"/>
      <c r="AB959" s="80"/>
    </row>
    <row r="960" spans="4:28" ht="14.25" customHeight="1"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16"/>
      <c r="U960" s="80"/>
      <c r="V960" s="80"/>
      <c r="W960" s="80"/>
      <c r="X960" s="80"/>
      <c r="Y960" s="80"/>
      <c r="Z960" s="80"/>
      <c r="AA960" s="80"/>
      <c r="AB960" s="80"/>
    </row>
    <row r="961" spans="4:28" ht="14.25" customHeight="1"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16"/>
      <c r="U961" s="80"/>
      <c r="V961" s="80"/>
      <c r="W961" s="80"/>
      <c r="X961" s="80"/>
      <c r="Y961" s="80"/>
      <c r="Z961" s="80"/>
      <c r="AA961" s="80"/>
      <c r="AB961" s="80"/>
    </row>
    <row r="962" spans="4:28" ht="14.25" customHeight="1"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16"/>
      <c r="U962" s="80"/>
      <c r="V962" s="80"/>
      <c r="W962" s="80"/>
      <c r="X962" s="80"/>
      <c r="Y962" s="80"/>
      <c r="Z962" s="80"/>
      <c r="AA962" s="80"/>
      <c r="AB962" s="80"/>
    </row>
    <row r="963" spans="4:28" ht="14.25" customHeight="1"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16"/>
      <c r="U963" s="80"/>
      <c r="V963" s="80"/>
      <c r="W963" s="80"/>
      <c r="X963" s="80"/>
      <c r="Y963" s="80"/>
      <c r="Z963" s="80"/>
      <c r="AA963" s="80"/>
      <c r="AB963" s="80"/>
    </row>
    <row r="964" spans="4:28" ht="14.25" customHeight="1"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16"/>
      <c r="U964" s="80"/>
      <c r="V964" s="80"/>
      <c r="W964" s="80"/>
      <c r="X964" s="80"/>
      <c r="Y964" s="80"/>
      <c r="Z964" s="80"/>
      <c r="AA964" s="80"/>
      <c r="AB964" s="80"/>
    </row>
    <row r="965" spans="4:28" ht="14.25" customHeight="1"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16"/>
      <c r="U965" s="80"/>
      <c r="V965" s="80"/>
      <c r="W965" s="80"/>
      <c r="X965" s="80"/>
      <c r="Y965" s="80"/>
      <c r="Z965" s="80"/>
      <c r="AA965" s="80"/>
      <c r="AB965" s="80"/>
    </row>
    <row r="966" spans="4:28" ht="14.25" customHeight="1"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16"/>
      <c r="U966" s="80"/>
      <c r="V966" s="80"/>
      <c r="W966" s="80"/>
      <c r="X966" s="80"/>
      <c r="Y966" s="80"/>
      <c r="Z966" s="80"/>
      <c r="AA966" s="80"/>
      <c r="AB966" s="80"/>
    </row>
    <row r="967" spans="4:28" ht="14.25" customHeight="1"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16"/>
      <c r="U967" s="80"/>
      <c r="V967" s="80"/>
      <c r="W967" s="80"/>
      <c r="X967" s="80"/>
      <c r="Y967" s="80"/>
      <c r="Z967" s="80"/>
      <c r="AA967" s="80"/>
      <c r="AB967" s="80"/>
    </row>
    <row r="968" spans="4:28" ht="14.25" customHeight="1"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16"/>
      <c r="U968" s="80"/>
      <c r="V968" s="80"/>
      <c r="W968" s="80"/>
      <c r="X968" s="80"/>
      <c r="Y968" s="80"/>
      <c r="Z968" s="80"/>
      <c r="AA968" s="80"/>
      <c r="AB968" s="80"/>
    </row>
    <row r="969" spans="4:28" ht="14.25" customHeight="1"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16"/>
      <c r="U969" s="80"/>
      <c r="V969" s="80"/>
      <c r="W969" s="80"/>
      <c r="X969" s="80"/>
      <c r="Y969" s="80"/>
      <c r="Z969" s="80"/>
      <c r="AA969" s="80"/>
      <c r="AB969" s="80"/>
    </row>
    <row r="970" spans="4:28" ht="14.25" customHeight="1"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16"/>
      <c r="U970" s="80"/>
      <c r="V970" s="80"/>
      <c r="W970" s="80"/>
      <c r="X970" s="80"/>
      <c r="Y970" s="80"/>
      <c r="Z970" s="80"/>
      <c r="AA970" s="80"/>
      <c r="AB970" s="80"/>
    </row>
    <row r="971" spans="4:28" ht="14.25" customHeight="1"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16"/>
      <c r="U971" s="80"/>
      <c r="V971" s="80"/>
      <c r="W971" s="80"/>
      <c r="X971" s="80"/>
      <c r="Y971" s="80"/>
      <c r="Z971" s="80"/>
      <c r="AA971" s="80"/>
      <c r="AB971" s="80"/>
    </row>
    <row r="972" spans="4:28" ht="14.25" customHeight="1"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16"/>
      <c r="U972" s="80"/>
      <c r="V972" s="80"/>
      <c r="W972" s="80"/>
      <c r="X972" s="80"/>
      <c r="Y972" s="80"/>
      <c r="Z972" s="80"/>
      <c r="AA972" s="80"/>
      <c r="AB972" s="80"/>
    </row>
    <row r="973" spans="4:28" ht="14.25" customHeight="1"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16"/>
      <c r="U973" s="80"/>
      <c r="V973" s="80"/>
      <c r="W973" s="80"/>
      <c r="X973" s="80"/>
      <c r="Y973" s="80"/>
      <c r="Z973" s="80"/>
      <c r="AA973" s="80"/>
      <c r="AB973" s="80"/>
    </row>
    <row r="974" spans="4:28" ht="14.25" customHeight="1"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16"/>
      <c r="U974" s="80"/>
      <c r="V974" s="80"/>
      <c r="W974" s="80"/>
      <c r="X974" s="80"/>
      <c r="Y974" s="80"/>
      <c r="Z974" s="80"/>
      <c r="AA974" s="80"/>
      <c r="AB974" s="80"/>
    </row>
    <row r="975" spans="4:28" ht="14.25" customHeight="1"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16"/>
      <c r="U975" s="80"/>
      <c r="V975" s="80"/>
      <c r="W975" s="80"/>
      <c r="X975" s="80"/>
      <c r="Y975" s="80"/>
      <c r="Z975" s="80"/>
      <c r="AA975" s="80"/>
      <c r="AB975" s="80"/>
    </row>
    <row r="976" spans="4:28" ht="14.25" customHeight="1"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16"/>
      <c r="U976" s="80"/>
      <c r="V976" s="80"/>
      <c r="W976" s="80"/>
      <c r="X976" s="80"/>
      <c r="Y976" s="80"/>
      <c r="Z976" s="80"/>
      <c r="AA976" s="80"/>
      <c r="AB976" s="80"/>
    </row>
    <row r="977" spans="4:28" ht="14.25" customHeight="1"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16"/>
      <c r="U977" s="80"/>
      <c r="V977" s="80"/>
      <c r="W977" s="80"/>
      <c r="X977" s="80"/>
      <c r="Y977" s="80"/>
      <c r="Z977" s="80"/>
      <c r="AA977" s="80"/>
      <c r="AB977" s="80"/>
    </row>
    <row r="978" spans="4:28" ht="14.25" customHeight="1"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16"/>
      <c r="U978" s="80"/>
      <c r="V978" s="80"/>
      <c r="W978" s="80"/>
      <c r="X978" s="80"/>
      <c r="Y978" s="80"/>
      <c r="Z978" s="80"/>
      <c r="AA978" s="80"/>
      <c r="AB978" s="80"/>
    </row>
    <row r="979" spans="4:28" ht="14.25" customHeight="1"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16"/>
      <c r="U979" s="80"/>
      <c r="V979" s="80"/>
      <c r="W979" s="80"/>
      <c r="X979" s="80"/>
      <c r="Y979" s="80"/>
      <c r="Z979" s="80"/>
      <c r="AA979" s="80"/>
      <c r="AB979" s="80"/>
    </row>
    <row r="980" spans="4:28" ht="14.25" customHeight="1"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16"/>
      <c r="U980" s="80"/>
      <c r="V980" s="80"/>
      <c r="W980" s="80"/>
      <c r="X980" s="80"/>
      <c r="Y980" s="80"/>
      <c r="Z980" s="80"/>
      <c r="AA980" s="80"/>
      <c r="AB980" s="80"/>
    </row>
    <row r="981" spans="4:28" ht="14.25" customHeight="1"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16"/>
      <c r="U981" s="80"/>
      <c r="V981" s="80"/>
      <c r="W981" s="80"/>
      <c r="X981" s="80"/>
      <c r="Y981" s="80"/>
      <c r="Z981" s="80"/>
      <c r="AA981" s="80"/>
      <c r="AB981" s="80"/>
    </row>
    <row r="982" spans="4:28" ht="14.25" customHeight="1"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16"/>
      <c r="U982" s="80"/>
      <c r="V982" s="80"/>
      <c r="W982" s="80"/>
      <c r="X982" s="80"/>
      <c r="Y982" s="80"/>
      <c r="Z982" s="80"/>
      <c r="AA982" s="80"/>
      <c r="AB982" s="80"/>
    </row>
    <row r="983" spans="4:28" ht="14.25" customHeight="1"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16"/>
      <c r="U983" s="80"/>
      <c r="V983" s="80"/>
      <c r="W983" s="80"/>
      <c r="X983" s="80"/>
      <c r="Y983" s="80"/>
      <c r="Z983" s="80"/>
      <c r="AA983" s="80"/>
      <c r="AB983" s="80"/>
    </row>
    <row r="984" spans="4:28" ht="14.25" customHeight="1"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16"/>
      <c r="U984" s="80"/>
      <c r="V984" s="80"/>
      <c r="W984" s="80"/>
      <c r="X984" s="80"/>
      <c r="Y984" s="80"/>
      <c r="Z984" s="80"/>
      <c r="AA984" s="80"/>
      <c r="AB984" s="80"/>
    </row>
    <row r="985" spans="4:28" ht="14.25" customHeight="1"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16"/>
      <c r="U985" s="80"/>
      <c r="V985" s="80"/>
      <c r="W985" s="80"/>
      <c r="X985" s="80"/>
      <c r="Y985" s="80"/>
      <c r="Z985" s="80"/>
      <c r="AA985" s="80"/>
      <c r="AB985" s="80"/>
    </row>
    <row r="986" spans="4:28" ht="14.25" customHeight="1"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16"/>
      <c r="U986" s="80"/>
      <c r="V986" s="80"/>
      <c r="W986" s="80"/>
      <c r="X986" s="80"/>
      <c r="Y986" s="80"/>
      <c r="Z986" s="80"/>
      <c r="AA986" s="80"/>
      <c r="AB986" s="80"/>
    </row>
    <row r="987" spans="4:28" ht="14.25" customHeight="1"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16"/>
      <c r="U987" s="80"/>
      <c r="V987" s="80"/>
      <c r="W987" s="80"/>
      <c r="X987" s="80"/>
      <c r="Y987" s="80"/>
      <c r="Z987" s="80"/>
      <c r="AA987" s="80"/>
      <c r="AB987" s="80"/>
    </row>
    <row r="988" spans="4:28" ht="14.25" customHeight="1"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16"/>
      <c r="U988" s="80"/>
      <c r="V988" s="80"/>
      <c r="W988" s="80"/>
      <c r="X988" s="80"/>
      <c r="Y988" s="80"/>
      <c r="Z988" s="80"/>
      <c r="AA988" s="80"/>
      <c r="AB988" s="80"/>
    </row>
    <row r="989" spans="4:28" ht="14.25" customHeight="1"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16"/>
      <c r="U989" s="80"/>
      <c r="V989" s="80"/>
      <c r="W989" s="80"/>
      <c r="X989" s="80"/>
      <c r="Y989" s="80"/>
      <c r="Z989" s="80"/>
      <c r="AA989" s="80"/>
      <c r="AB989" s="80"/>
    </row>
    <row r="990" spans="4:28" ht="14.25" customHeight="1"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16"/>
      <c r="U990" s="80"/>
      <c r="V990" s="80"/>
      <c r="W990" s="80"/>
      <c r="X990" s="80"/>
      <c r="Y990" s="80"/>
      <c r="Z990" s="80"/>
      <c r="AA990" s="80"/>
      <c r="AB990" s="80"/>
    </row>
    <row r="991" spans="4:28" ht="14.25" customHeight="1"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16"/>
      <c r="U991" s="80"/>
      <c r="V991" s="80"/>
      <c r="W991" s="80"/>
      <c r="X991" s="80"/>
      <c r="Y991" s="80"/>
      <c r="Z991" s="80"/>
      <c r="AA991" s="80"/>
      <c r="AB991" s="80"/>
    </row>
    <row r="992" spans="4:28" ht="14.25" customHeight="1"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16"/>
      <c r="U992" s="80"/>
      <c r="V992" s="80"/>
      <c r="W992" s="80"/>
      <c r="X992" s="80"/>
      <c r="Y992" s="80"/>
      <c r="Z992" s="80"/>
      <c r="AA992" s="80"/>
      <c r="AB992" s="80"/>
    </row>
    <row r="993" spans="4:28" ht="14.25" customHeight="1"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16"/>
      <c r="U993" s="80"/>
      <c r="V993" s="80"/>
      <c r="W993" s="80"/>
      <c r="X993" s="80"/>
      <c r="Y993" s="80"/>
      <c r="Z993" s="80"/>
      <c r="AA993" s="80"/>
      <c r="AB993" s="80"/>
    </row>
    <row r="994" spans="4:28" ht="14.25" customHeight="1"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16"/>
      <c r="U994" s="80"/>
      <c r="V994" s="80"/>
      <c r="W994" s="80"/>
      <c r="X994" s="80"/>
      <c r="Y994" s="80"/>
      <c r="Z994" s="80"/>
      <c r="AA994" s="80"/>
      <c r="AB994" s="80"/>
    </row>
    <row r="995" spans="4:28" ht="14.25" customHeight="1"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16"/>
      <c r="U995" s="80"/>
      <c r="V995" s="80"/>
      <c r="W995" s="80"/>
      <c r="X995" s="80"/>
      <c r="Y995" s="80"/>
      <c r="Z995" s="80"/>
      <c r="AA995" s="80"/>
      <c r="AB995" s="80"/>
    </row>
    <row r="996" spans="4:28" ht="14.25" customHeight="1"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16"/>
      <c r="U996" s="80"/>
      <c r="V996" s="80"/>
      <c r="W996" s="80"/>
      <c r="X996" s="80"/>
      <c r="Y996" s="80"/>
      <c r="Z996" s="80"/>
      <c r="AA996" s="80"/>
      <c r="AB996" s="80"/>
    </row>
    <row r="997" spans="4:28" ht="14.25" customHeight="1"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16"/>
      <c r="U997" s="80"/>
      <c r="V997" s="80"/>
      <c r="W997" s="80"/>
      <c r="X997" s="80"/>
      <c r="Y997" s="80"/>
      <c r="Z997" s="80"/>
      <c r="AA997" s="80"/>
      <c r="AB997" s="80"/>
    </row>
    <row r="998" spans="4:28" ht="14.25" customHeight="1"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16"/>
      <c r="U998" s="80"/>
      <c r="V998" s="80"/>
      <c r="W998" s="80"/>
      <c r="X998" s="80"/>
      <c r="Y998" s="80"/>
      <c r="Z998" s="80"/>
      <c r="AA998" s="80"/>
      <c r="AB998" s="80"/>
    </row>
    <row r="999" spans="4:28" ht="14.25" customHeight="1"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16"/>
      <c r="U999" s="80"/>
      <c r="V999" s="80"/>
      <c r="W999" s="80"/>
      <c r="X999" s="80"/>
      <c r="Y999" s="80"/>
      <c r="Z999" s="80"/>
      <c r="AA999" s="80"/>
      <c r="AB999" s="80"/>
    </row>
    <row r="1000" spans="4:28"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0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DC58-04E6-4308-92FD-9090BA9B46F9}">
  <dimension ref="A1:L49"/>
  <sheetViews>
    <sheetView workbookViewId="0">
      <pane xSplit="1" topLeftCell="D1" activePane="topRight" state="frozen"/>
      <selection pane="topRight" activeCell="I3" sqref="I3"/>
    </sheetView>
  </sheetViews>
  <sheetFormatPr defaultColWidth="8.83203125" defaultRowHeight="15.5"/>
  <cols>
    <col min="1" max="1" width="3.4140625" style="64" bestFit="1" customWidth="1"/>
    <col min="2" max="2" width="13.25" style="65"/>
    <col min="3" max="3" width="18.5" style="145" customWidth="1"/>
    <col min="4" max="4" width="6.9140625" bestFit="1" customWidth="1"/>
    <col min="5" max="5" width="18.5" style="286" customWidth="1"/>
    <col min="6" max="6" width="14.1640625" style="69" bestFit="1" customWidth="1"/>
    <col min="7" max="7" width="5.1640625" bestFit="1" customWidth="1"/>
    <col min="8" max="8" width="38.83203125" style="119" customWidth="1"/>
    <col min="11" max="11" width="23.33203125" customWidth="1"/>
    <col min="12" max="12" width="13.83203125" customWidth="1"/>
  </cols>
  <sheetData>
    <row r="1" spans="1:12" ht="58.5" thickBot="1">
      <c r="A1" s="62" t="s">
        <v>18</v>
      </c>
      <c r="B1" s="102" t="s">
        <v>1</v>
      </c>
      <c r="C1" s="140" t="s">
        <v>102</v>
      </c>
      <c r="D1" s="120" t="s">
        <v>90</v>
      </c>
      <c r="E1" s="279" t="s">
        <v>99</v>
      </c>
      <c r="F1" s="121" t="s">
        <v>98</v>
      </c>
      <c r="G1" s="122" t="s">
        <v>0</v>
      </c>
      <c r="H1" s="116" t="s">
        <v>225</v>
      </c>
      <c r="J1" s="76" t="s">
        <v>0</v>
      </c>
      <c r="K1" s="77" t="s">
        <v>100</v>
      </c>
      <c r="L1" s="78" t="s">
        <v>101</v>
      </c>
    </row>
    <row r="2" spans="1:12">
      <c r="A2" s="64">
        <v>1</v>
      </c>
      <c r="B2" s="65" t="s">
        <v>109</v>
      </c>
      <c r="C2" s="141">
        <f>'Cost Calculation'!D4</f>
        <v>482442.94573535857</v>
      </c>
      <c r="D2" s="123" t="str">
        <f>IF(C2&lt;100000,"Small",IF(C2&lt;1000000,"Medium","Large"))</f>
        <v>Medium</v>
      </c>
      <c r="E2" s="280">
        <f>F2*($L$3/$L$2)</f>
        <v>202.65853046450243</v>
      </c>
      <c r="F2" s="124">
        <f>365*0.456</f>
        <v>166.44</v>
      </c>
      <c r="G2" s="125">
        <v>2011</v>
      </c>
      <c r="H2" s="117"/>
      <c r="J2" s="57">
        <v>2011</v>
      </c>
      <c r="K2" s="10">
        <v>4624.5600000000004</v>
      </c>
      <c r="L2" s="55">
        <f>1647.41-419.73*LN(K2)+29.43*LN(K2)^2</f>
        <v>201.22713944253542</v>
      </c>
    </row>
    <row r="3" spans="1:12" ht="16" thickBot="1">
      <c r="A3" s="64">
        <v>2</v>
      </c>
      <c r="B3" s="65" t="s">
        <v>110</v>
      </c>
      <c r="C3" s="141">
        <f>'Cost Calculation'!D5</f>
        <v>353887.65953811951</v>
      </c>
      <c r="D3" s="123" t="str">
        <f t="shared" ref="D3:D43" si="0">IF(C3&lt;100000,"Small",IF(C3&lt;1000000,"Medium","Large"))</f>
        <v>Medium</v>
      </c>
      <c r="E3" s="280">
        <f>F3*($L$3/$L$2)</f>
        <v>126.66158154031402</v>
      </c>
      <c r="F3" s="124">
        <f>365*0.285</f>
        <v>104.02499999999999</v>
      </c>
      <c r="G3" s="125">
        <v>2011</v>
      </c>
      <c r="H3" s="117"/>
      <c r="J3" s="58">
        <v>2019</v>
      </c>
      <c r="K3" s="59">
        <f>'Cost Calculation'!G4</f>
        <v>7477.1093832531187</v>
      </c>
      <c r="L3" s="56">
        <f>1647.41-419.73*LN(K3)+29.43*LN(K3)^2</f>
        <v>245.01559942922222</v>
      </c>
    </row>
    <row r="4" spans="1:12">
      <c r="A4" s="64">
        <v>3</v>
      </c>
      <c r="B4" s="65" t="s">
        <v>111</v>
      </c>
      <c r="C4" s="141">
        <f>'Cost Calculation'!D6</f>
        <v>10183876.760812402</v>
      </c>
      <c r="D4" s="123" t="str">
        <f t="shared" si="0"/>
        <v>Large</v>
      </c>
      <c r="E4" s="280">
        <f>F4*($L$3/$L$2)</f>
        <v>327.53631756159069</v>
      </c>
      <c r="F4" s="124">
        <v>269</v>
      </c>
      <c r="G4" s="125">
        <v>2011</v>
      </c>
      <c r="H4" s="117" t="s">
        <v>10</v>
      </c>
    </row>
    <row r="5" spans="1:12">
      <c r="A5" s="64">
        <v>4</v>
      </c>
      <c r="B5" s="65" t="s">
        <v>112</v>
      </c>
      <c r="C5" s="141">
        <f>'Cost Calculation'!D7</f>
        <v>2168822.2842630199</v>
      </c>
      <c r="D5" s="123" t="str">
        <f t="shared" si="0"/>
        <v>Large</v>
      </c>
      <c r="E5" s="280">
        <f>F5*($L$3/$L$2)</f>
        <v>202.65853046450243</v>
      </c>
      <c r="F5" s="124">
        <f>365*0.456</f>
        <v>166.44</v>
      </c>
      <c r="G5" s="125">
        <v>2011</v>
      </c>
      <c r="H5" s="117"/>
    </row>
    <row r="6" spans="1:12">
      <c r="A6" s="64">
        <v>5</v>
      </c>
      <c r="B6" s="65" t="s">
        <v>113</v>
      </c>
      <c r="C6" s="141">
        <f>'Cost Calculation'!D8</f>
        <v>1017223.1910658216</v>
      </c>
      <c r="D6" s="123" t="str">
        <f t="shared" si="0"/>
        <v>Large</v>
      </c>
      <c r="E6" s="280">
        <f>F6*($L$3/$L$2)</f>
        <v>202.65853046450243</v>
      </c>
      <c r="F6" s="124">
        <f>365*0.456</f>
        <v>166.44</v>
      </c>
      <c r="G6" s="125">
        <v>2011</v>
      </c>
      <c r="H6" s="117"/>
    </row>
    <row r="7" spans="1:12">
      <c r="A7" s="64">
        <v>6</v>
      </c>
      <c r="B7" s="65" t="s">
        <v>114</v>
      </c>
      <c r="C7" s="141">
        <f>'Cost Calculation'!D9</f>
        <v>1159765.5644964206</v>
      </c>
      <c r="D7" s="123" t="str">
        <f t="shared" si="0"/>
        <v>Large</v>
      </c>
      <c r="E7" s="280">
        <f>F7*($L$3/$L$2)</f>
        <v>202.65853046450243</v>
      </c>
      <c r="F7" s="124">
        <f>365*0.456</f>
        <v>166.44</v>
      </c>
      <c r="G7" s="125">
        <v>2011</v>
      </c>
      <c r="H7" s="117"/>
    </row>
    <row r="8" spans="1:12" ht="16" thickBot="1">
      <c r="A8" s="64">
        <v>7</v>
      </c>
      <c r="B8" s="65" t="s">
        <v>115</v>
      </c>
      <c r="C8" s="141">
        <f>'Cost Calculation'!D10</f>
        <v>5604401.6412904728</v>
      </c>
      <c r="D8" s="123" t="str">
        <f t="shared" si="0"/>
        <v>Large</v>
      </c>
      <c r="E8" s="280">
        <f>F8*($L$3/$L$2)</f>
        <v>314.65403414225375</v>
      </c>
      <c r="F8" s="124">
        <f>365*0.708</f>
        <v>258.41999999999996</v>
      </c>
      <c r="G8" s="125">
        <v>2011</v>
      </c>
      <c r="H8" s="117"/>
    </row>
    <row r="9" spans="1:12">
      <c r="A9" s="64">
        <v>8</v>
      </c>
      <c r="B9" s="65" t="s">
        <v>116</v>
      </c>
      <c r="C9" s="141">
        <f>'Cost Calculation'!D11</f>
        <v>53408.312224510621</v>
      </c>
      <c r="D9" s="123" t="str">
        <f t="shared" si="0"/>
        <v>Small</v>
      </c>
      <c r="E9" s="280">
        <f>F9*($L$3/$L$2)</f>
        <v>212.88034230810669</v>
      </c>
      <c r="F9" s="124">
        <f>365*0.479</f>
        <v>174.83499999999998</v>
      </c>
      <c r="G9" s="125">
        <v>2011</v>
      </c>
      <c r="H9" s="117"/>
      <c r="J9" s="76" t="s">
        <v>90</v>
      </c>
      <c r="K9" s="78" t="s">
        <v>295</v>
      </c>
      <c r="L9" s="1"/>
    </row>
    <row r="10" spans="1:12">
      <c r="A10" s="64">
        <v>9</v>
      </c>
      <c r="B10" s="65" t="s">
        <v>117</v>
      </c>
      <c r="C10" s="141">
        <f>'Cost Calculation'!D12</f>
        <v>686965.35071162798</v>
      </c>
      <c r="D10" s="123" t="str">
        <f t="shared" si="0"/>
        <v>Medium</v>
      </c>
      <c r="E10" s="280">
        <f>F10*($L$3/$L$2)</f>
        <v>157.32701707112687</v>
      </c>
      <c r="F10" s="124">
        <f>365*0.354</f>
        <v>129.20999999999998</v>
      </c>
      <c r="G10" s="125">
        <v>2011</v>
      </c>
      <c r="H10" s="117"/>
      <c r="J10" s="57" t="s">
        <v>95</v>
      </c>
      <c r="K10" s="276">
        <f>AVERAGE(E4:E8,E14,E17,E20:E23,E25,E28:E29,E33,E37,E39)</f>
        <v>227.81966553509048</v>
      </c>
      <c r="L10" s="1"/>
    </row>
    <row r="11" spans="1:12">
      <c r="A11" s="64">
        <v>10</v>
      </c>
      <c r="B11" s="65" t="s">
        <v>118</v>
      </c>
      <c r="C11" s="141">
        <f>'Cost Calculation'!D13</f>
        <v>637497.35184327734</v>
      </c>
      <c r="D11" s="123" t="str">
        <f t="shared" si="0"/>
        <v>Medium</v>
      </c>
      <c r="E11" s="281">
        <f>K11</f>
        <v>180.37794348945772</v>
      </c>
      <c r="F11" s="124"/>
      <c r="G11" s="125"/>
      <c r="H11" s="117"/>
      <c r="J11" s="57" t="s">
        <v>94</v>
      </c>
      <c r="K11" s="276">
        <f>AVERAGE(E2:E3,E10,E12,E13,E15,E19,E26:E27,E30:E31,E34:E36,E38)</f>
        <v>180.37794348945772</v>
      </c>
      <c r="L11" s="1"/>
    </row>
    <row r="12" spans="1:12" ht="16" thickBot="1">
      <c r="A12" s="64">
        <v>11</v>
      </c>
      <c r="B12" s="65" t="s">
        <v>119</v>
      </c>
      <c r="C12" s="141">
        <f>'Cost Calculation'!D14</f>
        <v>248657.05041305005</v>
      </c>
      <c r="D12" s="123" t="str">
        <f t="shared" si="0"/>
        <v>Medium</v>
      </c>
      <c r="E12" s="280">
        <f>F12*($L$3/$L$2)</f>
        <v>111.5510770758555</v>
      </c>
      <c r="F12" s="124">
        <f>365*0.251</f>
        <v>91.614999999999995</v>
      </c>
      <c r="G12" s="125">
        <v>2011</v>
      </c>
      <c r="H12" s="117"/>
      <c r="J12" s="58" t="s">
        <v>93</v>
      </c>
      <c r="K12" s="277">
        <f>AVERAGE(E9,E16,E18,E24)</f>
        <v>202.82138541793685</v>
      </c>
      <c r="L12" s="1"/>
    </row>
    <row r="13" spans="1:12">
      <c r="A13" s="64">
        <v>12</v>
      </c>
      <c r="B13" s="65" t="s">
        <v>120</v>
      </c>
      <c r="C13" s="141">
        <f>'Cost Calculation'!D15</f>
        <v>120954.47359530447</v>
      </c>
      <c r="D13" s="123" t="str">
        <f t="shared" si="0"/>
        <v>Medium</v>
      </c>
      <c r="E13" s="280">
        <f>F13*($L$3/$L$2)</f>
        <v>223.10215415171101</v>
      </c>
      <c r="F13" s="124">
        <f>365*0.502</f>
        <v>183.23</v>
      </c>
      <c r="G13" s="125">
        <v>2011</v>
      </c>
      <c r="H13" s="117"/>
      <c r="J13" s="57"/>
      <c r="K13" s="1"/>
      <c r="L13" s="275"/>
    </row>
    <row r="14" spans="1:12">
      <c r="A14" s="64">
        <v>13</v>
      </c>
      <c r="B14" s="65" t="s">
        <v>121</v>
      </c>
      <c r="C14" s="141">
        <f>'Cost Calculation'!D16</f>
        <v>8119180.3023765497</v>
      </c>
      <c r="D14" s="123" t="str">
        <f t="shared" si="0"/>
        <v>Large</v>
      </c>
      <c r="E14" s="280">
        <f>F14*($L$3/$L$2)</f>
        <v>288.87729123229514</v>
      </c>
      <c r="F14" s="124">
        <f>365*0.65</f>
        <v>237.25</v>
      </c>
      <c r="G14" s="125">
        <v>2011</v>
      </c>
      <c r="H14" s="117"/>
      <c r="J14" s="1"/>
      <c r="K14" s="278"/>
      <c r="L14" s="1"/>
    </row>
    <row r="15" spans="1:12">
      <c r="A15" s="64">
        <v>14</v>
      </c>
      <c r="B15" s="65" t="s">
        <v>122</v>
      </c>
      <c r="C15" s="141">
        <f>'Cost Calculation'!D17</f>
        <v>323526.6224659998</v>
      </c>
      <c r="D15" s="123" t="str">
        <f t="shared" si="0"/>
        <v>Medium</v>
      </c>
      <c r="E15" s="280">
        <f>F15*($L$3/$L$2)</f>
        <v>96.440572611396988</v>
      </c>
      <c r="F15" s="124">
        <f>365*0.217</f>
        <v>79.204999999999998</v>
      </c>
      <c r="G15" s="125">
        <v>2011</v>
      </c>
      <c r="H15" s="117"/>
    </row>
    <row r="16" spans="1:12">
      <c r="A16" s="64">
        <v>15</v>
      </c>
      <c r="B16" s="65" t="s">
        <v>123</v>
      </c>
      <c r="C16" s="141">
        <f>'Cost Calculation'!D18</f>
        <v>71750.609598395211</v>
      </c>
      <c r="D16" s="123" t="str">
        <f t="shared" si="0"/>
        <v>Small</v>
      </c>
      <c r="E16" s="280">
        <f>F16*($L$3/$L$2)</f>
        <v>172.4375215355854</v>
      </c>
      <c r="F16" s="124">
        <f>365*0.388</f>
        <v>141.62</v>
      </c>
      <c r="G16" s="125">
        <v>2011</v>
      </c>
      <c r="H16" s="118"/>
      <c r="K16" s="26"/>
    </row>
    <row r="17" spans="1:8">
      <c r="A17" s="64">
        <v>16</v>
      </c>
      <c r="B17" s="65" t="s">
        <v>124</v>
      </c>
      <c r="C17" s="141">
        <f>'Cost Calculation'!D19</f>
        <v>3673962.8876462663</v>
      </c>
      <c r="D17" s="123" t="str">
        <f t="shared" si="0"/>
        <v>Large</v>
      </c>
      <c r="E17" s="280">
        <f>F17*($L$3/$L$2)</f>
        <v>197.76983784364822</v>
      </c>
      <c r="F17" s="124">
        <f>365*0.445</f>
        <v>162.42500000000001</v>
      </c>
      <c r="G17" s="125">
        <v>2011</v>
      </c>
      <c r="H17" s="117"/>
    </row>
    <row r="18" spans="1:8">
      <c r="A18" s="64">
        <v>17</v>
      </c>
      <c r="B18" s="65" t="s">
        <v>125</v>
      </c>
      <c r="C18" s="141">
        <f>'Cost Calculation'!D20</f>
        <v>13520.328350949914</v>
      </c>
      <c r="D18" s="123" t="str">
        <f t="shared" si="0"/>
        <v>Small</v>
      </c>
      <c r="E18" s="280">
        <f>F18*($L$3/$L$2)</f>
        <v>152.20089106021874</v>
      </c>
      <c r="F18" s="68">
        <v>125</v>
      </c>
      <c r="G18" s="125">
        <v>2011</v>
      </c>
      <c r="H18" s="117" t="s">
        <v>10</v>
      </c>
    </row>
    <row r="19" spans="1:8">
      <c r="A19" s="64">
        <v>18</v>
      </c>
      <c r="B19" s="65" t="s">
        <v>126</v>
      </c>
      <c r="C19" s="141">
        <f>'Cost Calculation'!D21</f>
        <v>119450.47275198292</v>
      </c>
      <c r="D19" s="123" t="str">
        <f t="shared" si="0"/>
        <v>Medium</v>
      </c>
      <c r="E19" s="280">
        <f>F19*($L$3/$L$2)</f>
        <v>86.218760767792702</v>
      </c>
      <c r="F19" s="124">
        <f>365*0.194</f>
        <v>70.81</v>
      </c>
      <c r="G19" s="125">
        <v>2011</v>
      </c>
      <c r="H19" s="117"/>
    </row>
    <row r="20" spans="1:8">
      <c r="A20" s="64">
        <v>19</v>
      </c>
      <c r="B20" s="65" t="s">
        <v>127</v>
      </c>
      <c r="C20" s="141">
        <f>'Cost Calculation'!D22</f>
        <v>5423441.5141611397</v>
      </c>
      <c r="D20" s="123" t="str">
        <f t="shared" si="0"/>
        <v>Large</v>
      </c>
      <c r="E20" s="280">
        <f>F20*($L$3/$L$2)</f>
        <v>294.21041045504523</v>
      </c>
      <c r="F20" s="124">
        <f>365*0.662</f>
        <v>241.63000000000002</v>
      </c>
      <c r="G20" s="125">
        <v>2011</v>
      </c>
      <c r="H20" s="117"/>
    </row>
    <row r="21" spans="1:8">
      <c r="A21" s="64">
        <v>20</v>
      </c>
      <c r="B21" s="65" t="s">
        <v>128</v>
      </c>
      <c r="C21" s="141">
        <f>'Cost Calculation'!D23</f>
        <v>3397697.1096434216</v>
      </c>
      <c r="D21" s="123" t="str">
        <f t="shared" si="0"/>
        <v>Large</v>
      </c>
      <c r="E21" s="280">
        <f>F21*($L$3/$L$2)</f>
        <v>111.5510770758555</v>
      </c>
      <c r="F21" s="124">
        <f>365*0.251</f>
        <v>91.614999999999995</v>
      </c>
      <c r="G21" s="125">
        <v>2011</v>
      </c>
      <c r="H21" s="117"/>
    </row>
    <row r="22" spans="1:8">
      <c r="A22" s="64">
        <v>21</v>
      </c>
      <c r="B22" s="65" t="s">
        <v>129</v>
      </c>
      <c r="C22" s="141">
        <f>'Cost Calculation'!D24</f>
        <v>15006687.638268843</v>
      </c>
      <c r="D22" s="123" t="str">
        <f t="shared" si="0"/>
        <v>Large</v>
      </c>
      <c r="E22" s="280">
        <f>F22*($L$3/$L$2)</f>
        <v>228.4352733744611</v>
      </c>
      <c r="F22" s="124">
        <f>365*0.514</f>
        <v>187.61</v>
      </c>
      <c r="G22" s="125">
        <v>2011</v>
      </c>
      <c r="H22" s="117"/>
    </row>
    <row r="23" spans="1:8">
      <c r="A23" s="64">
        <v>22</v>
      </c>
      <c r="B23" s="65" t="s">
        <v>130</v>
      </c>
      <c r="C23" s="141">
        <f>'Cost Calculation'!D25</f>
        <v>13308724.96044747</v>
      </c>
      <c r="D23" s="123" t="str">
        <f t="shared" si="0"/>
        <v>Large</v>
      </c>
      <c r="E23" s="280">
        <f>F23*($L$3/$L$2)</f>
        <v>288.87729123229514</v>
      </c>
      <c r="F23" s="124">
        <f>365*0.65</f>
        <v>237.25</v>
      </c>
      <c r="G23" s="125">
        <v>2011</v>
      </c>
      <c r="H23" s="117" t="s">
        <v>226</v>
      </c>
    </row>
    <row r="24" spans="1:8">
      <c r="A24" s="64">
        <v>23</v>
      </c>
      <c r="B24" s="65" t="s">
        <v>131</v>
      </c>
      <c r="C24" s="141">
        <f>'Cost Calculation'!D26</f>
        <v>48264.315755572054</v>
      </c>
      <c r="D24" s="123" t="str">
        <f t="shared" si="0"/>
        <v>Small</v>
      </c>
      <c r="E24" s="280">
        <f>F24*($L$3/$L$2)</f>
        <v>273.76678676783661</v>
      </c>
      <c r="F24" s="124">
        <f>365*0.616</f>
        <v>224.84</v>
      </c>
      <c r="G24" s="125">
        <v>2011</v>
      </c>
      <c r="H24" s="117"/>
    </row>
    <row r="25" spans="1:8">
      <c r="A25" s="64">
        <v>24</v>
      </c>
      <c r="B25" s="65" t="s">
        <v>132</v>
      </c>
      <c r="C25" s="141">
        <f>'Cost Calculation'!D27</f>
        <v>2031332.2440583021</v>
      </c>
      <c r="D25" s="123" t="str">
        <f t="shared" si="0"/>
        <v>Large</v>
      </c>
      <c r="E25" s="280">
        <f>F25*($L$3/$L$2)</f>
        <v>187.54802600004393</v>
      </c>
      <c r="F25" s="124">
        <f>365*0.422</f>
        <v>154.03</v>
      </c>
      <c r="G25" s="125">
        <v>2011</v>
      </c>
      <c r="H25" s="117"/>
    </row>
    <row r="26" spans="1:8">
      <c r="A26" s="64">
        <v>25</v>
      </c>
      <c r="B26" s="65" t="s">
        <v>133</v>
      </c>
      <c r="C26" s="141">
        <f>'Cost Calculation'!D28</f>
        <v>291601.27978538926</v>
      </c>
      <c r="D26" s="123" t="str">
        <f t="shared" si="0"/>
        <v>Medium</v>
      </c>
      <c r="E26" s="280">
        <f>F26*($L$3/$L$2)</f>
        <v>299.09910307589945</v>
      </c>
      <c r="F26" s="124">
        <f>365*0.673</f>
        <v>245.64500000000001</v>
      </c>
      <c r="G26" s="125">
        <v>2011</v>
      </c>
      <c r="H26" s="117"/>
    </row>
    <row r="27" spans="1:8">
      <c r="A27" s="64">
        <v>26</v>
      </c>
      <c r="B27" s="65" t="s">
        <v>134</v>
      </c>
      <c r="C27" s="141">
        <f>'Cost Calculation'!D29</f>
        <v>120833.86406496594</v>
      </c>
      <c r="D27" s="123" t="str">
        <f t="shared" si="0"/>
        <v>Medium</v>
      </c>
      <c r="E27" s="280">
        <f>F27*($L$3/$L$2)</f>
        <v>385.31786384369212</v>
      </c>
      <c r="F27" s="124">
        <f>365*0.867</f>
        <v>316.45499999999998</v>
      </c>
      <c r="G27" s="125">
        <v>2011</v>
      </c>
      <c r="H27" s="117"/>
    </row>
    <row r="28" spans="1:8">
      <c r="A28" s="64">
        <v>27</v>
      </c>
      <c r="B28" s="65" t="s">
        <v>135</v>
      </c>
      <c r="C28" s="141">
        <f>'Cost Calculation'!D30</f>
        <v>1218678.495685582</v>
      </c>
      <c r="D28" s="123" t="str">
        <f t="shared" si="0"/>
        <v>Large</v>
      </c>
      <c r="E28" s="280">
        <f>F28*($L$3/$L$2)</f>
        <v>151.99389784837683</v>
      </c>
      <c r="F28" s="124">
        <f>365*0.342</f>
        <v>124.83000000000001</v>
      </c>
      <c r="G28" s="125">
        <v>2011</v>
      </c>
      <c r="H28" s="117"/>
    </row>
    <row r="29" spans="1:8">
      <c r="A29" s="64">
        <v>28</v>
      </c>
      <c r="B29" s="65" t="s">
        <v>136</v>
      </c>
      <c r="C29" s="141">
        <f>'Cost Calculation'!D31</f>
        <v>1294655.2632270395</v>
      </c>
      <c r="D29" s="123" t="str">
        <f t="shared" si="0"/>
        <v>Large</v>
      </c>
      <c r="E29" s="280">
        <f>F29*($L$3/$L$2)</f>
        <v>126.66158154031402</v>
      </c>
      <c r="F29" s="124">
        <f>365*0.285</f>
        <v>104.02499999999999</v>
      </c>
      <c r="G29" s="125">
        <v>2011</v>
      </c>
      <c r="H29" s="117"/>
    </row>
    <row r="30" spans="1:8">
      <c r="A30" s="64">
        <v>29</v>
      </c>
      <c r="B30" s="65" t="s">
        <v>137</v>
      </c>
      <c r="C30" s="141">
        <f>'Cost Calculation'!D32</f>
        <v>172747.82420858208</v>
      </c>
      <c r="D30" s="123" t="str">
        <f t="shared" si="0"/>
        <v>Medium</v>
      </c>
      <c r="E30" s="280">
        <f>F30*($L$3/$L$2)</f>
        <v>172.4375215355854</v>
      </c>
      <c r="F30" s="124">
        <f>365*0.388</f>
        <v>141.62</v>
      </c>
      <c r="G30" s="125">
        <v>2011</v>
      </c>
      <c r="H30" s="117"/>
    </row>
    <row r="31" spans="1:8">
      <c r="A31" s="64">
        <v>30</v>
      </c>
      <c r="B31" s="65" t="s">
        <v>138</v>
      </c>
      <c r="C31" s="141">
        <f>'Cost Calculation'!D33</f>
        <v>118516.95498716265</v>
      </c>
      <c r="D31" s="123" t="str">
        <f t="shared" si="0"/>
        <v>Medium</v>
      </c>
      <c r="E31" s="280">
        <f>F31*($L$3/$L$2)</f>
        <v>162.21570969198112</v>
      </c>
      <c r="F31" s="124">
        <f>365*0.365</f>
        <v>133.22499999999999</v>
      </c>
      <c r="G31" s="125">
        <v>2011</v>
      </c>
      <c r="H31" s="117"/>
    </row>
    <row r="32" spans="1:8">
      <c r="A32" s="64">
        <v>31</v>
      </c>
      <c r="B32" s="65" t="s">
        <v>139</v>
      </c>
      <c r="C32" s="141">
        <f>'Cost Calculation'!D34</f>
        <v>204527.22935748301</v>
      </c>
      <c r="D32" s="123" t="str">
        <f t="shared" si="0"/>
        <v>Medium</v>
      </c>
      <c r="E32" s="281">
        <f>K11</f>
        <v>180.37794348945772</v>
      </c>
      <c r="F32" s="124"/>
      <c r="G32" s="125"/>
      <c r="H32" s="117"/>
    </row>
    <row r="33" spans="1:8">
      <c r="A33" s="64">
        <v>32</v>
      </c>
      <c r="B33" s="65" t="s">
        <v>140</v>
      </c>
      <c r="C33" s="141">
        <f>'Cost Calculation'!D35</f>
        <v>1423879.9323176574</v>
      </c>
      <c r="D33" s="123" t="str">
        <f t="shared" si="0"/>
        <v>Large</v>
      </c>
      <c r="E33" s="280">
        <f>F33*($L$3/$L$2)</f>
        <v>243.54577783891961</v>
      </c>
      <c r="F33" s="124">
        <f>365*0.548</f>
        <v>200.02</v>
      </c>
      <c r="G33" s="125">
        <v>2011</v>
      </c>
      <c r="H33" s="117"/>
    </row>
    <row r="34" spans="1:8">
      <c r="A34" s="64">
        <v>33</v>
      </c>
      <c r="B34" s="65" t="s">
        <v>141</v>
      </c>
      <c r="C34" s="141">
        <f>'Cost Calculation'!D36</f>
        <v>896962.22226996359</v>
      </c>
      <c r="D34" s="123" t="str">
        <f t="shared" si="0"/>
        <v>Medium</v>
      </c>
      <c r="E34" s="280">
        <f>F34*($L$3/$L$2)</f>
        <v>116.43976969670975</v>
      </c>
      <c r="F34" s="124">
        <f>365*0.262</f>
        <v>95.63000000000001</v>
      </c>
      <c r="G34" s="125">
        <v>2011</v>
      </c>
      <c r="H34" s="117"/>
    </row>
    <row r="35" spans="1:8">
      <c r="A35" s="64">
        <v>34</v>
      </c>
      <c r="B35" s="65" t="s">
        <v>142</v>
      </c>
      <c r="C35" s="141">
        <f>'Cost Calculation'!D37</f>
        <v>518879.08485063037</v>
      </c>
      <c r="D35" s="123" t="str">
        <f t="shared" si="0"/>
        <v>Medium</v>
      </c>
      <c r="E35" s="280">
        <f>F35*($L$3/$L$2)</f>
        <v>208.88050289104416</v>
      </c>
      <c r="F35" s="124">
        <f>365*0.47</f>
        <v>171.54999999999998</v>
      </c>
      <c r="G35" s="125">
        <v>2011</v>
      </c>
      <c r="H35" s="117"/>
    </row>
    <row r="36" spans="1:8">
      <c r="A36" s="64">
        <v>35</v>
      </c>
      <c r="B36" s="65" t="s">
        <v>143</v>
      </c>
      <c r="C36" s="141">
        <f>'Cost Calculation'!D38</f>
        <v>221055.55939507601</v>
      </c>
      <c r="D36" s="123" t="str">
        <f t="shared" si="0"/>
        <v>Medium</v>
      </c>
      <c r="E36" s="280">
        <f>F36*($L$3/$L$2)</f>
        <v>178.65949396212716</v>
      </c>
      <c r="F36" s="124">
        <f>365*0.402</f>
        <v>146.73000000000002</v>
      </c>
      <c r="G36" s="125">
        <v>2011</v>
      </c>
      <c r="H36" s="117"/>
    </row>
    <row r="37" spans="1:8">
      <c r="A37" s="64">
        <v>36</v>
      </c>
      <c r="B37" s="65" t="s">
        <v>144</v>
      </c>
      <c r="C37" s="141">
        <f>'Cost Calculation'!D39</f>
        <v>1417301.8885329936</v>
      </c>
      <c r="D37" s="123" t="str">
        <f t="shared" si="0"/>
        <v>Large</v>
      </c>
      <c r="E37" s="280">
        <f>F37*($L$3/$L$2)</f>
        <v>253.32316308062804</v>
      </c>
      <c r="F37" s="124">
        <f>365*0.57</f>
        <v>208.04999999999998</v>
      </c>
      <c r="G37" s="125">
        <v>2011</v>
      </c>
      <c r="H37" s="117"/>
    </row>
    <row r="38" spans="1:8">
      <c r="A38" s="64">
        <v>37</v>
      </c>
      <c r="B38" s="65" t="s">
        <v>145</v>
      </c>
      <c r="C38" s="141">
        <f>'Cost Calculation'!D40</f>
        <v>236463.42689582403</v>
      </c>
      <c r="D38" s="123" t="str">
        <f t="shared" si="0"/>
        <v>Medium</v>
      </c>
      <c r="E38" s="280">
        <f>F38*($L$3/$L$2)</f>
        <v>178.65949396212716</v>
      </c>
      <c r="F38" s="124">
        <f>365*0.402</f>
        <v>146.73000000000002</v>
      </c>
      <c r="G38" s="125">
        <v>2011</v>
      </c>
      <c r="H38" s="117"/>
    </row>
    <row r="39" spans="1:8">
      <c r="A39" s="64">
        <v>38</v>
      </c>
      <c r="B39" s="65" t="s">
        <v>146</v>
      </c>
      <c r="C39" s="141">
        <f>'Cost Calculation'!D41</f>
        <v>1039890.5461976461</v>
      </c>
      <c r="D39" s="123" t="str">
        <f t="shared" si="0"/>
        <v>Large</v>
      </c>
      <c r="E39" s="280">
        <f>F39*($L$3/$L$2)</f>
        <v>249.97474347730324</v>
      </c>
      <c r="F39" s="124">
        <v>205.3</v>
      </c>
      <c r="G39" s="125">
        <v>2011</v>
      </c>
      <c r="H39" s="117"/>
    </row>
    <row r="40" spans="1:8">
      <c r="A40" s="64">
        <v>39</v>
      </c>
      <c r="B40" s="65" t="s">
        <v>147</v>
      </c>
      <c r="C40" s="141">
        <f>'Cost Calculation'!D42</f>
        <v>85608.644634293029</v>
      </c>
      <c r="D40" s="123" t="str">
        <f t="shared" si="0"/>
        <v>Small</v>
      </c>
      <c r="E40" s="281">
        <f>K12</f>
        <v>202.82138541793685</v>
      </c>
      <c r="F40" s="124"/>
      <c r="G40" s="125"/>
      <c r="H40" s="117"/>
    </row>
    <row r="41" spans="1:8">
      <c r="A41" s="64">
        <v>40</v>
      </c>
      <c r="B41" s="65" t="s">
        <v>148</v>
      </c>
      <c r="C41" s="141">
        <f>'Cost Calculation'!D43</f>
        <v>152855.6943698473</v>
      </c>
      <c r="D41" s="123" t="str">
        <f t="shared" si="0"/>
        <v>Medium</v>
      </c>
      <c r="E41" s="281">
        <f>K11</f>
        <v>180.37794348945772</v>
      </c>
      <c r="F41" s="124"/>
      <c r="G41" s="125"/>
      <c r="H41" s="117"/>
    </row>
    <row r="42" spans="1:8">
      <c r="A42" s="64">
        <v>41</v>
      </c>
      <c r="B42" s="65" t="s">
        <v>149</v>
      </c>
      <c r="C42" s="141">
        <f>'Cost Calculation'!D44</f>
        <v>73571.813506507111</v>
      </c>
      <c r="D42" s="123" t="str">
        <f t="shared" si="0"/>
        <v>Small</v>
      </c>
      <c r="E42" s="281">
        <f>K12</f>
        <v>202.82138541793685</v>
      </c>
      <c r="F42" s="124"/>
      <c r="G42" s="125"/>
      <c r="H42" s="117"/>
    </row>
    <row r="43" spans="1:8" ht="16" thickBot="1">
      <c r="A43" s="64">
        <v>42</v>
      </c>
      <c r="B43" s="65" t="s">
        <v>150</v>
      </c>
      <c r="C43" s="141">
        <f>'Cost Calculation'!D45</f>
        <v>91108.43921773028</v>
      </c>
      <c r="D43" s="123" t="str">
        <f t="shared" si="0"/>
        <v>Small</v>
      </c>
      <c r="E43" s="281">
        <f>K12</f>
        <v>202.82138541793685</v>
      </c>
      <c r="F43" s="124"/>
      <c r="G43" s="125"/>
      <c r="H43" s="117"/>
    </row>
    <row r="44" spans="1:8" ht="16" thickBot="1">
      <c r="A44" s="126"/>
      <c r="B44" s="127" t="s">
        <v>173</v>
      </c>
      <c r="C44" s="142"/>
      <c r="D44" s="128"/>
      <c r="E44" s="282">
        <v>211.13</v>
      </c>
      <c r="F44" s="129"/>
      <c r="G44" s="130"/>
      <c r="H44" s="117"/>
    </row>
    <row r="45" spans="1:8">
      <c r="C45" s="143"/>
      <c r="D45" s="11"/>
      <c r="E45" s="283"/>
      <c r="F45" s="13"/>
      <c r="G45" s="9"/>
      <c r="H45" s="117"/>
    </row>
    <row r="46" spans="1:8">
      <c r="C46" s="143"/>
      <c r="D46" s="11"/>
      <c r="E46" s="283"/>
      <c r="F46" s="13"/>
      <c r="G46" s="9"/>
      <c r="H46" s="117"/>
    </row>
    <row r="47" spans="1:8">
      <c r="C47" s="143"/>
      <c r="D47" s="11"/>
      <c r="E47" s="284"/>
      <c r="F47" s="13"/>
      <c r="G47" s="9"/>
      <c r="H47" s="117"/>
    </row>
    <row r="48" spans="1:8">
      <c r="C48" s="143"/>
      <c r="D48" s="11"/>
      <c r="E48" s="283"/>
      <c r="F48" s="13"/>
      <c r="G48" s="9"/>
      <c r="H48" s="117"/>
    </row>
    <row r="49" spans="3:6">
      <c r="C49" s="144"/>
      <c r="D49" s="1"/>
      <c r="E49" s="285"/>
      <c r="F49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Sheet - Solid Waste</vt:lpstr>
      <vt:lpstr>Cost Calculation</vt:lpstr>
      <vt:lpstr>Variables</vt:lpstr>
      <vt:lpstr>Sanitary Landfilling</vt:lpstr>
      <vt:lpstr>Budgeting</vt:lpstr>
      <vt:lpstr>Land cost</vt:lpstr>
      <vt:lpstr>Existing landfills</vt:lpstr>
      <vt:lpstr>Population</vt:lpstr>
      <vt:lpstr>Waste per capita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Suzanne Schadel</cp:lastModifiedBy>
  <cp:lastPrinted>2019-08-08T21:19:35Z</cp:lastPrinted>
  <dcterms:created xsi:type="dcterms:W3CDTF">2019-05-13T20:30:56Z</dcterms:created>
  <dcterms:modified xsi:type="dcterms:W3CDTF">2020-01-28T21:39:48Z</dcterms:modified>
</cp:coreProperties>
</file>